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Ankur\scar_report\scar\"/>
    </mc:Choice>
  </mc:AlternateContent>
  <xr:revisionPtr revIDLastSave="0" documentId="13_ncr:1_{773287B4-05CA-460F-AE5E-5BAD6D609867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le of Contents" sheetId="1" r:id="rId1"/>
    <sheet name="Script Input Parameters" sheetId="2" r:id="rId2"/>
    <sheet name="Klocwork Build Configuration" sheetId="3" r:id="rId3"/>
    <sheet name="SA Summary by Severity" sheetId="4" r:id="rId4"/>
    <sheet name="SA Summary by Modules" sheetId="5" r:id="rId5"/>
    <sheet name="Raw Issue Details" sheetId="6" r:id="rId6"/>
    <sheet name="Taxonomy Checkers" sheetId="7" r:id="rId7"/>
    <sheet name="Klocwork Project Modules" sheetId="8" r:id="rId8"/>
  </sheets>
  <definedNames>
    <definedName name="_xlnm._FilterDatabase" localSheetId="5" hidden="1">'Raw Issue Details'!$A$1:$O$3547</definedName>
    <definedName name="_xlnm._FilterDatabase" localSheetId="6" hidden="1">'Taxonomy Checkers'!$A$1:$F$294</definedName>
  </definedNames>
  <calcPr calcId="191029"/>
</workbook>
</file>

<file path=xl/calcChain.xml><?xml version="1.0" encoding="utf-8"?>
<calcChain xmlns="http://schemas.openxmlformats.org/spreadsheetml/2006/main">
  <c r="N3547" i="6" l="1"/>
  <c r="N3546" i="6"/>
  <c r="N3545" i="6"/>
  <c r="N3544" i="6"/>
  <c r="N3543" i="6"/>
  <c r="N3542" i="6"/>
  <c r="N3541" i="6"/>
  <c r="N3540" i="6"/>
  <c r="N3539" i="6"/>
  <c r="N3538" i="6"/>
  <c r="N3537" i="6"/>
  <c r="N3536" i="6"/>
  <c r="N3535" i="6"/>
  <c r="N3534" i="6"/>
  <c r="N3533" i="6"/>
  <c r="N3532" i="6"/>
  <c r="N3531" i="6"/>
  <c r="N3530" i="6"/>
  <c r="N3529" i="6"/>
  <c r="N3528" i="6"/>
  <c r="N3527" i="6"/>
  <c r="N3526" i="6"/>
  <c r="N3525" i="6"/>
  <c r="N3524" i="6"/>
  <c r="N3523" i="6"/>
  <c r="N3522" i="6"/>
  <c r="N3521" i="6"/>
  <c r="N3520" i="6"/>
  <c r="N3519" i="6"/>
  <c r="N3518" i="6"/>
  <c r="N3517" i="6"/>
  <c r="N3516" i="6"/>
  <c r="N3515" i="6"/>
  <c r="N3514" i="6"/>
  <c r="N3513" i="6"/>
  <c r="N3512" i="6"/>
  <c r="N3511" i="6"/>
  <c r="N3510" i="6"/>
  <c r="N3509" i="6"/>
  <c r="N3508" i="6"/>
  <c r="N3507" i="6"/>
  <c r="N3506" i="6"/>
  <c r="N3505" i="6"/>
  <c r="N3504" i="6"/>
  <c r="N3503" i="6"/>
  <c r="N3502" i="6"/>
  <c r="N3501" i="6"/>
  <c r="N3500" i="6"/>
  <c r="N3499" i="6"/>
  <c r="N3498" i="6"/>
  <c r="N3497" i="6"/>
  <c r="N3496" i="6"/>
  <c r="N3495" i="6"/>
  <c r="N3494" i="6"/>
  <c r="N3493" i="6"/>
  <c r="N3492" i="6"/>
  <c r="N3491" i="6"/>
  <c r="N3490" i="6"/>
  <c r="N3489" i="6"/>
  <c r="N3488" i="6"/>
  <c r="N3487" i="6"/>
  <c r="N3486" i="6"/>
  <c r="N3485" i="6"/>
  <c r="N3484" i="6"/>
  <c r="N3483" i="6"/>
  <c r="N3482" i="6"/>
  <c r="N3481" i="6"/>
  <c r="N3480" i="6"/>
  <c r="N3479" i="6"/>
  <c r="N3478" i="6"/>
  <c r="N3477" i="6"/>
  <c r="N3476" i="6"/>
  <c r="N3475" i="6"/>
  <c r="N3474" i="6"/>
  <c r="N3473" i="6"/>
  <c r="N3472" i="6"/>
  <c r="N3471" i="6"/>
  <c r="N3470" i="6"/>
  <c r="N3469" i="6"/>
  <c r="N3468" i="6"/>
  <c r="N3467" i="6"/>
  <c r="N3466" i="6"/>
  <c r="N3465" i="6"/>
  <c r="N3464" i="6"/>
  <c r="N3463" i="6"/>
  <c r="N3462" i="6"/>
  <c r="N3461" i="6"/>
  <c r="N3460" i="6"/>
  <c r="N3459" i="6"/>
  <c r="N3458" i="6"/>
  <c r="N3457" i="6"/>
  <c r="N3456" i="6"/>
  <c r="N3455" i="6"/>
  <c r="N3454" i="6"/>
  <c r="N3453" i="6"/>
  <c r="N3452" i="6"/>
  <c r="N3451" i="6"/>
  <c r="N3450" i="6"/>
  <c r="N3449" i="6"/>
  <c r="N3448" i="6"/>
  <c r="N3447" i="6"/>
  <c r="N3446" i="6"/>
  <c r="N3445" i="6"/>
  <c r="N3444" i="6"/>
  <c r="N3443" i="6"/>
  <c r="N3442" i="6"/>
  <c r="N3441" i="6"/>
  <c r="N3440" i="6"/>
  <c r="N3439" i="6"/>
  <c r="N3438" i="6"/>
  <c r="N3437" i="6"/>
  <c r="N3436" i="6"/>
  <c r="N3435" i="6"/>
  <c r="N3434" i="6"/>
  <c r="N3433" i="6"/>
  <c r="N3432" i="6"/>
  <c r="N3431" i="6"/>
  <c r="N3430" i="6"/>
  <c r="N3429" i="6"/>
  <c r="N3428" i="6"/>
  <c r="N3427" i="6"/>
  <c r="N3426" i="6"/>
  <c r="N3425" i="6"/>
  <c r="N3424" i="6"/>
  <c r="N3423" i="6"/>
  <c r="N3422" i="6"/>
  <c r="N3421" i="6"/>
  <c r="N3420" i="6"/>
  <c r="N3419" i="6"/>
  <c r="N3418" i="6"/>
  <c r="N3417" i="6"/>
  <c r="N3416" i="6"/>
  <c r="N3415" i="6"/>
  <c r="N3414" i="6"/>
  <c r="N3413" i="6"/>
  <c r="N3412" i="6"/>
  <c r="N3411" i="6"/>
  <c r="N3410" i="6"/>
  <c r="N3409" i="6"/>
  <c r="N3408" i="6"/>
  <c r="N3407" i="6"/>
  <c r="N3406" i="6"/>
  <c r="N3405" i="6"/>
  <c r="N3404" i="6"/>
  <c r="N3403" i="6"/>
  <c r="N3402" i="6"/>
  <c r="N3401" i="6"/>
  <c r="N3400" i="6"/>
  <c r="N3399" i="6"/>
  <c r="N3398" i="6"/>
  <c r="N3397" i="6"/>
  <c r="N3396" i="6"/>
  <c r="N3395" i="6"/>
  <c r="N3394" i="6"/>
  <c r="N3393" i="6"/>
  <c r="N3392" i="6"/>
  <c r="N3391" i="6"/>
  <c r="N3390" i="6"/>
  <c r="N3389" i="6"/>
  <c r="N3388" i="6"/>
  <c r="N3387" i="6"/>
  <c r="N3386" i="6"/>
  <c r="N3385" i="6"/>
  <c r="N3384" i="6"/>
  <c r="N3383" i="6"/>
  <c r="N3382" i="6"/>
  <c r="N3381" i="6"/>
  <c r="N3380" i="6"/>
  <c r="N3379" i="6"/>
  <c r="N3378" i="6"/>
  <c r="N3377" i="6"/>
  <c r="N3376" i="6"/>
  <c r="N3375" i="6"/>
  <c r="N3374" i="6"/>
  <c r="N3373" i="6"/>
  <c r="N3372" i="6"/>
  <c r="N3371" i="6"/>
  <c r="N3370" i="6"/>
  <c r="N3369" i="6"/>
  <c r="N3368" i="6"/>
  <c r="N3367" i="6"/>
  <c r="N3366" i="6"/>
  <c r="N3365" i="6"/>
  <c r="N3364" i="6"/>
  <c r="N3363" i="6"/>
  <c r="N3362" i="6"/>
  <c r="N3361" i="6"/>
  <c r="N3360" i="6"/>
  <c r="N3359" i="6"/>
  <c r="N3358" i="6"/>
  <c r="N3357" i="6"/>
  <c r="N3356" i="6"/>
  <c r="N3355" i="6"/>
  <c r="N3354" i="6"/>
  <c r="N3353" i="6"/>
  <c r="N3352" i="6"/>
  <c r="N3351" i="6"/>
  <c r="N3350" i="6"/>
  <c r="N3349" i="6"/>
  <c r="N3348" i="6"/>
  <c r="N3347" i="6"/>
  <c r="N3346" i="6"/>
  <c r="N3345" i="6"/>
  <c r="N3344" i="6"/>
  <c r="N3343" i="6"/>
  <c r="N3342" i="6"/>
  <c r="N3341" i="6"/>
  <c r="N3340" i="6"/>
  <c r="N3339" i="6"/>
  <c r="N3338" i="6"/>
  <c r="N3337" i="6"/>
  <c r="N3336" i="6"/>
  <c r="N3335" i="6"/>
  <c r="N3334" i="6"/>
  <c r="N3333" i="6"/>
  <c r="N3332" i="6"/>
  <c r="N3331" i="6"/>
  <c r="N3330" i="6"/>
  <c r="N3329" i="6"/>
  <c r="N3328" i="6"/>
  <c r="N3327" i="6"/>
  <c r="N3326" i="6"/>
  <c r="N3325" i="6"/>
  <c r="N3324" i="6"/>
  <c r="N3323" i="6"/>
  <c r="N3322" i="6"/>
  <c r="N3321" i="6"/>
  <c r="N3320" i="6"/>
  <c r="N3319" i="6"/>
  <c r="N3318" i="6"/>
  <c r="N3317" i="6"/>
  <c r="N3316" i="6"/>
  <c r="N3315" i="6"/>
  <c r="N3314" i="6"/>
  <c r="N3313" i="6"/>
  <c r="N3312" i="6"/>
  <c r="N3311" i="6"/>
  <c r="N3310" i="6"/>
  <c r="N3309" i="6"/>
  <c r="N3308" i="6"/>
  <c r="N3307" i="6"/>
  <c r="N3306" i="6"/>
  <c r="N3305" i="6"/>
  <c r="N3304" i="6"/>
  <c r="N3303" i="6"/>
  <c r="N3302" i="6"/>
  <c r="N3301" i="6"/>
  <c r="N3300" i="6"/>
  <c r="N3299" i="6"/>
  <c r="N3298" i="6"/>
  <c r="N3297" i="6"/>
  <c r="N3296" i="6"/>
  <c r="N3295" i="6"/>
  <c r="N3294" i="6"/>
  <c r="N3293" i="6"/>
  <c r="N3292" i="6"/>
  <c r="N3291" i="6"/>
  <c r="N3290" i="6"/>
  <c r="N3289" i="6"/>
  <c r="N3288" i="6"/>
  <c r="N3287" i="6"/>
  <c r="N3286" i="6"/>
  <c r="N3285" i="6"/>
  <c r="N3284" i="6"/>
  <c r="N3283" i="6"/>
  <c r="N3282" i="6"/>
  <c r="N3281" i="6"/>
  <c r="N3280" i="6"/>
  <c r="N3279" i="6"/>
  <c r="N3278" i="6"/>
  <c r="N3277" i="6"/>
  <c r="N3276" i="6"/>
  <c r="N3275" i="6"/>
  <c r="N3274" i="6"/>
  <c r="N3273" i="6"/>
  <c r="N3272" i="6"/>
  <c r="N3271" i="6"/>
  <c r="N3270" i="6"/>
  <c r="N3269" i="6"/>
  <c r="N3268" i="6"/>
  <c r="N3267" i="6"/>
  <c r="N3266" i="6"/>
  <c r="N3265" i="6"/>
  <c r="N3264" i="6"/>
  <c r="N3263" i="6"/>
  <c r="N3262" i="6"/>
  <c r="N3261" i="6"/>
  <c r="N3260" i="6"/>
  <c r="N3259" i="6"/>
  <c r="N3258" i="6"/>
  <c r="N3257" i="6"/>
  <c r="N3256" i="6"/>
  <c r="N3255" i="6"/>
  <c r="N3254" i="6"/>
  <c r="N3253" i="6"/>
  <c r="N3252" i="6"/>
  <c r="N3251" i="6"/>
  <c r="N3250" i="6"/>
  <c r="N3249" i="6"/>
  <c r="N3248" i="6"/>
  <c r="N3247" i="6"/>
  <c r="N3246" i="6"/>
  <c r="N3245" i="6"/>
  <c r="N3244" i="6"/>
  <c r="N3243" i="6"/>
  <c r="N3242" i="6"/>
  <c r="N3241" i="6"/>
  <c r="N3240" i="6"/>
  <c r="N3239" i="6"/>
  <c r="N3238" i="6"/>
  <c r="N3237" i="6"/>
  <c r="N3236" i="6"/>
  <c r="N3235" i="6"/>
  <c r="N3234" i="6"/>
  <c r="N3233" i="6"/>
  <c r="N3232" i="6"/>
  <c r="N3231" i="6"/>
  <c r="N3230" i="6"/>
  <c r="N3229" i="6"/>
  <c r="N3228" i="6"/>
  <c r="N3227" i="6"/>
  <c r="N3226" i="6"/>
  <c r="N3225" i="6"/>
  <c r="N3224" i="6"/>
  <c r="N3223" i="6"/>
  <c r="N3222" i="6"/>
  <c r="N3221" i="6"/>
  <c r="N3220" i="6"/>
  <c r="N3219" i="6"/>
  <c r="N3218" i="6"/>
  <c r="N3217" i="6"/>
  <c r="N3216" i="6"/>
  <c r="N3215" i="6"/>
  <c r="N3214" i="6"/>
  <c r="N3213" i="6"/>
  <c r="N3212" i="6"/>
  <c r="N3211" i="6"/>
  <c r="N3210" i="6"/>
  <c r="N3209" i="6"/>
  <c r="N3208" i="6"/>
  <c r="N3207" i="6"/>
  <c r="N3206" i="6"/>
  <c r="N3205" i="6"/>
  <c r="N3204" i="6"/>
  <c r="N3203" i="6"/>
  <c r="N3202" i="6"/>
  <c r="N3201" i="6"/>
  <c r="N3200" i="6"/>
  <c r="N3199" i="6"/>
  <c r="N3198" i="6"/>
  <c r="N3197" i="6"/>
  <c r="N3196" i="6"/>
  <c r="N3195" i="6"/>
  <c r="N3194" i="6"/>
  <c r="N3193" i="6"/>
  <c r="N3192" i="6"/>
  <c r="N3191" i="6"/>
  <c r="N3190" i="6"/>
  <c r="N3189" i="6"/>
  <c r="N3188" i="6"/>
  <c r="N3187" i="6"/>
  <c r="N3186" i="6"/>
  <c r="N3185" i="6"/>
  <c r="N3184" i="6"/>
  <c r="N3183" i="6"/>
  <c r="N3182" i="6"/>
  <c r="N3181" i="6"/>
  <c r="N3180" i="6"/>
  <c r="N3179" i="6"/>
  <c r="N3178" i="6"/>
  <c r="N3177" i="6"/>
  <c r="N3176" i="6"/>
  <c r="N3175" i="6"/>
  <c r="N3174" i="6"/>
  <c r="N3173" i="6"/>
  <c r="N3172" i="6"/>
  <c r="N3171" i="6"/>
  <c r="N3170" i="6"/>
  <c r="N3169" i="6"/>
  <c r="N3168" i="6"/>
  <c r="N3167" i="6"/>
  <c r="N3166" i="6"/>
  <c r="N3165" i="6"/>
  <c r="N3164" i="6"/>
  <c r="N3163" i="6"/>
  <c r="N3162" i="6"/>
  <c r="N3161" i="6"/>
  <c r="N3160" i="6"/>
  <c r="N3159" i="6"/>
  <c r="N3158" i="6"/>
  <c r="N3157" i="6"/>
  <c r="N3156" i="6"/>
  <c r="N3155" i="6"/>
  <c r="N3154" i="6"/>
  <c r="N3153" i="6"/>
  <c r="N3152" i="6"/>
  <c r="N3151" i="6"/>
  <c r="N3150" i="6"/>
  <c r="N3149" i="6"/>
  <c r="N3148" i="6"/>
  <c r="N3147" i="6"/>
  <c r="N3146" i="6"/>
  <c r="N3145" i="6"/>
  <c r="N3144" i="6"/>
  <c r="N3143" i="6"/>
  <c r="N3142" i="6"/>
  <c r="N3141" i="6"/>
  <c r="N3140" i="6"/>
  <c r="N3139" i="6"/>
  <c r="N3138" i="6"/>
  <c r="N3137" i="6"/>
  <c r="N3136" i="6"/>
  <c r="N3135" i="6"/>
  <c r="N3134" i="6"/>
  <c r="N3133" i="6"/>
  <c r="N3132" i="6"/>
  <c r="N3131" i="6"/>
  <c r="N3130" i="6"/>
  <c r="N3129" i="6"/>
  <c r="N3128" i="6"/>
  <c r="N3127" i="6"/>
  <c r="N3126" i="6"/>
  <c r="N3125" i="6"/>
  <c r="N3124" i="6"/>
  <c r="N3123" i="6"/>
  <c r="N3122" i="6"/>
  <c r="N3121" i="6"/>
  <c r="N3120" i="6"/>
  <c r="N3119" i="6"/>
  <c r="N3118" i="6"/>
  <c r="N3117" i="6"/>
  <c r="N3116" i="6"/>
  <c r="N3115" i="6"/>
  <c r="N3114" i="6"/>
  <c r="N3113" i="6"/>
  <c r="N3112" i="6"/>
  <c r="N3111" i="6"/>
  <c r="N3110" i="6"/>
  <c r="N3109" i="6"/>
  <c r="N3108" i="6"/>
  <c r="N3107" i="6"/>
  <c r="N3106" i="6"/>
  <c r="N3105" i="6"/>
  <c r="N3104" i="6"/>
  <c r="N3103" i="6"/>
  <c r="N3102" i="6"/>
  <c r="N3101" i="6"/>
  <c r="N3100" i="6"/>
  <c r="N3099" i="6"/>
  <c r="N3098" i="6"/>
  <c r="N3097" i="6"/>
  <c r="N3096" i="6"/>
  <c r="N3095" i="6"/>
  <c r="N3094" i="6"/>
  <c r="N3093" i="6"/>
  <c r="N3092" i="6"/>
  <c r="N3091" i="6"/>
  <c r="N3090" i="6"/>
  <c r="N3089" i="6"/>
  <c r="N3088" i="6"/>
  <c r="N3087" i="6"/>
  <c r="N3086" i="6"/>
  <c r="N3085" i="6"/>
  <c r="N3084" i="6"/>
  <c r="N3083" i="6"/>
  <c r="N3082" i="6"/>
  <c r="N3081" i="6"/>
  <c r="N3080" i="6"/>
  <c r="N3079" i="6"/>
  <c r="N3078" i="6"/>
  <c r="N3077" i="6"/>
  <c r="N3076" i="6"/>
  <c r="N3075" i="6"/>
  <c r="N3074" i="6"/>
  <c r="N3073" i="6"/>
  <c r="N3072" i="6"/>
  <c r="N3071" i="6"/>
  <c r="N3070" i="6"/>
  <c r="N3069" i="6"/>
  <c r="N3068" i="6"/>
  <c r="N3067" i="6"/>
  <c r="N3066" i="6"/>
  <c r="N3065" i="6"/>
  <c r="N3064" i="6"/>
  <c r="N3063" i="6"/>
  <c r="N3062" i="6"/>
  <c r="N3061" i="6"/>
  <c r="N3060" i="6"/>
  <c r="N3059" i="6"/>
  <c r="N3058" i="6"/>
  <c r="N3057" i="6"/>
  <c r="N3056" i="6"/>
  <c r="N3055" i="6"/>
  <c r="N3054" i="6"/>
  <c r="N3053" i="6"/>
  <c r="N3052" i="6"/>
  <c r="N3051" i="6"/>
  <c r="N3050" i="6"/>
  <c r="N3049" i="6"/>
  <c r="N3048" i="6"/>
  <c r="N3047" i="6"/>
  <c r="N3046" i="6"/>
  <c r="N3045" i="6"/>
  <c r="N3044" i="6"/>
  <c r="N3043" i="6"/>
  <c r="N3042" i="6"/>
  <c r="N3041" i="6"/>
  <c r="N3040" i="6"/>
  <c r="N3039" i="6"/>
  <c r="N3038" i="6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N3018" i="6"/>
  <c r="N3017" i="6"/>
  <c r="N3016" i="6"/>
  <c r="N3015" i="6"/>
  <c r="N3014" i="6"/>
  <c r="N3013" i="6"/>
  <c r="N3012" i="6"/>
  <c r="N3011" i="6"/>
  <c r="N3010" i="6"/>
  <c r="N3009" i="6"/>
  <c r="N3008" i="6"/>
  <c r="N3007" i="6"/>
  <c r="N3006" i="6"/>
  <c r="N3005" i="6"/>
  <c r="N3004" i="6"/>
  <c r="N3003" i="6"/>
  <c r="N3002" i="6"/>
  <c r="N3001" i="6"/>
  <c r="N3000" i="6"/>
  <c r="N2999" i="6"/>
  <c r="N2998" i="6"/>
  <c r="N2997" i="6"/>
  <c r="N2996" i="6"/>
  <c r="N2995" i="6"/>
  <c r="N2994" i="6"/>
  <c r="N2993" i="6"/>
  <c r="N2992" i="6"/>
  <c r="N2991" i="6"/>
  <c r="N2990" i="6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N2975" i="6"/>
  <c r="N2974" i="6"/>
  <c r="N2973" i="6"/>
  <c r="N2972" i="6"/>
  <c r="N2971" i="6"/>
  <c r="N2970" i="6"/>
  <c r="N2969" i="6"/>
  <c r="N2968" i="6"/>
  <c r="N2967" i="6"/>
  <c r="N2966" i="6"/>
  <c r="N2965" i="6"/>
  <c r="N2964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N2942" i="6"/>
  <c r="N2941" i="6"/>
  <c r="N2940" i="6"/>
  <c r="N2939" i="6"/>
  <c r="N2938" i="6"/>
  <c r="N2937" i="6"/>
  <c r="N2936" i="6"/>
  <c r="N2935" i="6"/>
  <c r="N2934" i="6"/>
  <c r="N2933" i="6"/>
  <c r="N2932" i="6"/>
  <c r="N2931" i="6"/>
  <c r="N2930" i="6"/>
  <c r="N2929" i="6"/>
  <c r="N2928" i="6"/>
  <c r="N2927" i="6"/>
  <c r="N2926" i="6"/>
  <c r="N2925" i="6"/>
  <c r="N2924" i="6"/>
  <c r="N2923" i="6"/>
  <c r="N2922" i="6"/>
  <c r="N2921" i="6"/>
  <c r="N2920" i="6"/>
  <c r="N2919" i="6"/>
  <c r="N2918" i="6"/>
  <c r="N2917" i="6"/>
  <c r="N2916" i="6"/>
  <c r="N2915" i="6"/>
  <c r="N2914" i="6"/>
  <c r="N2913" i="6"/>
  <c r="N2912" i="6"/>
  <c r="N2911" i="6"/>
  <c r="N2910" i="6"/>
  <c r="N2909" i="6"/>
  <c r="N2908" i="6"/>
  <c r="N2907" i="6"/>
  <c r="N2906" i="6"/>
  <c r="N2905" i="6"/>
  <c r="N2904" i="6"/>
  <c r="N2903" i="6"/>
  <c r="N2902" i="6"/>
  <c r="N2901" i="6"/>
  <c r="N2900" i="6"/>
  <c r="N2899" i="6"/>
  <c r="N2898" i="6"/>
  <c r="N2897" i="6"/>
  <c r="N2896" i="6"/>
  <c r="N2895" i="6"/>
  <c r="N2894" i="6"/>
  <c r="N2893" i="6"/>
  <c r="N2892" i="6"/>
  <c r="N2891" i="6"/>
  <c r="N2890" i="6"/>
  <c r="N2889" i="6"/>
  <c r="N2888" i="6"/>
  <c r="N2887" i="6"/>
  <c r="N2886" i="6"/>
  <c r="N2885" i="6"/>
  <c r="N2884" i="6"/>
  <c r="N2883" i="6"/>
  <c r="N2882" i="6"/>
  <c r="N2881" i="6"/>
  <c r="N2880" i="6"/>
  <c r="N2879" i="6"/>
  <c r="N2878" i="6"/>
  <c r="N2877" i="6"/>
  <c r="N2876" i="6"/>
  <c r="N2875" i="6"/>
  <c r="N2874" i="6"/>
  <c r="N2873" i="6"/>
  <c r="N2872" i="6"/>
  <c r="N2871" i="6"/>
  <c r="N2870" i="6"/>
  <c r="N2869" i="6"/>
  <c r="N2868" i="6"/>
  <c r="N2867" i="6"/>
  <c r="N2866" i="6"/>
  <c r="N2865" i="6"/>
  <c r="N2864" i="6"/>
  <c r="N2863" i="6"/>
  <c r="N2862" i="6"/>
  <c r="N2861" i="6"/>
  <c r="N2860" i="6"/>
  <c r="N2859" i="6"/>
  <c r="N2858" i="6"/>
  <c r="N2857" i="6"/>
  <c r="N2856" i="6"/>
  <c r="N2855" i="6"/>
  <c r="N2854" i="6"/>
  <c r="N2853" i="6"/>
  <c r="N2852" i="6"/>
  <c r="N2851" i="6"/>
  <c r="N2850" i="6"/>
  <c r="N2849" i="6"/>
  <c r="N2848" i="6"/>
  <c r="N2847" i="6"/>
  <c r="N2846" i="6"/>
  <c r="N2845" i="6"/>
  <c r="N2844" i="6"/>
  <c r="N2843" i="6"/>
  <c r="N2842" i="6"/>
  <c r="N2841" i="6"/>
  <c r="N2840" i="6"/>
  <c r="N2839" i="6"/>
  <c r="N2838" i="6"/>
  <c r="N2837" i="6"/>
  <c r="N2836" i="6"/>
  <c r="N2835" i="6"/>
  <c r="N2834" i="6"/>
  <c r="N2833" i="6"/>
  <c r="N2832" i="6"/>
  <c r="N2831" i="6"/>
  <c r="N2830" i="6"/>
  <c r="N2829" i="6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N2808" i="6"/>
  <c r="N2807" i="6"/>
  <c r="N2806" i="6"/>
  <c r="N2805" i="6"/>
  <c r="N2804" i="6"/>
  <c r="N2803" i="6"/>
  <c r="N2802" i="6"/>
  <c r="N2801" i="6"/>
  <c r="N2800" i="6"/>
  <c r="N2799" i="6"/>
  <c r="N2798" i="6"/>
  <c r="N2797" i="6"/>
  <c r="N2796" i="6"/>
  <c r="N2795" i="6"/>
  <c r="N2794" i="6"/>
  <c r="N2793" i="6"/>
  <c r="N2792" i="6"/>
  <c r="N2791" i="6"/>
  <c r="N2790" i="6"/>
  <c r="N2789" i="6"/>
  <c r="N2788" i="6"/>
  <c r="N2787" i="6"/>
  <c r="N2786" i="6"/>
  <c r="N2785" i="6"/>
  <c r="N2784" i="6"/>
  <c r="N2783" i="6"/>
  <c r="N2782" i="6"/>
  <c r="N2781" i="6"/>
  <c r="N2780" i="6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N2765" i="6"/>
  <c r="N2764" i="6"/>
  <c r="N2763" i="6"/>
  <c r="N2762" i="6"/>
  <c r="N2761" i="6"/>
  <c r="N2760" i="6"/>
  <c r="N2759" i="6"/>
  <c r="N2758" i="6"/>
  <c r="N2757" i="6"/>
  <c r="N2756" i="6"/>
  <c r="N2755" i="6"/>
  <c r="N2754" i="6"/>
  <c r="N2753" i="6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N2732" i="6"/>
  <c r="N2731" i="6"/>
  <c r="N2730" i="6"/>
  <c r="N2729" i="6"/>
  <c r="N2728" i="6"/>
  <c r="N2727" i="6"/>
  <c r="N2726" i="6"/>
  <c r="N2725" i="6"/>
  <c r="N2724" i="6"/>
  <c r="N2723" i="6"/>
  <c r="N2722" i="6"/>
  <c r="N2721" i="6"/>
  <c r="N2720" i="6"/>
  <c r="N2719" i="6"/>
  <c r="N2718" i="6"/>
  <c r="N2717" i="6"/>
  <c r="N2716" i="6"/>
  <c r="N2715" i="6"/>
  <c r="N2714" i="6"/>
  <c r="N2713" i="6"/>
  <c r="N2712" i="6"/>
  <c r="N2711" i="6"/>
  <c r="N2710" i="6"/>
  <c r="N2709" i="6"/>
  <c r="N2708" i="6"/>
  <c r="N2707" i="6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4" i="6"/>
  <c r="N2673" i="6"/>
  <c r="N2672" i="6"/>
  <c r="N2671" i="6"/>
  <c r="N2670" i="6"/>
  <c r="N2669" i="6"/>
  <c r="N2668" i="6"/>
  <c r="N2667" i="6"/>
  <c r="N2666" i="6"/>
  <c r="N2665" i="6"/>
  <c r="N2664" i="6"/>
  <c r="N2663" i="6"/>
  <c r="N2662" i="6"/>
  <c r="N2661" i="6"/>
  <c r="N2660" i="6"/>
  <c r="N2659" i="6"/>
  <c r="N2658" i="6"/>
  <c r="N2657" i="6"/>
  <c r="N2656" i="6"/>
  <c r="N2655" i="6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N2635" i="6"/>
  <c r="N2634" i="6"/>
  <c r="N2633" i="6"/>
  <c r="N2632" i="6"/>
  <c r="N2631" i="6"/>
  <c r="N2630" i="6"/>
  <c r="N2629" i="6"/>
  <c r="N2628" i="6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N2614" i="6"/>
  <c r="N2613" i="6"/>
  <c r="N2612" i="6"/>
  <c r="N2611" i="6"/>
  <c r="N2610" i="6"/>
  <c r="N2609" i="6"/>
  <c r="N2608" i="6"/>
  <c r="N2607" i="6"/>
  <c r="N2606" i="6"/>
  <c r="N2605" i="6"/>
  <c r="N2604" i="6"/>
  <c r="N2603" i="6"/>
  <c r="N2602" i="6"/>
  <c r="N2601" i="6"/>
  <c r="N2600" i="6"/>
  <c r="N2599" i="6"/>
  <c r="N2598" i="6"/>
  <c r="N2597" i="6"/>
  <c r="N2596" i="6"/>
  <c r="N2595" i="6"/>
  <c r="N2594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77" i="6"/>
  <c r="N2576" i="6"/>
  <c r="N2575" i="6"/>
  <c r="N2574" i="6"/>
  <c r="N2573" i="6"/>
  <c r="N2572" i="6"/>
  <c r="N2571" i="6"/>
  <c r="N2570" i="6"/>
  <c r="N2569" i="6"/>
  <c r="N2568" i="6"/>
  <c r="N2567" i="6"/>
  <c r="N2566" i="6"/>
  <c r="N2565" i="6"/>
  <c r="N2564" i="6"/>
  <c r="N2563" i="6"/>
  <c r="N2562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N2521" i="6"/>
  <c r="N2520" i="6"/>
  <c r="N2519" i="6"/>
  <c r="N2518" i="6"/>
  <c r="N2517" i="6"/>
  <c r="N2516" i="6"/>
  <c r="N2515" i="6"/>
  <c r="N2514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97" i="6"/>
  <c r="N2496" i="6"/>
  <c r="N2495" i="6"/>
  <c r="N2494" i="6"/>
  <c r="N2493" i="6"/>
  <c r="N2492" i="6"/>
  <c r="N2491" i="6"/>
  <c r="N2490" i="6"/>
  <c r="N2489" i="6"/>
  <c r="N2488" i="6"/>
  <c r="N2487" i="6"/>
  <c r="N2486" i="6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65" i="6"/>
  <c r="N2464" i="6"/>
  <c r="N2463" i="6"/>
  <c r="N2462" i="6"/>
  <c r="N2461" i="6"/>
  <c r="N2460" i="6"/>
  <c r="N2459" i="6"/>
  <c r="N2458" i="6"/>
  <c r="N2457" i="6"/>
  <c r="N2456" i="6"/>
  <c r="N2455" i="6"/>
  <c r="N2454" i="6"/>
  <c r="N2453" i="6"/>
  <c r="N2452" i="6"/>
  <c r="N2451" i="6"/>
  <c r="N2450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N2433" i="6"/>
  <c r="N2432" i="6"/>
  <c r="N2431" i="6"/>
  <c r="N2430" i="6"/>
  <c r="N2429" i="6"/>
  <c r="N2428" i="6"/>
  <c r="N2427" i="6"/>
  <c r="N2426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N2412" i="6"/>
  <c r="N2411" i="6"/>
  <c r="N2410" i="6"/>
  <c r="N2409" i="6"/>
  <c r="N2408" i="6"/>
  <c r="N2407" i="6"/>
  <c r="N2406" i="6"/>
  <c r="N2405" i="6"/>
  <c r="N2404" i="6"/>
  <c r="N2403" i="6"/>
  <c r="N2402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85" i="6"/>
  <c r="N2384" i="6"/>
  <c r="N2383" i="6"/>
  <c r="N2382" i="6"/>
  <c r="N2381" i="6"/>
  <c r="N2380" i="6"/>
  <c r="N2379" i="6"/>
  <c r="N2378" i="6"/>
  <c r="N2377" i="6"/>
  <c r="N2376" i="6"/>
  <c r="N2375" i="6"/>
  <c r="N2374" i="6"/>
  <c r="N2373" i="6"/>
  <c r="N2372" i="6"/>
  <c r="N2371" i="6"/>
  <c r="N2370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N2348" i="6"/>
  <c r="N2347" i="6"/>
  <c r="N2346" i="6"/>
  <c r="N2345" i="6"/>
  <c r="N2344" i="6"/>
  <c r="N2343" i="6"/>
  <c r="N2342" i="6"/>
  <c r="N2341" i="6"/>
  <c r="N2340" i="6"/>
  <c r="N2339" i="6"/>
  <c r="N2338" i="6"/>
  <c r="N2337" i="6"/>
  <c r="N2336" i="6"/>
  <c r="N2335" i="6"/>
  <c r="N2334" i="6"/>
  <c r="N2333" i="6"/>
  <c r="N2332" i="6"/>
  <c r="N2331" i="6"/>
  <c r="N2330" i="6"/>
  <c r="N2329" i="6"/>
  <c r="N2328" i="6"/>
  <c r="N2327" i="6"/>
  <c r="N2326" i="6"/>
  <c r="N2325" i="6"/>
  <c r="N2324" i="6"/>
  <c r="N2323" i="6"/>
  <c r="N2322" i="6"/>
  <c r="N2321" i="6"/>
  <c r="N2320" i="6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N2272" i="6"/>
  <c r="N2271" i="6"/>
  <c r="N2270" i="6"/>
  <c r="N2269" i="6"/>
  <c r="N2268" i="6"/>
  <c r="N2267" i="6"/>
  <c r="N2266" i="6"/>
  <c r="N2265" i="6"/>
  <c r="N2264" i="6"/>
  <c r="N2263" i="6"/>
  <c r="N2262" i="6"/>
  <c r="N2261" i="6"/>
  <c r="N2260" i="6"/>
  <c r="N2259" i="6"/>
  <c r="N2258" i="6"/>
  <c r="N2257" i="6"/>
  <c r="N2256" i="6"/>
  <c r="N2255" i="6"/>
  <c r="N2254" i="6"/>
  <c r="N2253" i="6"/>
  <c r="N2252" i="6"/>
  <c r="N2251" i="6"/>
  <c r="N2250" i="6"/>
  <c r="N2249" i="6"/>
  <c r="N2248" i="6"/>
  <c r="N2247" i="6"/>
  <c r="N2246" i="6"/>
  <c r="N2245" i="6"/>
  <c r="N2244" i="6"/>
  <c r="N2243" i="6"/>
  <c r="N2242" i="6"/>
  <c r="N2241" i="6"/>
  <c r="N2240" i="6"/>
  <c r="N2239" i="6"/>
  <c r="N2238" i="6"/>
  <c r="N2237" i="6"/>
  <c r="N2236" i="6"/>
  <c r="N2235" i="6"/>
  <c r="N2234" i="6"/>
  <c r="N2233" i="6"/>
  <c r="N2232" i="6"/>
  <c r="N2231" i="6"/>
  <c r="N2230" i="6"/>
  <c r="N2229" i="6"/>
  <c r="N2228" i="6"/>
  <c r="N2227" i="6"/>
  <c r="N2226" i="6"/>
  <c r="N2225" i="6"/>
  <c r="N2224" i="6"/>
  <c r="N2223" i="6"/>
  <c r="N2222" i="6"/>
  <c r="N2221" i="6"/>
  <c r="N2220" i="6"/>
  <c r="N2219" i="6"/>
  <c r="N2218" i="6"/>
  <c r="N2217" i="6"/>
  <c r="N2216" i="6"/>
  <c r="N2215" i="6"/>
  <c r="N2214" i="6"/>
  <c r="N2213" i="6"/>
  <c r="N2212" i="6"/>
  <c r="N2211" i="6"/>
  <c r="N2210" i="6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93" i="6"/>
  <c r="N2192" i="6"/>
  <c r="N2191" i="6"/>
  <c r="N2190" i="6"/>
  <c r="N2189" i="6"/>
  <c r="N2188" i="6"/>
  <c r="N2187" i="6"/>
  <c r="N2186" i="6"/>
  <c r="N2185" i="6"/>
  <c r="N2184" i="6"/>
  <c r="N2183" i="6"/>
  <c r="N2182" i="6"/>
  <c r="N2181" i="6"/>
  <c r="N2180" i="6"/>
  <c r="N2179" i="6"/>
  <c r="N2178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N2138" i="6"/>
  <c r="N2137" i="6"/>
  <c r="N2136" i="6"/>
  <c r="N2135" i="6"/>
  <c r="N2134" i="6"/>
  <c r="N2133" i="6"/>
  <c r="N2132" i="6"/>
  <c r="N2131" i="6"/>
  <c r="N2130" i="6"/>
  <c r="N2129" i="6"/>
  <c r="N2128" i="6"/>
  <c r="N2127" i="6"/>
  <c r="N2126" i="6"/>
  <c r="N2125" i="6"/>
  <c r="N2124" i="6"/>
  <c r="N2123" i="6"/>
  <c r="N2122" i="6"/>
  <c r="N2121" i="6"/>
  <c r="N2120" i="6"/>
  <c r="N2119" i="6"/>
  <c r="N2118" i="6"/>
  <c r="N2117" i="6"/>
  <c r="N2116" i="6"/>
  <c r="N2115" i="6"/>
  <c r="N2114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N2095" i="6"/>
  <c r="N2094" i="6"/>
  <c r="N2093" i="6"/>
  <c r="N2092" i="6"/>
  <c r="N2091" i="6"/>
  <c r="N2090" i="6"/>
  <c r="N2089" i="6"/>
  <c r="N2088" i="6"/>
  <c r="N2087" i="6"/>
  <c r="N2086" i="6"/>
  <c r="N2085" i="6"/>
  <c r="N2084" i="6"/>
  <c r="N2083" i="6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N2062" i="6"/>
  <c r="N2061" i="6"/>
  <c r="N2060" i="6"/>
  <c r="N2059" i="6"/>
  <c r="N2058" i="6"/>
  <c r="N2057" i="6"/>
  <c r="N2056" i="6"/>
  <c r="N2055" i="6"/>
  <c r="N2054" i="6"/>
  <c r="N2053" i="6"/>
  <c r="N2052" i="6"/>
  <c r="N2051" i="6"/>
  <c r="N2050" i="6"/>
  <c r="N2049" i="6"/>
  <c r="N2048" i="6"/>
  <c r="N2047" i="6"/>
  <c r="N2046" i="6"/>
  <c r="N2045" i="6"/>
  <c r="N2044" i="6"/>
  <c r="N2043" i="6"/>
  <c r="N2042" i="6"/>
  <c r="N2041" i="6"/>
  <c r="N2040" i="6"/>
  <c r="N2039" i="6"/>
  <c r="N2038" i="6"/>
  <c r="N2037" i="6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<sst xmlns="http://schemas.openxmlformats.org/spreadsheetml/2006/main" count="36943" uniqueCount="5406">
  <si>
    <t>TI Information - Selective Disclosure</t>
  </si>
  <si>
    <t>Copyright (C) 2023 Texas Instruments Incorporated</t>
  </si>
  <si>
    <t>Sheet No.</t>
  </si>
  <si>
    <t>Title</t>
  </si>
  <si>
    <t>Purpose</t>
  </si>
  <si>
    <t>Table of Contents</t>
  </si>
  <si>
    <t>Provides an overview of the contents of the complete report.</t>
  </si>
  <si>
    <t>Script Input Parameters</t>
  </si>
  <si>
    <t>Displays the input parameters provided to generate this report.</t>
  </si>
  <si>
    <t>Klocwork Build Configuration</t>
  </si>
  <si>
    <t>Provides an overview on the build in the Klocwork project for which this report has been generated.</t>
  </si>
  <si>
    <t>SA Summary by Severity</t>
  </si>
  <si>
    <t>Provides Static Analysis (SA) Summary Report by Severity on the issues identified.</t>
  </si>
  <si>
    <t>SA Summary by Modules</t>
  </si>
  <si>
    <t>Provides Static Analysis (SA) Summary Report by Modules. These modules are defined in the Klocwork project. Each module can have multiple file paths included in it.</t>
  </si>
  <si>
    <t>Raw Issue Details</t>
  </si>
  <si>
    <t>Provides raw issue details from Klocwork.</t>
  </si>
  <si>
    <t>Taxonomy Checkers</t>
  </si>
  <si>
    <t>Provides the list of checkers from the taxonomy/taxonomies in Klocwork.</t>
  </si>
  <si>
    <t>Klocwork Project Modules</t>
  </si>
  <si>
    <t>Provides the list of modules defined the Klocwork project along with the file paths included in them.</t>
  </si>
  <si>
    <t>Klocwork Project</t>
  </si>
  <si>
    <t>Taxonomy</t>
  </si>
  <si>
    <t>Build</t>
  </si>
  <si>
    <t>Advanced Query</t>
  </si>
  <si>
    <t>Jira Project Key</t>
  </si>
  <si>
    <t>Report generated on</t>
  </si>
  <si>
    <t>MCU_PLUS_SDK_AM263X</t>
  </si>
  <si>
    <t>C and C++</t>
  </si>
  <si>
    <t>Build_Apr_13_2023_11_11_AM</t>
  </si>
  <si>
    <t>MCUSDK</t>
  </si>
  <si>
    <t>2023-04-13 07:15:41.301499-05:00 CDT</t>
  </si>
  <si>
    <t>build</t>
  </si>
  <si>
    <t>cFilesAnalyzed</t>
  </si>
  <si>
    <t>creationDate</t>
  </si>
  <si>
    <t>linesOfCode</t>
  </si>
  <si>
    <t>linesOfComments</t>
  </si>
  <si>
    <t>numberOfClasses</t>
  </si>
  <si>
    <t>numberOfEntities</t>
  </si>
  <si>
    <t>numberOfFiles</t>
  </si>
  <si>
    <t>numberOfFunctions</t>
  </si>
  <si>
    <t>systemFilesAnalyzed</t>
  </si>
  <si>
    <t>taxonomies</t>
  </si>
  <si>
    <t>version</t>
  </si>
  <si>
    <t>Thu Apr 13 16:50:25 IST 2023</t>
  </si>
  <si>
    <t>C and C++, C and C++ Community Metrics, MISRA Checkers, Metrics, TI HIS 2020.04, TI Misra C 2012</t>
  </si>
  <si>
    <t>20.4.0.81</t>
  </si>
  <si>
    <t>Severity</t>
  </si>
  <si>
    <t>State: New</t>
  </si>
  <si>
    <t>State: New AND need to be Analyzed or Fixed</t>
  </si>
  <si>
    <t>State: Existing</t>
  </si>
  <si>
    <t>State: Existing AND need to be Analyzed or Fixed</t>
  </si>
  <si>
    <t>Status: Analyze</t>
  </si>
  <si>
    <t>Status: Ignore</t>
  </si>
  <si>
    <t>Status: Not a Problem</t>
  </si>
  <si>
    <t>Status: Defer</t>
  </si>
  <si>
    <t>Status: Fix</t>
  </si>
  <si>
    <t>Status: Fix in Next Release</t>
  </si>
  <si>
    <t>Status: Fix in Later Release</t>
  </si>
  <si>
    <t>Status: Filter</t>
  </si>
  <si>
    <t>MISRA Mandatory</t>
  </si>
  <si>
    <t>MISRA Required</t>
  </si>
  <si>
    <t>MISRA Advisory</t>
  </si>
  <si>
    <t>Critical</t>
  </si>
  <si>
    <t>Error</t>
  </si>
  <si>
    <t>Warning</t>
  </si>
  <si>
    <t>Review</t>
  </si>
  <si>
    <t>HIS METRICS</t>
  </si>
  <si>
    <t>Total Issues</t>
  </si>
  <si>
    <t>Module name</t>
  </si>
  <si>
    <t>DRIVER_INCLUDE</t>
  </si>
  <si>
    <t>BOARD</t>
  </si>
  <si>
    <t>KERNEL_DPL</t>
  </si>
  <si>
    <t>KERNEL_FREERTOS_TI</t>
  </si>
  <si>
    <t>KERNEL_NORTOS</t>
  </si>
  <si>
    <t>DRIVER_ADC</t>
  </si>
  <si>
    <t>DRIVER_BOOTLOADER</t>
  </si>
  <si>
    <t>DRIVER_CRC</t>
  </si>
  <si>
    <t>DRIVER_EPWM</t>
  </si>
  <si>
    <t>DRIVER_ECAP</t>
  </si>
  <si>
    <t>DRIVER_EQEP</t>
  </si>
  <si>
    <t>DRIVER_PINMUX</t>
  </si>
  <si>
    <t>DRIVER_SOC</t>
  </si>
  <si>
    <t>DRIVER_UART</t>
  </si>
  <si>
    <t>DRIVER_I2C</t>
  </si>
  <si>
    <t>DRIVER_MCSPI</t>
  </si>
  <si>
    <t>DRIVER_FSI</t>
  </si>
  <si>
    <t>DRIVER_GPIO</t>
  </si>
  <si>
    <t>DRIVER_IPC_NOTIFY</t>
  </si>
  <si>
    <t>DRIVER_IPC_RPMSG</t>
  </si>
  <si>
    <t>DRIVER_MCAN</t>
  </si>
  <si>
    <t>DRIVER_QSPI</t>
  </si>
  <si>
    <t>DRIVER_SPINLOCK</t>
  </si>
  <si>
    <t>KERNEL_FREERTOS_KERNEL</t>
  </si>
  <si>
    <t>KERNEL_FREERTOS_POSIX</t>
  </si>
  <si>
    <t>DRIVER_EDMA</t>
  </si>
  <si>
    <t>DRIVER_DAC</t>
  </si>
  <si>
    <t>DRIVER_CMPSS</t>
  </si>
  <si>
    <t>DRIVER_MDIO</t>
  </si>
  <si>
    <t>DRIVER_MPU_FIREWALL</t>
  </si>
  <si>
    <t>DRIVER_PRUICSS</t>
  </si>
  <si>
    <t>DRIVER_SDFM</t>
  </si>
  <si>
    <t>DRIVER_WATCHDOG</t>
  </si>
  <si>
    <t>INDUSTRIAL_COMMS</t>
  </si>
  <si>
    <t>NETWORKING_ENET</t>
  </si>
  <si>
    <t>NETWORKING_ICSS_EMAC</t>
  </si>
  <si>
    <t>NETWORKING_LWIP_CONTRIB</t>
  </si>
  <si>
    <t>NETWORKING_LWIP_STACK</t>
  </si>
  <si>
    <t>NETWORKING_LWIP_TI</t>
  </si>
  <si>
    <t>DRIVER_MMCSD</t>
  </si>
  <si>
    <t>SDL_DCC</t>
  </si>
  <si>
    <t>SDL_DPL</t>
  </si>
  <si>
    <t>SDL_ECC</t>
  </si>
  <si>
    <t>SDL_ECC_BUS_SAFETY</t>
  </si>
  <si>
    <t>SDL_ESM</t>
  </si>
  <si>
    <t>SDL_include</t>
  </si>
  <si>
    <t>SDL_MCRC</t>
  </si>
  <si>
    <t>SDL_PBIST</t>
  </si>
  <si>
    <t>SDL_R5</t>
  </si>
  <si>
    <t>SDL_RTI</t>
  </si>
  <si>
    <t>SDL_STC</t>
  </si>
  <si>
    <t>code</t>
  </si>
  <si>
    <t>comment</t>
  </si>
  <si>
    <t>file</t>
  </si>
  <si>
    <t>id</t>
  </si>
  <si>
    <t>line</t>
  </si>
  <si>
    <t>message</t>
  </si>
  <si>
    <t>method</t>
  </si>
  <si>
    <t>owner</t>
  </si>
  <si>
    <t>severity</t>
  </si>
  <si>
    <t>severityCode</t>
  </si>
  <si>
    <t>state</t>
  </si>
  <si>
    <t>status</t>
  </si>
  <si>
    <t>taxonomyName</t>
  </si>
  <si>
    <t>url</t>
  </si>
  <si>
    <t>module</t>
  </si>
  <si>
    <t>VA_UNUSED.GEN</t>
  </si>
  <si>
    <t>Permitted by deviation: MISRAC-77</t>
  </si>
  <si>
    <t>/kwbuilds/release_area/mcu_plus_sdk/source/kernel/nortos/dpl/common/DebugP_shmLogReader.c</t>
  </si>
  <si>
    <t>Value of 'rd_idx' is never used after assignment</t>
  </si>
  <si>
    <t>DebugP_shmLogReaderGetString</t>
  </si>
  <si>
    <t>unowned</t>
  </si>
  <si>
    <t>Existing</t>
  </si>
  <si>
    <t>Ignore</t>
  </si>
  <si>
    <t>*default*, KERNEL_NORTOS</t>
  </si>
  <si>
    <t>INFINITE_LOOP.LOCAL</t>
  </si>
  <si>
    <t>Genuine issue but we have an approved waiver MCUSDK_SA_DR_002 (INFINITE_LOOP.LOCAL).
https://confluence.itg.ti.com/display/SITARAMCUSW/MCU+PLUS+SDK+Static+Analysis+Policy</t>
  </si>
  <si>
    <t>Infinite loop</t>
  </si>
  <si>
    <t>DebugP_shmLogReaderTaskMain</t>
  </si>
  <si>
    <t>INVARIANT_CONDITION.UNREACH</t>
  </si>
  <si>
    <t>/kwbuilds/release_area/mcu_plus_sdk/source/kernel/freertos/FreeRTOS-POSIX/FreeRTOS-Plus-POSIX/source/FreeRTOS_POSIX_clock.c</t>
  </si>
  <si>
    <t>Expression 'clock_gettime(0,  &amp;xCurrentTime) !=0' used in the condition always yields the same result, and causes an unreachable code</t>
  </si>
  <si>
    <t>clock_nanosleep</t>
  </si>
  <si>
    <t>Analyze</t>
  </si>
  <si>
    <t>*default*, KERNEL_FREERTOS_POSIX</t>
  </si>
  <si>
    <t>UNREACH.GEN</t>
  </si>
  <si>
    <t>Code is unreachable</t>
  </si>
  <si>
    <t>INVARIANT_CONDITION.GEN</t>
  </si>
  <si>
    <t>Expression 'iStatus' used in the condition always yields the same result</t>
  </si>
  <si>
    <t>/kwbuilds/release_area/mcu_plus_sdk/source/kernel/freertos/FreeRTOS-POSIX/FreeRTOS-Plus-POSIX/source/FreeRTOS_POSIX_mqueue.c</t>
  </si>
  <si>
    <t>prvCalculateTickTimeout</t>
  </si>
  <si>
    <t>Expression 'xQueueListInitialized' used in the condition always yields the same result</t>
  </si>
  <si>
    <t>prvInitializeQueueList</t>
  </si>
  <si>
    <t>FREE.INCONSISTENT</t>
  </si>
  <si>
    <t>Memory pointed by 'mqdes' is freed at this point, but this memory is not freed upon function exits at line(s) 456.</t>
  </si>
  <si>
    <t>mq_close</t>
  </si>
  <si>
    <t>Memory pointed by 'mqdes-&gt;pcName' is freed at this point, but this memory is not freed upon function exits at line(s) 456.</t>
  </si>
  <si>
    <t>/kwbuilds/release_area/mcu_plus_sdk/source/kernel/freertos/FreeRTOS-POSIX/FreeRTOS-Plus-POSIX/source/FreeRTOS_POSIX_pthread.c</t>
  </si>
  <si>
    <t>Memory pointed by 'pthread' is freed at this point, but this memory is not freed upon function exits at line(s) 473.</t>
  </si>
  <si>
    <t>pthread_join</t>
  </si>
  <si>
    <t>/kwbuilds/release_area/mcu_plus_sdk/source/kernel/freertos/FreeRTOS-POSIX/FreeRTOS-Plus-POSIX/source/FreeRTOS_POSIX_pthread_cond.c</t>
  </si>
  <si>
    <t>Expression 'pxCond-&gt;xIsInitialized' used in the condition always yields the same result</t>
  </si>
  <si>
    <t>prvInitializeStaticCond</t>
  </si>
  <si>
    <t>pthread_cond_timedwait</t>
  </si>
  <si>
    <t>UNINIT.STACK.MIGHT</t>
  </si>
  <si>
    <t>Please check "Deviation Policies" section in https://confluence.itg.ti.com/display/SITARAMCUSW/MCU+PLUS+SDK+Static+Analysis+Policy</t>
  </si>
  <si>
    <t>'iLocalWaitingThreads' might be used uninitialized in this function.</t>
  </si>
  <si>
    <t>Defer</t>
  </si>
  <si>
    <t>CONC.NO_UNLOCK</t>
  </si>
  <si>
    <t>Variable '*mutex' locked on line 261 was not unlocked.</t>
  </si>
  <si>
    <t>/kwbuilds/release_area/mcu_plus_sdk/source/kernel/freertos/FreeRTOS-POSIX/FreeRTOS-Plus-POSIX/source/FreeRTOS_POSIX_pthread_mutex.c</t>
  </si>
  <si>
    <t>Expression 'pxMutex-&gt;xIsInitialized' used in the condition always yields the same result</t>
  </si>
  <si>
    <t>prvInitializeStaticMutex</t>
  </si>
  <si>
    <t>Expression '&amp;(pxMutex-&gt;xMutex) != 0' used in the condition always yields the same result, and causes an unreachable code</t>
  </si>
  <si>
    <t>pthread_mutex_init</t>
  </si>
  <si>
    <t>pthread_mutex_timedlock</t>
  </si>
  <si>
    <t>/kwbuilds/release_area/mcu_plus_sdk/source/kernel/freertos/FreeRTOS-POSIX/FreeRTOS-Plus-POSIX/source/FreeRTOS_POSIX_semaphore.c</t>
  </si>
  <si>
    <t>sem_timedwait</t>
  </si>
  <si>
    <t>/kwbuilds/release_area/mcu_plus_sdk/source/kernel/freertos/FreeRTOS-POSIX/FreeRTOS-Plus-POSIX/source/FreeRTOS_POSIX_timer.c</t>
  </si>
  <si>
    <t>timer_settime</t>
  </si>
  <si>
    <t>NPD.FUNC.MUST</t>
  </si>
  <si>
    <t>Klocwork Tool Issue.
https://confluence.itg.ti.com/display/SITARAMCUSW/MCU+PLUS+SDK+Static+Analysis+Policy#MCUPLUSSDKStaticAnalysisPolicy-MCUSDK_SA_DR_009(NPD.FUNC.MUST)</t>
  </si>
  <si>
    <t>/kwbuilds/release_area/mcu_plus_sdk/source/drivers/ipc_notify/v1/ipc_notify_v1.c</t>
  </si>
  <si>
    <t>Pointer 'swQ' returned from call to function 'IpcNotify_getReadSwQ' at line 156 may be NULL and will be dereferenced at line 161.</t>
  </si>
  <si>
    <t>IpcNotify_isr</t>
  </si>
  <si>
    <t>Not a Problem</t>
  </si>
  <si>
    <t>*default*, DRIVER_IPC_NOTIFY</t>
  </si>
  <si>
    <t>Pointer 'swQ' returned from call to function 'IpcNotify_getWriteMailbox' at line 196 may be NULL and will be dereferenced at line 203.</t>
  </si>
  <si>
    <t>IpcNotify_sendMsg</t>
  </si>
  <si>
    <t>ABV.GENERAL</t>
  </si>
  <si>
    <t>KW Tool Issue. MCUSDK_SA_DR_001(ABV.GENERAL) 
https://confluence.itg.ti.com/display/SITARAMCUSW/MCU+PLUS+SDK+Static+Analysis+Policy</t>
  </si>
  <si>
    <t>/kwbuilds/release_area/mcu_plus_sdk/source/kernel/nortos/dpl/common/printf.c</t>
  </si>
  <si>
    <t>Array 'buf' of size 32 may use index value(s) 32</t>
  </si>
  <si>
    <t>_ftoa</t>
  </si>
  <si>
    <t>Permitted by deviation: MISRAC-73</t>
  </si>
  <si>
    <t>Expression 'sizeof(intmax_t) ==sizeof(long)' used in the condition always yields the same result</t>
  </si>
  <si>
    <t>_vsnprintf</t>
  </si>
  <si>
    <t>Permitted by deviation: MISRAC-76</t>
  </si>
  <si>
    <t>/kwbuilds/release_area/mcu_plus_sdk/source/drivers/qspi/v0/qspi.c</t>
  </si>
  <si>
    <t>Expression '( (int32_t)0) ==status' used in the condition always yields the same result</t>
  </si>
  <si>
    <t>QSPI_init</t>
  </si>
  <si>
    <t>*default*, DRIVER_QSPI</t>
  </si>
  <si>
    <t>Expression 'status!= ( (int32_t)0)' used in the condition always yields the same result, and causes an unreachable code</t>
  </si>
  <si>
    <t>QSPI_readMemMapMode</t>
  </si>
  <si>
    <t>/kwbuilds/release_area/mcu_plus_sdk/source/kernel/freertos/FreeRTOS-Kernel/queue.c</t>
  </si>
  <si>
    <t>Memory pointed by 'xQueue' is freed at this point, but this memory is not freed upon function exits at line(s) 2065.</t>
  </si>
  <si>
    <t>vQueueDelete</t>
  </si>
  <si>
    <t>*default*, KERNEL_FREERTOS_KERNEL</t>
  </si>
  <si>
    <t>/kwbuilds/release_area/mcu_plus_sdk/source/kernel/freertos/FreeRTOS-Kernel/tasks.c</t>
  </si>
  <si>
    <t>Expression 'x&lt; (1)' used in the condition always yields the same result</t>
  </si>
  <si>
    <t>eTaskGetState</t>
  </si>
  <si>
    <t>vTaskSuspend</t>
  </si>
  <si>
    <t>Expression 'xPortStartScheduler() != ( (BaseType_...' used in the condition always yields the same result</t>
  </si>
  <si>
    <t>vTaskStartScheduler</t>
  </si>
  <si>
    <t>Expression 'xConstTickCount' used in the condition always yields the same result, and causes an unreachable code</t>
  </si>
  <si>
    <t>xTaskIncrementTick</t>
  </si>
  <si>
    <t>prvIdleTask</t>
  </si>
  <si>
    <t>Memory pointed by 'pxTCB-&gt;pxStack' is freed at this point, but this memory is not freed upon function exits at line(s) 3983.</t>
  </si>
  <si>
    <t>prvDeleteTCB</t>
  </si>
  <si>
    <t>Memory pointed by 'pxTCB' is freed at this point, but this memory is not freed upon function exits at line(s) 3983.</t>
  </si>
  <si>
    <t>/kwbuilds/release_area/mcu_plus_sdk/source/kernel/freertos/FreeRTOS-Kernel/timers.c</t>
  </si>
  <si>
    <t>prvTimerTask</t>
  </si>
  <si>
    <t>Expression 'xTimerQueue!= ( (void* )0)' used in the condition always yields the same result</t>
  </si>
  <si>
    <t>prvCheckForValidListAndQueue</t>
  </si>
  <si>
    <t>/kwbuilds/release_area/mcu_plus_sdk/source/drivers/uart/v0/uart_v0.c</t>
  </si>
  <si>
    <t>UART_init</t>
  </si>
  <si>
    <t>*default*, DRIVER_UART</t>
  </si>
  <si>
    <t>UART_open</t>
  </si>
  <si>
    <t>Value of 'readByte' is never used after assignment</t>
  </si>
  <si>
    <t>UART_readByte</t>
  </si>
  <si>
    <t>/kwbuilds/release_area/mcu_plus_sdk/source/drivers/i2c/v1/i2c_v1.c</t>
  </si>
  <si>
    <t>I2C_init</t>
  </si>
  <si>
    <t>*default*, DRIVER_I2C</t>
  </si>
  <si>
    <t>/kwbuilds/release_area/mcu_plus_sdk/source/drivers/sdfm/v0/sdfm.c</t>
  </si>
  <si>
    <t>Expression 'ratio&gt; (255)' used in the condition always yields the same result, and causes an unreachable code</t>
  </si>
  <si>
    <t>SDFM_configDataFilter</t>
  </si>
  <si>
    <t>*default*, DRIVER_SDFM</t>
  </si>
  <si>
    <t>SDFM_configDataFilterFIFO</t>
  </si>
  <si>
    <t>/kwbuilds/release_area/mcu_plus_sdk/source/drivers/soc/am263x/soc_rcm.c</t>
  </si>
  <si>
    <t>Expression 'r5fssNum == r5fss1' used in the condition always yields the same result</t>
  </si>
  <si>
    <t>SOC_rcmGetResetCause</t>
  </si>
  <si>
    <t>*default*, DRIVER_SOC</t>
  </si>
  <si>
    <t>/kwbuilds/release_area/mcu_plus_sdk/source/drivers/mcspi/v0/mcspi_v0.c</t>
  </si>
  <si>
    <t>MCSPI_init</t>
  </si>
  <si>
    <t>*default*, DRIVER_MCSPI</t>
  </si>
  <si>
    <t>MCSPI_open</t>
  </si>
  <si>
    <t>/kwbuilds/release_area/mcu_plus_sdk/source/drivers/bootloader/bootloader.c</t>
  </si>
  <si>
    <t>Value of 'status' is never used after assignment</t>
  </si>
  <si>
    <t>Bootloader_loadCpu</t>
  </si>
  <si>
    <t>*default*, DRIVER_BOOTLOADER</t>
  </si>
  <si>
    <t>We have a waiver. https://jira.itg.ti.com/browse/MISRAC-50</t>
  </si>
  <si>
    <t>Bootloader_runCpu</t>
  </si>
  <si>
    <t>Expression 'status' used in the condition always yields the same result</t>
  </si>
  <si>
    <t>Bootloader_loadSelfCpu</t>
  </si>
  <si>
    <t>/kwbuilds/release_area/mcu_plus_sdk/source/drivers/bootloader/bootloader_uniflash.c</t>
  </si>
  <si>
    <t>Bootloader_uniflashFlashPhyTuningData</t>
  </si>
  <si>
    <t>/kwbuilds/release_area/mcu_plus_sdk/source/drivers/bootloader/xmodem.c</t>
  </si>
  <si>
    <t>Expression 'xbuff[1] == (unsigned char) ( ~xbuff[...' used in the condition always yields the same result, and causes an unreachable code</t>
  </si>
  <si>
    <t>xmodemReceive</t>
  </si>
  <si>
    <t>/kwbuilds/release_area/mcu_plus_sdk/source/board/ethphy/ethphy_dp83869.c</t>
  </si>
  <si>
    <t>ETHPHY_DP83869_setRxHalfFullThresholdRgmii</t>
  </si>
  <si>
    <t>*default*, BOARD</t>
  </si>
  <si>
    <t>ETHPHY_DP83869_setTxHalfFullThresholdRgmii</t>
  </si>
  <si>
    <t>/kwbuilds/release_area/mcu_plus_sdk/source/drivers/fsi/v1/fsi_rx.c</t>
  </si>
  <si>
    <t>Expression 'retVal' used in the condition always yields the same result</t>
  </si>
  <si>
    <t>FSI_performRxInitialization</t>
  </si>
  <si>
    <t>*default*, DRIVER_FSI</t>
  </si>
  <si>
    <t>/kwbuilds/release_area/mcu_plus_sdk/source/drivers/fsi/v1/fsi_tx.c</t>
  </si>
  <si>
    <t>FSI_performTxInitialization</t>
  </si>
  <si>
    <t>/kwbuilds/release_area/mcu_plus_sdk/source/drivers/pruicss/m_v0/pruicss_m_v0.c</t>
  </si>
  <si>
    <t>PRUICSS_registerIrqHandler</t>
  </si>
  <si>
    <t>*default*, DRIVER_PRUICSS</t>
  </si>
  <si>
    <t>Expression 'retVal== ( (int32_t) -1)' used in the condition always yields the same result, and causes an unreachable code</t>
  </si>
  <si>
    <t>CWARN.NOEFFECT.UCMP.GE</t>
  </si>
  <si>
    <t>/kwbuilds/release_area/mcu_plus_sdk/source/drivers/epwm/v1/etpwm.h</t>
  </si>
  <si>
    <t>Comparison of unsigned value against 0 is always true</t>
  </si>
  <si>
    <t>EPWM_enableTripZoneInterrupt</t>
  </si>
  <si>
    <t>*default*, DRIVER_EPWM</t>
  </si>
  <si>
    <t>/kwbuilds/release_area/mcu_plus_sdk/source/networking/lwip/lwip-stack/src/apps/http/altcp_proxyconnect.c</t>
  </si>
  <si>
    <t>Expression 'len&lt;0' used in the condition always yields the same result</t>
  </si>
  <si>
    <t>altcp_proxyconnect_send_request</t>
  </si>
  <si>
    <t>*default*, NETWORKING_LWIP_STACK</t>
  </si>
  <si>
    <t>Expression 'len2&lt;=65535' used in the condition always yields the same result</t>
  </si>
  <si>
    <t>/kwbuilds/release_area/mcu_plus_sdk/source/networking/lwip/lwip-stack/src/api/api_lib.c</t>
  </si>
  <si>
    <t>Expression 'err' used in the condition always yields the same result, and causes an unreachable code</t>
  </si>
  <si>
    <t>netconn_apimsg</t>
  </si>
  <si>
    <t>Expression 'cberr!=ERR_OK' used in the condition always yields the same result, and causes an unreachable code</t>
  </si>
  <si>
    <t>netconn_gethostbyname</t>
  </si>
  <si>
    <t>NPD.CHECK.MUST</t>
  </si>
  <si>
    <t>No plan to fix SA issues in 3rd party or open source components</t>
  </si>
  <si>
    <t>Pointer 'buf' checked for NULL at line 657 will be dereferenced at line 658.</t>
  </si>
  <si>
    <t>netconn_recv_data</t>
  </si>
  <si>
    <t>NPD.CHECK.MIGHT</t>
  </si>
  <si>
    <t>/kwbuilds/release_area/mcu_plus_sdk/source/networking/lwip/lwip-stack/src/api/api_msg.c</t>
  </si>
  <si>
    <t>Pointer 'err' checked for NULL at line 133 may be dereferenced at line 136.</t>
  </si>
  <si>
    <t>lwip_netconn_is_err_msg</t>
  </si>
  <si>
    <t>Pointer 'err' checked for NULL at line 133 may be dereferenced at line 139.</t>
  </si>
  <si>
    <t>Pointer 'err' checked for NULL at line 133 may be dereferenced at line 142.</t>
  </si>
  <si>
    <t>Pointer 'conn' checked for NULL at line 362 will be dereferenced at line 364.</t>
  </si>
  <si>
    <t>poll_tcp</t>
  </si>
  <si>
    <t>Pointer 'conn' checked for NULL at line 440 will be dereferenced at line 445.</t>
  </si>
  <si>
    <t>err_tcp</t>
  </si>
  <si>
    <t>Pointer 'conn-&gt;current_msg' checked for NULL at line 486 will be dereferenced at line 489.</t>
  </si>
  <si>
    <t>Pointer 'conn-&gt;current_msg' checked for NULL at line 486 will be dereferenced at line 492.</t>
  </si>
  <si>
    <t>Pointer 'conn' checked for NULL at line 930 will be dereferenced at line 931.</t>
  </si>
  <si>
    <t>lwip_netconn_do_close_internal</t>
  </si>
  <si>
    <t>Pointer 'conn-&gt;current_msg' checked for NULL at line 934 will be dereferenced at line 937.</t>
  </si>
  <si>
    <t>Pointer 'op_completed_sem' checked for NULL at line 1329 will be dereferenced at line 1336.</t>
  </si>
  <si>
    <t>lwip_netconn_do_connected</t>
  </si>
  <si>
    <t>Pointer 'conn' checked for NULL at line 1651 will be dereferenced at line 1652.</t>
  </si>
  <si>
    <t>lwip_netconn_do_writemore</t>
  </si>
  <si>
    <t>Pointer 'conn-&gt;current_msg' checked for NULL at line 1653 will be dereferenced at line 1656.</t>
  </si>
  <si>
    <t>lwip_netconn_do_delconn</t>
  </si>
  <si>
    <t>lwip_netconn_do_close</t>
  </si>
  <si>
    <t>Expression 'err==ERR_MEM' used in the condition always yields the same result, and causes an unreachable code</t>
  </si>
  <si>
    <t>Expression 'close_finished' used in the condition always yields the same result, and causes an unreachable code</t>
  </si>
  <si>
    <t>Expression 'lwip_netconn_do_close_internal(msg-&gt;c...' used in the condition always yields the same result, and causes an unreachable code</t>
  </si>
  <si>
    <t>NPD.GEN.MIGHT</t>
  </si>
  <si>
    <t>Null pointer 'op_completed_sem' that comes from line 1305 may be dereferenced at line 1336.</t>
  </si>
  <si>
    <t>Expression '0' used in the condition always yields the same result</t>
  </si>
  <si>
    <t>lwip_netconn_do_connect</t>
  </si>
  <si>
    <t>/kwbuilds/release_area/mcu_plus_sdk/source/networking/lwip/lwip-stack/src/netif/bridgeif.c</t>
  </si>
  <si>
    <t>Pointer 'bridgeif' checked for NULL at line 140 will be dereferenced at line 141.</t>
  </si>
  <si>
    <t>bridgeif_fdb_add</t>
  </si>
  <si>
    <t>Pointer 'br' checked for NULL at line 142 will be dereferenced at line 145.</t>
  </si>
  <si>
    <t>Pointer 'bridgeif' checked for NULL at line 173 will be dereferenced at line 174.</t>
  </si>
  <si>
    <t>bridgeif_fdb_remove</t>
  </si>
  <si>
    <t>Pointer 'br' checked for NULL at line 175 will be dereferenced at line 178.</t>
  </si>
  <si>
    <t>Pointer 'netif' checked for NULL at line 420 will be dereferenced at line 421.</t>
  </si>
  <si>
    <t>bridgeif_init</t>
  </si>
  <si>
    <t>Pointer 'init_data' checked for NULL at line 433 will be dereferenced at line 435.</t>
  </si>
  <si>
    <t>Pointer 'bridgeif' checked for NULL at line 529 will be dereferenced at line 530.</t>
  </si>
  <si>
    <t>bridgeif_add_port</t>
  </si>
  <si>
    <t>Pointer 'portif' checked for NULL at line 531 will be dereferenced at line 533.</t>
  </si>
  <si>
    <t>Pointer 'br' checked for NULL at line 530 may be dereferenced at line 540.</t>
  </si>
  <si>
    <t>/kwbuilds/release_area/mcu_plus_sdk/source/networking/lwip/lwip-stack/src/netif/bridgeif_fdb.c</t>
  </si>
  <si>
    <t>Expression 'e-&gt;used' used in the condition always yields the same result</t>
  </si>
  <si>
    <t>bridgeif_fdb_age_one_second</t>
  </si>
  <si>
    <t>Expression 'e-&gt;ts' used in the condition always yields the same result</t>
  </si>
  <si>
    <t>Pointer 'fdb' checked for NULL at line 184 will be dereferenced at line 186.</t>
  </si>
  <si>
    <t>bridgeif_age_tmr</t>
  </si>
  <si>
    <t>/kwbuilds/release_area/mcu_plus_sdk/source/networking/lwip/lwip-contrib/apps/chargen/chargen.c</t>
  </si>
  <si>
    <t>chargen_thread</t>
  </si>
  <si>
    <t>*default*, NETWORKING_LWIP_CONTRIB</t>
  </si>
  <si>
    <t>/kwbuilds/release_area/mcu_plus_sdk/source/networking/enet/core/src/mod/cpsw_ale.c</t>
  </si>
  <si>
    <t>CpswAle_ioctl</t>
  </si>
  <si>
    <t>*default*, NETWORKING_ENET</t>
  </si>
  <si>
    <t>CpswAle_addVlan</t>
  </si>
  <si>
    <t>/kwbuilds/release_area/mcu_plus_sdk/source/networking/enet/core/src/mod/cpsw_cpts.c</t>
  </si>
  <si>
    <t>CpswCpts_ioctl</t>
  </si>
  <si>
    <t>/kwbuilds/release_area/mcu_plus_sdk/source/networking/enet/core/src/mod/cpsw_hostport.c</t>
  </si>
  <si>
    <t>CpswHostPort_ioctl</t>
  </si>
  <si>
    <t>/kwbuilds/release_area/mcu_plus_sdk/source/networking/enet/core/src/mod/cpsw_macport.c</t>
  </si>
  <si>
    <t>CpswMacPort_ioctl</t>
  </si>
  <si>
    <t>/kwbuilds/release_area/mcu_plus_sdk/source/networking/enet/core/src/mod/cpsw_stats.c</t>
  </si>
  <si>
    <t>CpswStats_ioctl</t>
  </si>
  <si>
    <t>/kwbuilds/release_area/mcu_plus_sdk/source/networking/lwip/lwip-stack/src/core/def.c</t>
  </si>
  <si>
    <t>Value of 'res' is never used after assignment</t>
  </si>
  <si>
    <t>lwip_itoa</t>
  </si>
  <si>
    <t>/kwbuilds/release_area/mcu_plus_sdk/source/networking/lwip/lwip-stack/src/core/ipv4/dhcp.c</t>
  </si>
  <si>
    <t>Pointer 'netif' checked for NULL at line 693 will be dereferenced at line 695.</t>
  </si>
  <si>
    <t>dhcp_set_struct</t>
  </si>
  <si>
    <t>Pointer 'dhcp' checked for NULL at line 694 will be dereferenced at line 698.</t>
  </si>
  <si>
    <t>Pointer 'netif' checked for NULL at line 715 will be dereferenced at line 717.</t>
  </si>
  <si>
    <t>dhcp_cleanup</t>
  </si>
  <si>
    <t>Expression 'result!=ERR_OK' used in the condition always yields the same result, and causes an unreachable code</t>
  </si>
  <si>
    <t>dhcp_start</t>
  </si>
  <si>
    <t>Expression 'decode_idx&lt;DHCP_OPTION_IDX_MAX' used in the condition always yields the same result</t>
  </si>
  <si>
    <t>dhcp_parse_reply</t>
  </si>
  <si>
    <t>/kwbuilds/release_area/mcu_plus_sdk/source/networking/lwip/lwip-stack/src/core/dns.c</t>
  </si>
  <si>
    <t>dns_send</t>
  </si>
  <si>
    <t>dns_check_entry</t>
  </si>
  <si>
    <t>Expression 'offset' used in the condition always yields the same result</t>
  </si>
  <si>
    <t>dns_skip_name</t>
  </si>
  <si>
    <t>Expression 'entry-&gt;state==DNS_STATE_DONE' used in the condition always yields the same result</t>
  </si>
  <si>
    <t>dns_correct_response</t>
  </si>
  <si>
    <t>Expression '!0' used in the condition always yields the same result</t>
  </si>
  <si>
    <t>dns_recv</t>
  </si>
  <si>
    <t>/kwbuilds/release_area/mcu_plus_sdk/source/networking/enet/core/src/phy/dp83822.c</t>
  </si>
  <si>
    <t>Expression 'extendedCfg' used in the condition always yields the same result</t>
  </si>
  <si>
    <t>Dp83822_config</t>
  </si>
  <si>
    <t>/kwbuilds/release_area/mcu_plus_sdk/source/networking/enet/core/src/phy/dp83867.c</t>
  </si>
  <si>
    <t>Dp83867_config</t>
  </si>
  <si>
    <t>/kwbuilds/release_area/mcu_plus_sdk/source/networking/enet/core/src/phy/dp83869.c</t>
  </si>
  <si>
    <t>Dp83869_config</t>
  </si>
  <si>
    <t>/kwbuilds/release_area/mcu_plus_sdk/source/networking/enet/core/src/core/enet.c</t>
  </si>
  <si>
    <t>Enet_ioctl</t>
  </si>
  <si>
    <t>/kwbuilds/release_area/mcu_plus_sdk/source/networking/enet/utils/enet_appmemutils.c</t>
  </si>
  <si>
    <t>Expression '( ( (int32_t) (0) ) ) ==retVal' used in the condition always yields the same result</t>
  </si>
  <si>
    <t>EnetMem_initCore</t>
  </si>
  <si>
    <t>/kwbuilds/release_area/mcu_plus_sdk/source/networking/enet/utils/enet_apputils.c</t>
  </si>
  <si>
    <t>Expression 'isCacheCoherent' used in the condition always yields the same result</t>
  </si>
  <si>
    <t>EnetAppUtils_cacheWb</t>
  </si>
  <si>
    <t>EnetAppUtils_cacheInv</t>
  </si>
  <si>
    <t>EnetAppUtils_cacheWbInv</t>
  </si>
  <si>
    <t>Expression '( (Bool)1) ==EnetAppUtils_isPrintSupp...' used in the condition always yields the same result</t>
  </si>
  <si>
    <t>EnetAppUtils_vprint</t>
  </si>
  <si>
    <t>EnetAppUtils_print</t>
  </si>
  <si>
    <t>Expression '( ( - (int32_t) (8) ) -5) !=retVal' used in the condition always yields the same result, and causes an unreachable code</t>
  </si>
  <si>
    <t>EnetAppUtils_showTxChStats</t>
  </si>
  <si>
    <t>EnetAppUtils_showRxChStats</t>
  </si>
  <si>
    <t>/kwbuilds/release_area/mcu_plus_sdk/source/networking/enet/core/src/dma/cpdma/enet_cpdma.c</t>
  </si>
  <si>
    <t>EnetCpdma_initRxChannel</t>
  </si>
  <si>
    <t>EnetDma_retrieveRxPktQ</t>
  </si>
  <si>
    <t>EnetDma_retrieveRxPkt</t>
  </si>
  <si>
    <t>Expression 'pRxCh' used in the condition always yields the same result, and causes an unreachable code</t>
  </si>
  <si>
    <t>EnetDma_openRxCh</t>
  </si>
  <si>
    <t>Expression '( ( (int32_t) (0) ) ) !=retVal' used in the condition always yields the same result, and causes an unreachable code</t>
  </si>
  <si>
    <t>EnetDma_closeRxCh</t>
  </si>
  <si>
    <t>Expression 'pTxCh' used in the condition always yields the same result, and causes an unreachable code</t>
  </si>
  <si>
    <t>EnetDma_openTxCh</t>
  </si>
  <si>
    <t>EnetDma_closeTxCh</t>
  </si>
  <si>
    <t>/kwbuilds/release_area/mcu_plus_sdk/source/networking/enet/core/src/dma/cpdma/enet_cpdma_priv.c</t>
  </si>
  <si>
    <t>Value of 'pRxChMemObj' is never used after assignment</t>
  </si>
  <si>
    <t>EnetCpdma_memMgrFreeRxChObj</t>
  </si>
  <si>
    <t>Value of 'pTxChObj' is never used after assignment</t>
  </si>
  <si>
    <t>EnetCpdma_memMgrFreeTxChObj</t>
  </si>
  <si>
    <t>/kwbuilds/release_area/mcu_plus_sdk/source/networking/enet/core/src/common/enet_osal_dflt.c</t>
  </si>
  <si>
    <t>EnetOsalDflt_registerIntr</t>
  </si>
  <si>
    <t>Expression 'status' used in the condition always yields the same result, and causes an unreachable code</t>
  </si>
  <si>
    <t>EnetOsalDflt_createMutex</t>
  </si>
  <si>
    <t>/kwbuilds/release_area/mcu_plus_sdk/source/networking/enet/core/src/core/enet_rm.c</t>
  </si>
  <si>
    <t>Expression 'i&lt;resInfo-&gt;numCores' used in the condition always yields the same result</t>
  </si>
  <si>
    <t>EnetRm_close</t>
  </si>
  <si>
    <t>EnetRm_ioctl</t>
  </si>
  <si>
    <t>Expression 'i &lt; resTbl-&gt;numCores' used in the condition always yields the same result</t>
  </si>
  <si>
    <t>EnetRm_getFreeQ</t>
  </si>
  <si>
    <t>Expression 'i &lt; cfg-&gt;resPartInfo.numCores' used in the condition always yields the same result</t>
  </si>
  <si>
    <t>EnetRm_getCoreResourceInfo</t>
  </si>
  <si>
    <t>/kwbuilds/release_area/mcu_plus_sdk/source/networking/enet/core/src/core/enet_utils.c</t>
  </si>
  <si>
    <t>EnetUtils_macToPhyMii</t>
  </si>
  <si>
    <t>/kwbuilds/release_area/mcu_plus_sdk/source/networking/enet/core/src/phy/enetphy.c</t>
  </si>
  <si>
    <t>Expression 'prevFsmState==ENETPHY_FSM_STATE_LOOPBACK' used in the condition always yields the same result</t>
  </si>
  <si>
    <t>EnetPhy_tick</t>
  </si>
  <si>
    <t>/kwbuilds/release_area/mcu_plus_sdk/source/networking/lwip/lwip-stack/src/core/ipv4/etharp.c</t>
  </si>
  <si>
    <t>etharp_find_entry</t>
  </si>
  <si>
    <t>Expression 'state&gt;=ETHARP_STATE_STABLE' used in the condition always yields the same result</t>
  </si>
  <si>
    <t>Pointer 'eth_ret' checked for NULL at line 588 may be dereferenced at line 595.</t>
  </si>
  <si>
    <t>etharp_find_addr</t>
  </si>
  <si>
    <t>Pointer 'ip_ret' checked for NULL at line 589 may be dereferenced at line 596.</t>
  </si>
  <si>
    <t>Pointer 'ipaddr' checked for NULL at line 614 may be dereferenced at line 619.</t>
  </si>
  <si>
    <t>etharp_get_entry</t>
  </si>
  <si>
    <t>Pointer 'netif' checked for NULL at line 615 may be dereferenced at line 620.</t>
  </si>
  <si>
    <t>Pointer 'eth_ret' checked for NULL at line 616 may be dereferenced at line 621.</t>
  </si>
  <si>
    <t>Pointer 'netif' checked for NULL at line 798 may be dereferenced at line 825.</t>
  </si>
  <si>
    <t>etharp_output</t>
  </si>
  <si>
    <t>Pointer 'netif' checked for NULL at line 1111 may be dereferenced at line 1130.</t>
  </si>
  <si>
    <t>etharp_raw</t>
  </si>
  <si>
    <t>Pointer 'ipaddr' checked for NULL at line 800 will be dereferenced at line 806.</t>
  </si>
  <si>
    <t>NPD.CHECK.CALL.MUST</t>
  </si>
  <si>
    <t>Pointer 'netif' checked for NULL at line 798 will be passed to function and may be dereferenced there by passing argument 2 to function 'ip4_addr_isbroadcast_u32' at line 806.</t>
  </si>
  <si>
    <t>NPD.CHECK.CALL.MIGHT</t>
  </si>
  <si>
    <t>Pointer 'q' checked for NULL at line 799 may be passed to function and may be dereferenced there by passing argument 2 to function 'etharp_output_to_arp_index' at line 868.</t>
  </si>
  <si>
    <t>Pointer 'q' checked for NULL at line 799 may be passed to function and may be dereferenced there by passing argument 2 to function 'etharp_output_to_arp_index' at line 885.</t>
  </si>
  <si>
    <t>Pointer 'q' checked for NULL at line 799 may be passed to function and may be dereferenced there by passing argument 2 to function 'ethernet_output' at line 896.</t>
  </si>
  <si>
    <t>Value of 'p' is never used after assignment</t>
  </si>
  <si>
    <t>/kwbuilds/release_area/mcu_plus_sdk/source/networking/lwip/lwip-stack/src/apps/http/http_client.c</t>
  </si>
  <si>
    <t>Value of 'req' is never used after assignment</t>
  </si>
  <si>
    <t>httpc_free_state</t>
  </si>
  <si>
    <t>Pointer 'req' checked for NULL at line 420 will be dereferenced at line 424.</t>
  </si>
  <si>
    <t>httpc_get_internal_addr</t>
  </si>
  <si>
    <t>Pointer 'req' checked for NULL at line 420 will be dereferenced at line 427.</t>
  </si>
  <si>
    <t>Pointer 'req' checked for NULL at line 469 may be dereferenced at line 479.</t>
  </si>
  <si>
    <t>httpc_get_internal_dns</t>
  </si>
  <si>
    <t>Expression 'mem_alloc_len&lt;alloc_len' used in the condition always yields the same result</t>
  </si>
  <si>
    <t>httpc_init_connection_common</t>
  </si>
  <si>
    <t>/kwbuilds/release_area/mcu_plus_sdk/source/networking/lwip/lwip-stack/src/apps/http/httpd.c</t>
  </si>
  <si>
    <t>Pointer 'length' checked for NULL at line 537 will be dereferenced at line 538.</t>
  </si>
  <si>
    <t>http_write</t>
  </si>
  <si>
    <t>Pointer 'hs' checked for NULL at line 1967 will be dereferenced at line 1969.</t>
  </si>
  <si>
    <t>http_parse_request</t>
  </si>
  <si>
    <t>http_send</t>
  </si>
  <si>
    <t>http_recv</t>
  </si>
  <si>
    <t>Pointer 'hs-&gt;req' checked for NULL at line 1966 may be dereferenced at line 1994.</t>
  </si>
  <si>
    <t>Pointer 'hs-&gt;file' checked for NULL at line 2315 may be dereferenced at line 2378.</t>
  </si>
  <si>
    <t>http_init_file</t>
  </si>
  <si>
    <t>/kwbuilds/release_area/mcu_plus_sdk/source/networking/lwip/lwip-stack/src/core/ipv4/igmp.c</t>
  </si>
  <si>
    <t>igmp_lookup_group</t>
  </si>
  <si>
    <t>igmp_input</t>
  </si>
  <si>
    <t>Expression 'inet_chksum(igmp, p-&gt;len)' used in the condition always yields the same result, and causes an unreachable code</t>
  </si>
  <si>
    <t>/kwbuilds/release_area/mcu_plus_sdk/source/networking/lwip/lwip-stack/src/core/ipv4/ip4_addr.c</t>
  </si>
  <si>
    <t>Expression '~addr' used in the condition always yields the same result</t>
  </si>
  <si>
    <t>ip4_addr_isbroadcast_u32</t>
  </si>
  <si>
    <t>NPD.GEN.CALL.MIGHT</t>
  </si>
  <si>
    <t>/kwbuilds/release_area/mcu_plus_sdk/source/networking/lwip/lwip-stack/src/core/ipv4/ip4_frag.c</t>
  </si>
  <si>
    <t>Null pointer 'prev' that comes from line 130 may be passed to function and can be dereferenced there by passing argument 2 to function 'ip_reass_free_complete_datagram' at line 149.</t>
  </si>
  <si>
    <t>ip_reass_tmr</t>
  </si>
  <si>
    <t>Null pointer 'oldest_prev' that comes from line 240 may be passed to function and can be dereferenced there by passing argument 2 to function 'ip_reass_free_complete_datagram' at line 263.</t>
  </si>
  <si>
    <t>ip_reass_remove_oldest_datagram</t>
  </si>
  <si>
    <t>Pointer 'prev' checked for NULL at line 172 will be passed to function and may be dereferenced there by passing argument 2 to function 'ip_reass_dequeue_datagram' at line 209.</t>
  </si>
  <si>
    <t>ip_reass_free_complete_datagram</t>
  </si>
  <si>
    <t>Pointer 'ipr_prev' checked for NULL at line 655 will be passed to function and may be dereferenced there by passing argument 2 to function 'ip_reass_dequeue_datagram' at line 663.</t>
  </si>
  <si>
    <t>ip4_reass</t>
  </si>
  <si>
    <t>Pointer 'prev' checked for NULL at line 325 will be dereferenced at line 326.</t>
  </si>
  <si>
    <t>ip_reass_dequeue_datagram</t>
  </si>
  <si>
    <t>Expression '(ip_reass_pbufcount+clen) &gt; (10* ( (1...' used in the condition always yields the same result</t>
  </si>
  <si>
    <t>NPD.GEN.CALL.MUST</t>
  </si>
  <si>
    <t>Null pointer 'ipr_prev' that comes from line 653 will be passed to function and can be dereferenced there by passing argument 2 to function 'ip_reass_dequeue_datagram' at line 663.</t>
  </si>
  <si>
    <t>/kwbuilds/release_area/mcu_plus_sdk/source/networking/enet/core/lwipif/src/lwip2enet.c</t>
  </si>
  <si>
    <t>Expression 'status!= ( ( (int32_t) (0) ) )' used in the condition always yields the same result, and causes an unreachable code</t>
  </si>
  <si>
    <t>Lwip2Enet_open</t>
  </si>
  <si>
    <t>Expression 'hLwip2Enet-&gt;linkIsUp' used in the condition always yields the same result, and causes an unreachable code</t>
  </si>
  <si>
    <t>Lwip2Enet_periodicFxn</t>
  </si>
  <si>
    <t>Lwip2Enet_submitRxPackets</t>
  </si>
  <si>
    <t>Expression 'EnetQueue_getQCount(pSubmitQ)' used in the condition always yields the same result, and causes an unreachable code</t>
  </si>
  <si>
    <t>Lwip2Enet_submitTxPackets</t>
  </si>
  <si>
    <t>Lwip2Enet_retrieveTxPkts</t>
  </si>
  <si>
    <t>/kwbuilds/release_area/mcu_plus_sdk/source/networking/enet/core/lwipif/src/lwip2lwipif.c</t>
  </si>
  <si>
    <t>LWIPIF_LWIP_start</t>
  </si>
  <si>
    <t>/kwbuilds/release_area/mcu_plus_sdk/source/networking/lwip/lwip-stack/src/apps/lwiperf/lwiperf.c</t>
  </si>
  <si>
    <t>Pointer 'conn' checked for NULL at line 285 will be dereferenced at line 289.</t>
  </si>
  <si>
    <t>lwiperf_tcp_client_send_more</t>
  </si>
  <si>
    <t>Pointer 'new_conn' checked for NULL at line 397 will be dereferenced at line 398.</t>
  </si>
  <si>
    <t>lwiperf_tx_start_impl</t>
  </si>
  <si>
    <t>Pointer 'new_conn' checked for NULL at line 448 will be dereferenced at line 449.</t>
  </si>
  <si>
    <t>lwiperf_tx_start_passive</t>
  </si>
  <si>
    <t>Pointer 'settings' checked for NULL at line 396 may be dereferenced at line 418.</t>
  </si>
  <si>
    <t>Pointer 'remote_ip' checked for NULL at line 395 may be dereferenced at line 426.</t>
  </si>
  <si>
    <t>Pointer 'state' checked for NULL at line 694 may be dereferenced at line 733.</t>
  </si>
  <si>
    <t>lwiperf_start_tcp_server_impl</t>
  </si>
  <si>
    <t>Pointer 'state' checked for NULL at line 790 may be dereferenced at line 794.</t>
  </si>
  <si>
    <t>lwiperf_start_tcp_client</t>
  </si>
  <si>
    <t>Expression 'pcb!= ( (void* )0)' used in the condition always yields the same result</t>
  </si>
  <si>
    <t>Value of 'pcb' is never used after assignment</t>
  </si>
  <si>
    <t>/kwbuilds/release_area/mcu_plus_sdk/source/networking/enet/core/src/mod/mdio.c</t>
  </si>
  <si>
    <t>Mdio_ioctl</t>
  </si>
  <si>
    <t>/kwbuilds/release_area/mcu_plus_sdk/source/networking/lwip/lwip-stack/src/apps/mdns/mdns.c</t>
  </si>
  <si>
    <t>Expression 'i&lt;1' used in the condition always yields the same result</t>
  </si>
  <si>
    <t>mdns_send_outpacket</t>
  </si>
  <si>
    <t>mdns_announce</t>
  </si>
  <si>
    <t>mdns_handle_question</t>
  </si>
  <si>
    <t>Expression 'match&amp;4' used in the condition always yields the same result</t>
  </si>
  <si>
    <t>mdns_handle_response</t>
  </si>
  <si>
    <t>mdns_recv</t>
  </si>
  <si>
    <t>mdns_send_probe</t>
  </si>
  <si>
    <t>mdns_resp_remove_netif</t>
  </si>
  <si>
    <t>mdns_resp_add_service</t>
  </si>
  <si>
    <t>CWARN.BITOP.SIZE</t>
  </si>
  <si>
    <t>Operands in a bitwise operation have different size</t>
  </si>
  <si>
    <t>Pointer 'mdns_pcb' returned from call to function 'udp_new_ip_type' at line 2387 may be NULL and will be dereferenced at line 2390.</t>
  </si>
  <si>
    <t>mdns_resp_init</t>
  </si>
  <si>
    <t>Pointer 'mdns_pcb' checked for NULL at line 2388 will be dereferenced at line 2390.</t>
  </si>
  <si>
    <t>/kwbuilds/release_area/mcu_plus_sdk/source/networking/lwip/lwip-stack/src/core/mem.c</t>
  </si>
  <si>
    <t>Pointer 'hmem' checked for NULL at line 319 will be dereferenced at line 321.</t>
  </si>
  <si>
    <t>mem_free</t>
  </si>
  <si>
    <t>/kwbuilds/release_area/mcu_plus_sdk/source/networking/lwip/lwip-stack/src/apps/mqtt/mqtt.c</t>
  </si>
  <si>
    <t>Pointer 'r_objs' checked for NULL at line 291 may be dereferenced at line 294.</t>
  </si>
  <si>
    <t>mqtt_create_request</t>
  </si>
  <si>
    <t>Pointer 'r_objs' checked for NULL at line 439 may be dereferenced at line 442.</t>
  </si>
  <si>
    <t>mqtt_init_requests</t>
  </si>
  <si>
    <t>Pointer 'client_info-&gt;client_id' checked for NULL at line 1298 may be dereferenced at line 1354.</t>
  </si>
  <si>
    <t>mqtt_client_connect</t>
  </si>
  <si>
    <t>Pointer 'tail' checked for NULL at line 319 will be dereferenced at line 322.</t>
  </si>
  <si>
    <t>mqtt_append_request</t>
  </si>
  <si>
    <t>Pointer 'tail' checked for NULL at line 359 will be dereferenced at line 361.</t>
  </si>
  <si>
    <t>mqtt_take_request</t>
  </si>
  <si>
    <t>Pointer 'tail' checked for NULL at line 394 will be dereferenced at line 395.</t>
  </si>
  <si>
    <t>mqtt_request_time_elapsed</t>
  </si>
  <si>
    <t>Pointer 'tail' checked for NULL at line 423 will be dereferenced at line 424.</t>
  </si>
  <si>
    <t>mqtt_clear_requests</t>
  </si>
  <si>
    <t>Pointer 'rb' checked for NULL at line 519 will be dereferenced at line 527.</t>
  </si>
  <si>
    <t>mqtt_output_check_space</t>
  </si>
  <si>
    <t>Pointer 'client' checked for NULL at line 539 will be dereferenced at line 542.</t>
  </si>
  <si>
    <t>mqtt_close</t>
  </si>
  <si>
    <t>Pointer 'client' checked for NULL at line 580 will be dereferenced at line 582.</t>
  </si>
  <si>
    <t>mqtt_cyclic_timer</t>
  </si>
  <si>
    <t>Pointer 'client' checked for NULL at line 935 will be dereferenced at line 936.</t>
  </si>
  <si>
    <t>mqtt_tcp_recv_cb</t>
  </si>
  <si>
    <t>Pointer 'client' checked for NULL at line 1014 will be dereferenced at line 1016.</t>
  </si>
  <si>
    <t>mqtt_tcp_err_cb</t>
  </si>
  <si>
    <t>Pointer 'client' checked for NULL at line 1242 will be dereferenced at line 1243.</t>
  </si>
  <si>
    <t>mqtt_set_inpub_callback</t>
  </si>
  <si>
    <t>Pointer 'client_info' checked for NULL at line 1297 will be dereferenced at line 1298.</t>
  </si>
  <si>
    <t>Pointer 'client' checked for NULL at line 1295 will be dereferenced at line 1300.</t>
  </si>
  <si>
    <t>/kwbuilds/release_area/mcu_plus_sdk/source/networking/lwip/lwip-contrib/examples/mqtt/mqtt_example.c</t>
  </si>
  <si>
    <t>Pointer 'mqtt_client' returned from call to function 'mqtt_client_new' at line 116 may be NULL and will be dereferenced at line 118.</t>
  </si>
  <si>
    <t>mqtt_example_init</t>
  </si>
  <si>
    <t>/kwbuilds/release_area/mcu_plus_sdk/source/networking/lwip/lwip-stack/src/api/netdb.c</t>
  </si>
  <si>
    <t>Value of 'ai_family' is never used after assignment</t>
  </si>
  <si>
    <t>lwip_getaddrinfo</t>
  </si>
  <si>
    <t>/kwbuilds/release_area/mcu_plus_sdk/source/networking/lwip/lwip-stack/src/core/netif.c</t>
  </si>
  <si>
    <t>Pointer 'inp' checked for NULL at line 222 will be dereferenced at line 225.</t>
  </si>
  <si>
    <t>netif_input</t>
  </si>
  <si>
    <t>Pointer 'p' checked for NULL at line 221 will be dereferenced at line 226.</t>
  </si>
  <si>
    <t>Pointer 'p' checked for NULL at line 221 will be dereferenced at line 229.</t>
  </si>
  <si>
    <t>Pointer 'ipaddr' checked for NULL at line 459 will be dereferenced at line 463.</t>
  </si>
  <si>
    <t>netif_do_set_ipaddr</t>
  </si>
  <si>
    <t>Pointer 'old_nm' checked for NULL at line 528 will be dereferenced at line 529.</t>
  </si>
  <si>
    <t>netif_do_set_netmask</t>
  </si>
  <si>
    <t>Pointer 'old_gw' checked for NULL at line 592 will be dereferenced at line 593.</t>
  </si>
  <si>
    <t>netif_do_set_gw</t>
  </si>
  <si>
    <t>Pointer 'netif' checked for NULL at line 877 will be dereferenced at line 880.</t>
  </si>
  <si>
    <t>netif_issue_reports</t>
  </si>
  <si>
    <t>Pointer 'callback' checked for NULL at line 1737 will be dereferenced at line 1740.</t>
  </si>
  <si>
    <t>netif_add_ext_callback</t>
  </si>
  <si>
    <t>Pointer 'old_addr' checked for NULL at line 460 may be dereferenced at line 468.</t>
  </si>
  <si>
    <t>netif_set_default</t>
  </si>
  <si>
    <t>/kwbuilds/release_area/mcu_plus_sdk/source/networking/lwip/lwip-stack/src/core/pbuf.c</t>
  </si>
  <si>
    <t>pbuf_alloc</t>
  </si>
  <si>
    <t>pbuf_alloc_reference</t>
  </si>
  <si>
    <t>Pointer 'p' checked for NULL at line 408 will be dereferenced at line 411.</t>
  </si>
  <si>
    <t>pbuf_realloc</t>
  </si>
  <si>
    <t>Pointer 'q' checked for NULL at line 431 will be dereferenced at line 424.</t>
  </si>
  <si>
    <t>Pointer 'q' checked for NULL at line 445 will be dereferenced at line 448.</t>
  </si>
  <si>
    <t>Pointer 'p' checked for NULL at line 1213 will be dereferenced at line 1215.</t>
  </si>
  <si>
    <t>pbuf_take</t>
  </si>
  <si>
    <t>Expression 'buf' used in the condition always yields the same result</t>
  </si>
  <si>
    <t>Expression 'dataptr' used in the condition always yields the same result</t>
  </si>
  <si>
    <t>/kwbuilds/release_area/mcu_plus_sdk/source/networking/lwip/lwip-stack/src/core/raw.c</t>
  </si>
  <si>
    <t>raw_input</t>
  </si>
  <si>
    <t>Expression '!1' used in the condition always yields the same result</t>
  </si>
  <si>
    <t>raw_sendto</t>
  </si>
  <si>
    <t>raw_sendto_if_src</t>
  </si>
  <si>
    <t>/kwbuilds/release_area/mcu_plus_sdk/source/networking/lwip/lwip-contrib/apps/rtp/rtp.c</t>
  </si>
  <si>
    <t>rtp_send_thread</t>
  </si>
  <si>
    <t>rtp_recv_thread</t>
  </si>
  <si>
    <t>/kwbuilds/release_area/mcu_plus_sdk/source/networking/lwip/lwip-contrib/apps/shell/shell.c</t>
  </si>
  <si>
    <t>Expression 'ip4addr_aton(com-&gt;args[0],  &amp;ipaddr) ...' used in the condition always yields the same result, and causes an unreachable code</t>
  </si>
  <si>
    <t>com_open</t>
  </si>
  <si>
    <t>Expression 'ip4addr_aton(com-&gt;args[1],  &amp;ipaddr) ...' used in the condition always yields the same result, and causes an unreachable code</t>
  </si>
  <si>
    <t>com_udpc</t>
  </si>
  <si>
    <t>com_udpl</t>
  </si>
  <si>
    <t>com_udpn</t>
  </si>
  <si>
    <t>com_udpb</t>
  </si>
  <si>
    <t>Array 'conns' of size 10 may use index value(s) 10</t>
  </si>
  <si>
    <t>com_clos</t>
  </si>
  <si>
    <t>com_acpt</t>
  </si>
  <si>
    <t>Array 'c' of size 1 may use index value(s) 1..11</t>
  </si>
  <si>
    <t>com_stat</t>
  </si>
  <si>
    <t>com_send</t>
  </si>
  <si>
    <t>com_recv</t>
  </si>
  <si>
    <t>com_usnd</t>
  </si>
  <si>
    <t>Value of 'lport' is never used after assignment</t>
  </si>
  <si>
    <t>ABV.STACK</t>
  </si>
  <si>
    <t>Array 'buffer' of size 1024 may use index value(s) 0..1024</t>
  </si>
  <si>
    <t>shell_main</t>
  </si>
  <si>
    <t>Expression 'ret' used in the condition always yields the same result</t>
  </si>
  <si>
    <t>shell_thread</t>
  </si>
  <si>
    <t>/kwbuilds/release_area/mcu_plus_sdk/source/networking/lwip/lwip-stack/src/netif/slipif.c</t>
  </si>
  <si>
    <t>Pointer 'netif' checked for NULL at line 123 will be dereferenced at line 124.</t>
  </si>
  <si>
    <t>slipif_output</t>
  </si>
  <si>
    <t>Pointer 'priv' checked for NULL at line 124 will be dereferenced at line 132.</t>
  </si>
  <si>
    <t>Pointer 'netif' checked for NULL at line 212 will be dereferenced at line 213.</t>
  </si>
  <si>
    <t>slipif_rxbyte</t>
  </si>
  <si>
    <t>Pointer 'priv' checked for NULL at line 213 will be dereferenced at line 217.</t>
  </si>
  <si>
    <t>Pointer 'netif' checked for NULL at line 431 will be dereferenced at line 432.</t>
  </si>
  <si>
    <t>slipif_poll</t>
  </si>
  <si>
    <t>Pointer 'priv' checked for NULL at line 432 will be dereferenced at line 436.</t>
  </si>
  <si>
    <t>Expression 'priv-&gt;p!= ( (void* )0)' used in the condition always yields the same result</t>
  </si>
  <si>
    <t>slipif_loop_thread</t>
  </si>
  <si>
    <t>/kwbuilds/release_area/mcu_plus_sdk/source/networking/lwip/lwip-stack/src/apps/smtp/smtp.c</t>
  </si>
  <si>
    <t>Pointer 's' checked for NULL at line 490 will be dereferenced at line 497.</t>
  </si>
  <si>
    <t>smtp_send_mail_alloced</t>
  </si>
  <si>
    <t>Pointer 'req' checked for NULL at line 701 will be dereferenced at line 703.</t>
  </si>
  <si>
    <t>smtp_send_mail_int</t>
  </si>
  <si>
    <t>Pointer 'ipa' checked for NULL at line 1035 will be dereferenced at line 1036.</t>
  </si>
  <si>
    <t>smtp_prepare_helo</t>
  </si>
  <si>
    <t>Pointer 'altcp_get_ip(pcb, 1)' returned from call to function 'altcp_get_ip' at line 1034 may be NULL and will be dereferenced at line 1034.</t>
  </si>
  <si>
    <t>Pointer 'ipa' returned from call to function 'ip4addr_ntoa' at line 1034 may be NULL and will be dereferenced at line 1036.</t>
  </si>
  <si>
    <t>smtp_process</t>
  </si>
  <si>
    <t>/kwbuilds/release_area/mcu_plus_sdk/source/networking/lwip/lwip-stack/src/apps/snmp/snmp_asn1.c</t>
  </si>
  <si>
    <t>snmp_asn1_dec_tlv</t>
  </si>
  <si>
    <t>snmp_asn1_dec_u32t</t>
  </si>
  <si>
    <t>snmp_asn1_dec_u64t</t>
  </si>
  <si>
    <t>/kwbuilds/release_area/mcu_plus_sdk/source/networking/lwip/lwip-stack/src/apps/snmp/snmp_core.c</t>
  </si>
  <si>
    <t>snmp_ip_to_oid</t>
  </si>
  <si>
    <t>Pointer 'oid1' checked for NULL at line 626 may be dereferenced at line 630.</t>
  </si>
  <si>
    <t>snmp_oid_compare</t>
  </si>
  <si>
    <t>Pointer 'oid2' checked for NULL at line 627 may be dereferenced at line 630.</t>
  </si>
  <si>
    <t>Pointer 'searched_oid' checked for NULL at line 690 may be dereferenced at line 706.</t>
  </si>
  <si>
    <t>snmp_get_mib_from_oid</t>
  </si>
  <si>
    <t>Pointer 'oid' checked for NULL at line 731 may be passed to function and may be dereferenced there by passing argument 3 to function 'snmp_oid_compare' at line 740.</t>
  </si>
  <si>
    <t>snmp_get_next_mib</t>
  </si>
  <si>
    <t>Pointer 'oid2' checked for NULL at line 758 may be passed to function and may be dereferenced there by passing argument 3 to function 'snmp_oid_compare' at line 762.</t>
  </si>
  <si>
    <t>snmp_get_mib_between</t>
  </si>
  <si>
    <t>/kwbuilds/release_area/mcu_plus_sdk/source/networking/lwip/lwip-stack/src/apps/snmp/snmp_mib2_system.c</t>
  </si>
  <si>
    <t>Pointer 'value' checked for NULL at line 270 will be passed to function and may be dereferenced there by passing argument 1 to function 'memcpy' at line 276.</t>
  </si>
  <si>
    <t>system_get_value</t>
  </si>
  <si>
    <t>Pointer 'var_wr' checked for NULL at line 351 will be passed to function and may be dereferenced there by passing argument 1 to function 'memcpy' at line 352.</t>
  </si>
  <si>
    <t>system_set_value</t>
  </si>
  <si>
    <t>Pointer 'var_wr' checked for NULL at line 351 may be dereferenced at line 356.</t>
  </si>
  <si>
    <t>/kwbuilds/release_area/mcu_plus_sdk/source/networking/lwip/lwip-stack/src/apps/snmp/snmp_mib2_tcp.c</t>
  </si>
  <si>
    <t>Expression 'idx' used in the condition always yields the same result, and causes an unreachable code</t>
  </si>
  <si>
    <t>tcp_ConnectionTable_get_cell_value</t>
  </si>
  <si>
    <t>/kwbuilds/release_area/mcu_plus_sdk/source/networking/lwip/lwip-stack/src/apps/snmp/snmp_mib2_udp.c</t>
  </si>
  <si>
    <t>udp_endpointTable_get_cell_value</t>
  </si>
  <si>
    <t>/kwbuilds/release_area/mcu_plus_sdk/source/networking/lwip/lwip-stack/src/apps/snmp/snmp_msg.c</t>
  </si>
  <si>
    <t>Pointer 'community' checked for NULL at line 219 will be dereferenced at line 220.</t>
  </si>
  <si>
    <t>snmp_set_community_write</t>
  </si>
  <si>
    <t>Value of 'err' is never used after assignment</t>
  </si>
  <si>
    <t>snmp_receive</t>
  </si>
  <si>
    <t>Expression '0&gt;0' used in the condition always yields the same result, and causes an unreachable code</t>
  </si>
  <si>
    <t>snmp_process_getbulk_request</t>
  </si>
  <si>
    <t>Expression 'err==SNMP_VB_ENUMERATOR_ERR_ASN1ERROR' used in the condition always yields the same result, and causes an unreachable code</t>
  </si>
  <si>
    <t>snmp_process_set_request</t>
  </si>
  <si>
    <t>Expression 'varbind-&gt;value_len != 0' used in the condition always yields the same result, and causes an unreachable code</t>
  </si>
  <si>
    <t>snmp_varbind_length</t>
  </si>
  <si>
    <t>/kwbuilds/release_area/mcu_plus_sdk/source/networking/lwip/lwip-stack/src/apps/snmp/snmp_table.c</t>
  </si>
  <si>
    <t>Expression '1' used in the condition always yields the same result</t>
  </si>
  <si>
    <t>snmp_table_get_next_instance</t>
  </si>
  <si>
    <t>snmp_table_simple_get_next_instance</t>
  </si>
  <si>
    <t>snmp_table_simple_get_instance</t>
  </si>
  <si>
    <t>/kwbuilds/release_area/mcu_plus_sdk/source/networking/lwip/lwip-stack/src/apps/snmp/snmp_traps.c</t>
  </si>
  <si>
    <t>snmp_send_trap</t>
  </si>
  <si>
    <t>Value of 'td' is never used after assignment</t>
  </si>
  <si>
    <t>/kwbuilds/release_area/mcu_plus_sdk/source/networking/lwip/lwip-stack/src/apps/sntp/sntp.c</t>
  </si>
  <si>
    <t>Expression 'err==1' used in the condition always yields the same result, and causes an unreachable code</t>
  </si>
  <si>
    <t>sntp_recv</t>
  </si>
  <si>
    <t>sntp_stop</t>
  </si>
  <si>
    <t>/kwbuilds/release_area/mcu_plus_sdk/source/networking/lwip/lwip-contrib/apps/socket_examples/socket_examples.c</t>
  </si>
  <si>
    <t>Pointer 'helper' checked for NULL at line 486 will be dereferenced at line 491.</t>
  </si>
  <si>
    <t>sockex_select_waiter</t>
  </si>
  <si>
    <t>/kwbuilds/release_area/mcu_plus_sdk/source/networking/lwip/lwip-stack/src/api/sockets.c</t>
  </si>
  <si>
    <t>Expression '!1' used in the condition always yields the same result, and causes an unreachable code</t>
  </si>
  <si>
    <t>tryget_socket_unconn</t>
  </si>
  <si>
    <t>tryget_socket_unconn_locked</t>
  </si>
  <si>
    <t>lwip_bind</t>
  </si>
  <si>
    <t>Expression 'sock-&gt;select_waiting' used in the condition always yields the same result, and causes an unreachable code</t>
  </si>
  <si>
    <t>lwip_select</t>
  </si>
  <si>
    <t>lwip_pollscan</t>
  </si>
  <si>
    <t>Expression 'conn-&gt;socket&lt;0' used in the condition always yields the same result, and causes an unreachable code</t>
  </si>
  <si>
    <t>event_callback</t>
  </si>
  <si>
    <t>Expression 'freed' used in the condition always yields the same result</t>
  </si>
  <si>
    <t>free_socket</t>
  </si>
  <si>
    <t>Expression 'from' used in the condition always yields the same result</t>
  </si>
  <si>
    <t>lwip_recv_tcp_from</t>
  </si>
  <si>
    <t>Expression 'fromlen' used in the condition always yields the same result</t>
  </si>
  <si>
    <t>Expression 'msg-&gt;msg_name' used in the condition always yields the same result</t>
  </si>
  <si>
    <t>lwip_recvfrom_udp_raw</t>
  </si>
  <si>
    <t>Expression 'msg-&gt;msg_namelen' used in the condition always yields the same result</t>
  </si>
  <si>
    <t>Expression 'wrote_msg' used in the condition always yields the same result</t>
  </si>
  <si>
    <t>Expression 'sock-&gt;conn-&gt;pcb.tcp!= ( (void* )0)' used in the condition always yields the same result</t>
  </si>
  <si>
    <t>lwip_getsockopt_impl</t>
  </si>
  <si>
    <t>Pointer 'newconn' checked for NULL at line 651 will be passed to function and may be dereferenced there by passing argument 1 to function 'alloc_socket' at line 653.</t>
  </si>
  <si>
    <t>lwip_accept</t>
  </si>
  <si>
    <t>Pointer 'from' checked for NULL at line 1032 will be passed to function and may be dereferenced there by passing argument 1 to function 'memcpy' at line 1049.</t>
  </si>
  <si>
    <t>lwip_sock_make_addr</t>
  </si>
  <si>
    <t>lwip_connect</t>
  </si>
  <si>
    <t>lwip_socket</t>
  </si>
  <si>
    <t>lwip_setsockopt_impl</t>
  </si>
  <si>
    <t>NPD.FUNC.MIGHT</t>
  </si>
  <si>
    <t>Pointer 'newconn' returned from call to function 'netconn_accept' at line 638 may be NULL and may be dereferenced at line 669.</t>
  </si>
  <si>
    <t>Pointer 'newconn' checked for NULL at line 651 may be dereferenced at line 669.</t>
  </si>
  <si>
    <t>Pointer 'sock' checked for NULL at line 926 will be dereferenced at line 927.</t>
  </si>
  <si>
    <t>lwip_recv_tcp</t>
  </si>
  <si>
    <t>Pointer 'p' checked for NULL at line 965 will be dereferenced at line 972.</t>
  </si>
  <si>
    <t>Pointer 'fromaddr' checked for NULL at line 1031 will be dereferenced at line 1043.</t>
  </si>
  <si>
    <t>Pointer 'fromlen' checked for NULL at line 1033 will be dereferenced at line 1044.</t>
  </si>
  <si>
    <t>Pointer 'buf' checked for NULL at line 1118 will be dereferenced at line 1121.</t>
  </si>
  <si>
    <t>Pointer 'select_cb-&gt;prev' checked for NULL at line 1808 will be dereferenced at line 1809.</t>
  </si>
  <si>
    <t>lwip_unlink_select_cb</t>
  </si>
  <si>
    <t>MCUSDK_SA_DR_006 at https://confluence.itg.ti.com/pages/viewpage.action?spaceKey=SITARAMCUSW&amp;title=MCU+PLUS+SDK+Static+Analysis+Policy
KW is not to detect the assert check done for the argument</t>
  </si>
  <si>
    <t>/kwbuilds/release_area/mcu_plus_sdk/source/networking/lwip/lwip-port/freertos/src/sys_arch.c</t>
  </si>
  <si>
    <t>Pointer 'sys_arch_protect_mutex' checked for NULL at line 156 will be dereferenced at line 158.</t>
  </si>
  <si>
    <t>sys_arch_protect</t>
  </si>
  <si>
    <t>*default*, NETWORKING_LWIP_TI</t>
  </si>
  <si>
    <t>Pointer 'sys_arch_protect_mutex' checked for NULL at line 189 will be dereferenced at line 191.</t>
  </si>
  <si>
    <t>sys_arch_unprotect</t>
  </si>
  <si>
    <t>Pointer 'mutex' checked for NULL at line 214 will be dereferenced at line 216.</t>
  </si>
  <si>
    <t>sys_mutex_new</t>
  </si>
  <si>
    <t>Pointer 'mutex' checked for NULL at line 229 will be dereferenced at line 230.</t>
  </si>
  <si>
    <t>sys_mutex_lock</t>
  </si>
  <si>
    <t>Pointer 'mutex-&gt;mut' checked for NULL at line 230 will be dereferenced at line 232.</t>
  </si>
  <si>
    <t>Pointer 'mutex' checked for NULL at line 240 will be dereferenced at line 241.</t>
  </si>
  <si>
    <t>sys_mutex_unlock</t>
  </si>
  <si>
    <t>Pointer 'mutex-&gt;mut' checked for NULL at line 241 will be dereferenced at line 243.</t>
  </si>
  <si>
    <t>Pointer 'mutex' checked for NULL at line 250 will be dereferenced at line 251.</t>
  </si>
  <si>
    <t>sys_mutex_free</t>
  </si>
  <si>
    <t>Pointer 'mutex-&gt;mut' checked for NULL at line 251 will be dereferenced at line 254.</t>
  </si>
  <si>
    <t>Pointer 'sem' checked for NULL at line 263 will be dereferenced at line 267.</t>
  </si>
  <si>
    <t>sys_sem_new</t>
  </si>
  <si>
    <t>Pointer 'sem' checked for NULL at line 285 will be dereferenced at line 286.</t>
  </si>
  <si>
    <t>sys_sem_signal</t>
  </si>
  <si>
    <t>Pointer 'sem-&gt;sem' checked for NULL at line 286 will be dereferenced at line 288.</t>
  </si>
  <si>
    <t>Pointer 'sem' checked for NULL at line 298 will be dereferenced at line 299.</t>
  </si>
  <si>
    <t>sys_arch_sem_wait</t>
  </si>
  <si>
    <t>Pointer 'sem-&gt;sem' checked for NULL at line 299 will be dereferenced at line 303.</t>
  </si>
  <si>
    <t>Pointer 'sem-&gt;sem' checked for NULL at line 299 will be dereferenced at line 307.</t>
  </si>
  <si>
    <t>Pointer 'sem' checked for NULL at line 324 will be dereferenced at line 325.</t>
  </si>
  <si>
    <t>sys_sem_free</t>
  </si>
  <si>
    <t>Pointer 'sem-&gt;sem' checked for NULL at line 325 will be dereferenced at line 328.</t>
  </si>
  <si>
    <t>Pointer 'mbox' checked for NULL at line 335 will be dereferenced at line 338.</t>
  </si>
  <si>
    <t>sys_mbox_new</t>
  </si>
  <si>
    <t>Pointer 'mbox' checked for NULL at line 351 will be dereferenced at line 352.</t>
  </si>
  <si>
    <t>sys_mbox_post</t>
  </si>
  <si>
    <t>MCUSDK_SA_DR_007 at https://confluence.itg.ti.com/pages/viewpage.action?spaceKey=SITARAMCUSW&amp;title=MCU+PLUS+SDK+Static+Analysis+Policy
KW is not to detect the assert check done for the argument</t>
  </si>
  <si>
    <t>Pointer 'mbox-&gt;mbx' checked for NULL at line 352 will be passed to function and may be dereferenced there by passing argument 1 to function 'xQueueGenericSend' at line 354.</t>
  </si>
  <si>
    <t>Pointer 'mbox' checked for NULL at line 362 will be dereferenced at line 363.</t>
  </si>
  <si>
    <t>sys_mbox_trypost</t>
  </si>
  <si>
    <t>Pointer 'mbox-&gt;mbx' checked for NULL at line 363 will be passed to function and may be dereferenced there by passing argument 1 to function 'xQueueGenericSend' at line 365.</t>
  </si>
  <si>
    <t>Pointer 'mbox' checked for NULL at line 380 will be dereferenced at line 381.</t>
  </si>
  <si>
    <t>sys_mbox_trypost_fromisr</t>
  </si>
  <si>
    <t>Pointer 'mbox-&gt;mbx' checked for NULL at line 381 will be passed to function and may be dereferenced there by passing argument 1 to function 'xQueueGenericSendFromISR' at line 383.</t>
  </si>
  <si>
    <t>Pointer 'mbox' checked for NULL at line 401 will be dereferenced at line 402.</t>
  </si>
  <si>
    <t>sys_arch_mbox_fetch</t>
  </si>
  <si>
    <t>Pointer 'mbox-&gt;mbx' checked for NULL at line 402 will be passed to function and may be dereferenced there by passing argument 1 to function 'xQueueReceive' at line 410.</t>
  </si>
  <si>
    <t>Pointer 'mbox-&gt;mbx' checked for NULL at line 402 will be passed to function and may be dereferenced there by passing argument 1 to function 'xQueueReceive' at line 414.</t>
  </si>
  <si>
    <t>Pointer 'mbox' checked for NULL at line 434 will be dereferenced at line 435.</t>
  </si>
  <si>
    <t>sys_arch_mbox_tryfetch</t>
  </si>
  <si>
    <t>Pointer 'mbox-&gt;mbx' checked for NULL at line 435 will be passed to function and may be dereferenced there by passing argument 1 to function 'xQueueReceive' at line 441.</t>
  </si>
  <si>
    <t>Pointer 'mbox' checked for NULL at line 457 will be dereferenced at line 458.</t>
  </si>
  <si>
    <t>sys_mbox_free</t>
  </si>
  <si>
    <t>Pointer 'mbox-&gt;mbx' checked for NULL at line 458 will be dereferenced at line 462.</t>
  </si>
  <si>
    <t>/kwbuilds/release_area/mcu_plus_sdk/source/networking/lwip/lwip-stack/src/core/tcp.c</t>
  </si>
  <si>
    <t>Pointer 'pcb' checked for NULL at line 273 will be dereferenced at line 274.</t>
  </si>
  <si>
    <t>tcp_listen_closed</t>
  </si>
  <si>
    <t>Pointer 'pcb' checked for NULL at line 296 will be dereferenced at line 298.</t>
  </si>
  <si>
    <t>tcp_backlog_delayed</t>
  </si>
  <si>
    <t>Pointer 'pcb' checked for NULL at line 319 will be dereferenced at line 321.</t>
  </si>
  <si>
    <t>tcp_backlog_accepted</t>
  </si>
  <si>
    <t>Pointer 'pcb' checked for NULL at line 350 will be dereferenced at line 352.</t>
  </si>
  <si>
    <t>tcp_close_shutdown</t>
  </si>
  <si>
    <t>Pointer 'pcb' checked for NULL at line 350 will be dereferenced at line 378.</t>
  </si>
  <si>
    <t>Pointer 'pcb' checked for NULL at line 412 will be dereferenced at line 414.</t>
  </si>
  <si>
    <t>tcp_close_shutdown_fin</t>
  </si>
  <si>
    <t>Pointer 'pcb' checked for NULL at line 934 will be dereferenced at line 935.</t>
  </si>
  <si>
    <t>tcp_update_rcv_ann_wnd</t>
  </si>
  <si>
    <t>Pointer 'pcblist' checked for NULL at line 2180 will be dereferenced at line 2182.</t>
  </si>
  <si>
    <t>tcp_pcb_remove</t>
  </si>
  <si>
    <t>Pointer 'pcb' checked for NULL at line 2179 will be dereferenced at line 2182.</t>
  </si>
  <si>
    <t>Expression 'err==ERR_MEM' used in the condition always yields the same result</t>
  </si>
  <si>
    <t>Expression '(0==0)' used in the condition always yields the same result</t>
  </si>
  <si>
    <t>tcp_bind</t>
  </si>
  <si>
    <t>Expression 'pcb-&gt;state==LISTEN' used in the condition always yields the same result, and causes an unreachable code</t>
  </si>
  <si>
    <t>tcp_listen_with_backlog_and_err</t>
  </si>
  <si>
    <t>Expression 'local_ip' used in the condition always yields the same result, and causes an unreachable code</t>
  </si>
  <si>
    <t>tcp_connect</t>
  </si>
  <si>
    <t>Expression 'tcp_active_pcbs_changed' used in the condition always yields the same result, and causes an unreachable code</t>
  </si>
  <si>
    <t>tcp_slowtmr</t>
  </si>
  <si>
    <t>tcp_fasttmr</t>
  </si>
  <si>
    <t>Pointer 'seg' checked for NULL at line 1666 may be dereferenced at line 1672.</t>
  </si>
  <si>
    <t>tcp_seg_copy</t>
  </si>
  <si>
    <t>Pointer 'old_addr' checked for NULL at line 2304 may be dereferenced at line 2308.</t>
  </si>
  <si>
    <t>tcp_netif_ip_addr_changed_pcblist</t>
  </si>
  <si>
    <t>/kwbuilds/release_area/mcu_plus_sdk/source/networking/lwip/lwip-stack/src/core/tcp_in.c</t>
  </si>
  <si>
    <t>Pointer 'p' checked for NULL at line 131 will be dereferenced at line 138.</t>
  </si>
  <si>
    <t>tcp_input</t>
  </si>
  <si>
    <t>Pointer 'pcb' checked for NULL at line 796 will be dereferenced at line 801.</t>
  </si>
  <si>
    <t>tcp_process</t>
  </si>
  <si>
    <t>Pointer 'pcb' checked for NULL at line 796 will be dereferenced at line 837.</t>
  </si>
  <si>
    <t>Pointer 'pcb' checked for NULL at line 796 will be dereferenced at line 843.</t>
  </si>
  <si>
    <t>Pointer 'rseg' checked for NULL at line 884 will be dereferenced at line 885.</t>
  </si>
  <si>
    <t>Pointer 'cseg' checked for NULL at line 1055 will be dereferenced at line 1057.</t>
  </si>
  <si>
    <t>tcp_oos_insert_segment</t>
  </si>
  <si>
    <t>Pointer 'pcb' checked for NULL at line 1147 will be dereferenced at line 1148.</t>
  </si>
  <si>
    <t>tcp_receive</t>
  </si>
  <si>
    <t>Pointer 'inseg.p' checked for NULL at line 1428 will be dereferenced at line 1431.</t>
  </si>
  <si>
    <t>Pointer 'pcb' checked for NULL at line 602 may be dereferenced at line 607.</t>
  </si>
  <si>
    <t>tcp_input_delayed_close</t>
  </si>
  <si>
    <t>Pointer 'pcb' checked for NULL at line 641 may be dereferenced at line 654.</t>
  </si>
  <si>
    <t>tcp_listen_input</t>
  </si>
  <si>
    <t>Pointer 'pcb' checked for NULL at line 750 may be dereferenced at line 756.</t>
  </si>
  <si>
    <t>tcp_timewait_input</t>
  </si>
  <si>
    <t>Pointer 'pcb' checked for NULL at line 750 may be dereferenced at line 765.</t>
  </si>
  <si>
    <t>Pointer 'pcb' checked for NULL at line 750 may be dereferenced at line 770.</t>
  </si>
  <si>
    <t>Pointer 'pcb' checked for NULL at line 1917 may be dereferenced at line 1943.</t>
  </si>
  <si>
    <t>tcp_parseopt</t>
  </si>
  <si>
    <t>/kwbuilds/release_area/mcu_plus_sdk/source/networking/lwip/lwip-stack/src/core/tcp_out.c</t>
  </si>
  <si>
    <t>Pointer 'p' checked for NULL at line 164 may be dereferenced at line 176.</t>
  </si>
  <si>
    <t>tcp_create_segment</t>
  </si>
  <si>
    <t>Pointer 'pcb' checked for NULL at line 163 may be dereferenced at line 197.</t>
  </si>
  <si>
    <t>Pointer 'oversize' checked for NULL at line 232 may be dereferenced at line 268.</t>
  </si>
  <si>
    <t>tcp_pbuf_prealloc</t>
  </si>
  <si>
    <t>Pointer 'pcb' checked for NULL at line 1465 may be dereferenced at line 1477.</t>
  </si>
  <si>
    <t>tcp_output_segment</t>
  </si>
  <si>
    <t>Pointer 'p' checked for NULL at line 1927 may be dereferenced at line 1936.</t>
  </si>
  <si>
    <t>tcp_output_control_segment</t>
  </si>
  <si>
    <t>Pointer 'pcb' checked for NULL at line 307 will be dereferenced at line 310.</t>
  </si>
  <si>
    <t>tcp_write_checks</t>
  </si>
  <si>
    <t>Pointer 'pcb' checked for NULL at line 843 will be dereferenced at line 845.</t>
  </si>
  <si>
    <t>tcp_split_unsent_seg</t>
  </si>
  <si>
    <t>Pointer 'pcb' checked for NULL at line 1003 will be dereferenced at line 1006.</t>
  </si>
  <si>
    <t>tcp_send_fin</t>
  </si>
  <si>
    <t>Pointer 'pcb' checked for NULL at line 1043 will be dereferenced at line 1077.</t>
  </si>
  <si>
    <t>tcp_enqueue_flags</t>
  </si>
  <si>
    <t>Pointer 'pcb' checked for NULL at line 1043 will be dereferenced at line 1085.</t>
  </si>
  <si>
    <t>Pointer 'pcb' checked for NULL at line 1249 will be dereferenced at line 1252.</t>
  </si>
  <si>
    <t>tcp_output</t>
  </si>
  <si>
    <t>Pointer 'seg' checked for NULL at line 1434 will be dereferenced at line 1439.</t>
  </si>
  <si>
    <t>tcp_output_segment_busy</t>
  </si>
  <si>
    <t>Pointer 'seg' checked for NULL at line 1464 will be dereferenced at line 1468.</t>
  </si>
  <si>
    <t>Pointer 'pcb' checked for NULL at line 1635 will be dereferenced at line 1637.</t>
  </si>
  <si>
    <t>tcp_rexmit_rto_prepare</t>
  </si>
  <si>
    <t>Pointer 'pcb' checked for NULL at line 1688 will be dereferenced at line 1691.</t>
  </si>
  <si>
    <t>tcp_rexmit_rto_commit</t>
  </si>
  <si>
    <t>Pointer 'pcb' checked for NULL at line 1709 will be dereferenced at line 1711.</t>
  </si>
  <si>
    <t>tcp_rexmit_rto</t>
  </si>
  <si>
    <t>Pointer 'pcb' checked for NULL at line 1729 will be dereferenced at line 1731.</t>
  </si>
  <si>
    <t>tcp_rexmit</t>
  </si>
  <si>
    <t>Pointer 'pcb' checked for NULL at line 1785 will be dereferenced at line 1787.</t>
  </si>
  <si>
    <t>tcp_rexmit_fast</t>
  </si>
  <si>
    <t>Pointer 'pcb' checked for NULL at line 1858 will be dereferenced at line 1860.</t>
  </si>
  <si>
    <t>tcp_output_alloc_header</t>
  </si>
  <si>
    <t>Pointer 'p' checked for NULL at line 1878 will be dereferenced at line 1880.</t>
  </si>
  <si>
    <t>tcp_output_fill_options</t>
  </si>
  <si>
    <t>Pointer 'pcb' checked for NULL at line 2026 will be dereferenced at line 2042.</t>
  </si>
  <si>
    <t>tcp_send_empty_ack</t>
  </si>
  <si>
    <t>Pointer 'pcb' checked for NULL at line 2084 will be dereferenced at line 2093.</t>
  </si>
  <si>
    <t>tcp_keepalive</t>
  </si>
  <si>
    <t>Pointer 'pcb' checked for NULL at line 2127 will be dereferenced at line 2139.</t>
  </si>
  <si>
    <t>tcp_zero_window_probe</t>
  </si>
  <si>
    <t>Pointer 'netif' checked for NULL at line 1466 may be passed to function and may be dereferenced there by passing argument 7 to function 'ip4_output_if' at line 1608.</t>
  </si>
  <si>
    <t>Pointer 'local_ip' checked for NULL at line 1988 may be passed to function and may be dereferenced there by passing argument 3 to function 'tcp_output_control_segment' at line 2009.</t>
  </si>
  <si>
    <t>tcp_rst</t>
  </si>
  <si>
    <t>Pointer 'remote_ip' checked for NULL at line 1989 may be passed to function and may be dereferenced there by passing argument 4 to function 'tcp_output_control_segment' at line 2009.</t>
  </si>
  <si>
    <t>/kwbuilds/release_area/mcu_plus_sdk/source/networking/lwip/lwip-contrib/apps/tcpecho/tcpecho.c</t>
  </si>
  <si>
    <t>tcpecho_thread</t>
  </si>
  <si>
    <t>/kwbuilds/release_area/mcu_plus_sdk/source/networking/lwip/lwip-contrib/apps/tcpecho_raw/tcpecho_raw.c</t>
  </si>
  <si>
    <t>Pointer 'es' checked for NULL at line 200 may be dereferenced at line 204.</t>
  </si>
  <si>
    <t>tcpecho_raw_recv</t>
  </si>
  <si>
    <t>Pointer 'es' checked for NULL at line 200 may be dereferenced at line 220.</t>
  </si>
  <si>
    <t>Expression 'p!= ( (void* )0)' used in the condition always yields the same result</t>
  </si>
  <si>
    <t>/kwbuilds/release_area/mcu_plus_sdk/source/networking/lwip/lwip-stack/src/api/tcpip.c</t>
  </si>
  <si>
    <t>tcpip_thread</t>
  </si>
  <si>
    <t>tcpip_thread_handle_msg</t>
  </si>
  <si>
    <t>/kwbuilds/release_area/mcu_plus_sdk/source/networking/lwip/lwip-stack/src/apps/tftp/tftp_server.c</t>
  </si>
  <si>
    <t>recv</t>
  </si>
  <si>
    <t>/kwbuilds/release_area/mcu_plus_sdk/source/networking/lwip/lwip-stack/src/core/timeouts.c</t>
  </si>
  <si>
    <t>sys_check_timeouts</t>
  </si>
  <si>
    <t>/kwbuilds/release_area/mcu_plus_sdk/source/networking/lwip/lwip-stack/src/core/udp.c</t>
  </si>
  <si>
    <t>Pointer 'pcb' checked for NULL at line 135 will be dereferenced at line 139.</t>
  </si>
  <si>
    <t>udp_input_local_match</t>
  </si>
  <si>
    <t>Pointer 'p' checked for NULL at line 207 will be dereferenced at line 215.</t>
  </si>
  <si>
    <t>udp_input</t>
  </si>
  <si>
    <t>Pointer 'inp' checked for NULL at line 136 may be dereferenced at line 166.</t>
  </si>
  <si>
    <t>Pointer 'inp' checked for NULL at line 208 may be dereferenced at line 271.</t>
  </si>
  <si>
    <t>Pointer 'inp' checked for NULL at line 208 may be dereferenced at line 324.</t>
  </si>
  <si>
    <t>Value of 'q' is never used after assignment</t>
  </si>
  <si>
    <t>udp_sendto_if_src</t>
  </si>
  <si>
    <t>Pointer 'inp' checked for NULL at line 208 may be passed to function and may be dereferenced there by passing argument 2 to function 'udp_input_local_match' at line 263.</t>
  </si>
  <si>
    <t>Expression 'ip_chksum_pseudo_partial(p, 136, p-&gt;t...' used in the condition always yields the same result</t>
  </si>
  <si>
    <t>Expression 'ip_chksum_pseudo(p, 17, p-&gt;tot_len,  ...' used in the condition always yields the same result</t>
  </si>
  <si>
    <t>udp_sendto</t>
  </si>
  <si>
    <t>udp_sendto_if</t>
  </si>
  <si>
    <t>Expression '!1|| !1' used in the condition always yields the same result, and causes an unreachable code</t>
  </si>
  <si>
    <t>Expression 'udphdr-&gt;chksum' used in the condition always yields the same result, and causes an unreachable code</t>
  </si>
  <si>
    <t>Expression 'udpchksum' used in the condition always yields the same result, and causes an unreachable code</t>
  </si>
  <si>
    <t>/kwbuilds/release_area/mcu_plus_sdk/source/networking/enet/core/src/phy/vsc8514.c</t>
  </si>
  <si>
    <t>Vsc8514_config</t>
  </si>
  <si>
    <t>/kwbuilds/release_area/mcu_plus_sdk/source/networking/enet/core/src/per/V2/cpsw.c</t>
  </si>
  <si>
    <t>Expression 'linkStatus' used in the condition always yields the same result</t>
  </si>
  <si>
    <t>Cpsw_periodicTick</t>
  </si>
  <si>
    <t>Expression 'linked' used in the condition always yields the same result</t>
  </si>
  <si>
    <t>Cpsw_registerIntrs</t>
  </si>
  <si>
    <t>Expression 'linked' used in the condition always yields the same result, and causes an unreachable code</t>
  </si>
  <si>
    <t>/kwbuilds/release_area/mcu_plus_sdk/source/industrial_comms/ethercat_slave/icss_fwhal/tiescbsp.c</t>
  </si>
  <si>
    <t>bsp_eeprom_emulation_init</t>
  </si>
  <si>
    <t>*default*, INDUSTRIAL_COMMS</t>
  </si>
  <si>
    <t>bsp_eeprom_load_esc_registers</t>
  </si>
  <si>
    <t>Value of 'pRegPermUpdateAddr' is never used after assignment</t>
  </si>
  <si>
    <t>bsp_esc_sync_reg_perm_update</t>
  </si>
  <si>
    <t>/kwbuilds/release_area/mcu_plus_sdk/source/drivers/soc/am263x/soc.c</t>
  </si>
  <si>
    <t>SOC_virtToPhy</t>
  </si>
  <si>
    <t>/kwbuilds/release_area/mcu_plus_sdk/source/networking/icss_emac/source/icss_emac.c</t>
  </si>
  <si>
    <t>Value of 'retVal' is never used after assignment</t>
  </si>
  <si>
    <t>ICSS_EMAC_ioctl</t>
  </si>
  <si>
    <t>*default*, NETWORKING_ICSS_EMAC</t>
  </si>
  <si>
    <t>Value of 'queue_wr_ptr' is never used after assignment</t>
  </si>
  <si>
    <t>ICSS_EMAC_rxPktGet</t>
  </si>
  <si>
    <t>Value of 'size' is never used after assignment</t>
  </si>
  <si>
    <t>Genuine issue but we have an approved waiver MCUSDK_SA_DR_002 (INFINITE_LOOP.LOCAL). Checked with module owner dhavaljk@ti.com</t>
  </si>
  <si>
    <t>ICSS_EMAC_osTxTaskFnc</t>
  </si>
  <si>
    <t>/kwbuilds/release_area/mcu_plus_sdk/source/networking/icss_emac/source/icss_emac_local.c</t>
  </si>
  <si>
    <t>Value of 'pTemp16' is never used after assignment</t>
  </si>
  <si>
    <t>ICSS_EMAC_switchConfig</t>
  </si>
  <si>
    <t>Value of 'qCount' is never used after assignment</t>
  </si>
  <si>
    <t>ICSS_EMAC_hostConfig</t>
  </si>
  <si>
    <t>ICSS_EMAC_macConfig</t>
  </si>
  <si>
    <t>Value of 'icssFwRelease1' is never used after assignment</t>
  </si>
  <si>
    <t>ICSS_EMAC_validateFeatureSet</t>
  </si>
  <si>
    <t>Value of 'icssFwRelease2' is never used after assignment</t>
  </si>
  <si>
    <t>Value of 'icssFwFeatureSet' is never used after assignment</t>
  </si>
  <si>
    <t>Expression '( (int32_t)0) ==retValSemLink' used in the condition always yields the same result</t>
  </si>
  <si>
    <t>ICSS_EMAC_osInit</t>
  </si>
  <si>
    <t>Expression '( (int32_t)0) ==retValSemRx' used in the condition always yields the same result</t>
  </si>
  <si>
    <t>Expression '( (int32_t)0) ==retValHwiLink' used in the condition always yields the same result</t>
  </si>
  <si>
    <t>Expression '( (int32_t)0) ==retValHwiRx' used in the condition always yields the same result</t>
  </si>
  <si>
    <t>Expression '( (int32_t)0) ==retValSemTx' used in the condition always yields the same result</t>
  </si>
  <si>
    <t>Expression '( (int32_t)0) ==retValHwiTx' used in the condition always yields the same result</t>
  </si>
  <si>
    <t>ICSS_EMAC_mdioIntrDisableSwitch</t>
  </si>
  <si>
    <t>ICSS_EMAC_mdioIntrDisable</t>
  </si>
  <si>
    <t>Expression 'authStatus == ((int32_t)-1)' used in the condition always yields the same result, and causes an unreachable code</t>
  </si>
  <si>
    <t>Bootloader_verifyMulticoreImage</t>
  </si>
  <si>
    <t>Expression 'Bootloader_socIsAuthRequired() == (Bo...' used in the condition always yields the same result, and causes an unreachable code</t>
  </si>
  <si>
    <t>Bootloader_parseMultiCoreAppImage</t>
  </si>
  <si>
    <t>Expression '((int32_t)0) == status' used in the condition always yields the same result, and causes an unreachable code</t>
  </si>
  <si>
    <t>Expression '--e-&gt;ts' used in the condition always yields the same result, and causes an unreachable code</t>
  </si>
  <si>
    <t>PORTING.VAR.EFFECTS</t>
  </si>
  <si>
    <t>/kwbuilds/release_area/mcu_plus_sdk/source/networking/enet/hw_include/cpsw/V5/priv/csl_cpsw_ale_9g_tblcfg.c</t>
  </si>
  <si>
    <t>Variable 'hCpswAleRegs-&gt;ALE_TBLW1' used twice in one expression where one usage is subject to side-effects</t>
  </si>
  <si>
    <t>CSL_CPSW_getAleIPv6Entry</t>
  </si>
  <si>
    <t xml:space="preserve">Permitted by deviation: MISRAC-73
</t>
  </si>
  <si>
    <t>/kwbuilds/release_area/mcu_plus_sdk/source/drivers/edma/v0/edma.c</t>
  </si>
  <si>
    <t>Expression '(1) != 0' used in the condition always yields the same result</t>
  </si>
  <si>
    <t>EDMA_initialize</t>
  </si>
  <si>
    <t>*default*, DRIVER_EDMA</t>
  </si>
  <si>
    <t>EDMA_channelToParamMap</t>
  </si>
  <si>
    <t xml:space="preserve">Permitted by deviation: MISRAC-75
</t>
  </si>
  <si>
    <t>Expression '(1) == 0' used in the condition always yields the same result, and causes an unreachable code</t>
  </si>
  <si>
    <t>EDMA_getMappedPaRAM</t>
  </si>
  <si>
    <t xml:space="preserve">Permitted by deviation:MISRAC-11
</t>
  </si>
  <si>
    <t>Expression 'isOpen' used in the condition always yields the same result</t>
  </si>
  <si>
    <t>Enet_getHandle</t>
  </si>
  <si>
    <t>Expression 'hPer-&gt;magic == ENET_MAGIC' used in the condition always yields the same result, and causes an unreachable code</t>
  </si>
  <si>
    <t>EnetPer_close</t>
  </si>
  <si>
    <t>Expression 'hMod-&gt;magic == ENET_MAGIC' used in the condition always yields the same result, and causes an unreachable code</t>
  </si>
  <si>
    <t>EnetMod_ioctlFromIsr</t>
  </si>
  <si>
    <t>Expression 'isOpen' used in the condition always yields the same result, and causes an unreachable code</t>
  </si>
  <si>
    <t>Enet_getHandleInfo</t>
  </si>
  <si>
    <t>Expression 'i &lt; (sizeof (gEnetPhy_phyObjs) / size...' used in the condition always yields the same result</t>
  </si>
  <si>
    <t>EnetPhy_getHandle</t>
  </si>
  <si>
    <t>Expression 'gEnetPhy_phyObjs[i].magic != ENETPHY_...' used in the condition always yields the same result</t>
  </si>
  <si>
    <t>Memory pointed by 'pthread' is freed at this point, but this memory is not freed upon function exits at line(s) 532.</t>
  </si>
  <si>
    <t>pthread_detach</t>
  </si>
  <si>
    <t>Expression 'pThreadState==eInvalid' used in the condition always yields the same result</t>
  </si>
  <si>
    <t>/kwbuilds/release_area/mcu_plus_sdk/source/kernel/freertos/FreeRTOS-POSIX/FreeRTOS-Plus-POSIX/source/FreeRTOS_POSIX_utils.c</t>
  </si>
  <si>
    <t>Expression 'iStatus' used in the condition always yields the same result, and causes an unreachable code</t>
  </si>
  <si>
    <t>UTILS_TimespecToTicks</t>
  </si>
  <si>
    <t>UTILS_TimespecAdd</t>
  </si>
  <si>
    <t>UTILS_TimespecAddNanoseconds</t>
  </si>
  <si>
    <t>UTILS_TimespecSubtract</t>
  </si>
  <si>
    <t>Expression 'y' used in the condition always yields the same result, and causes an unreachable code</t>
  </si>
  <si>
    <t>UTILS_TimespecCompare</t>
  </si>
  <si>
    <t>Expression 'object-&gt;writeCountIdx' used in the condition always yields the same result, and causes an unreachable code</t>
  </si>
  <si>
    <t>I2C_hwiFxnController</t>
  </si>
  <si>
    <t>Expression 'fatalError' used in the condition always yields the same result, and causes an unreachable code</t>
  </si>
  <si>
    <t>I2C_primeTransfer</t>
  </si>
  <si>
    <t>Value of 'object' is never used after assignment</t>
  </si>
  <si>
    <t>I2C_hwiFxn</t>
  </si>
  <si>
    <t>Pointer 'pcr' checked for NULL at line 718 will be dereferenced at line 720.</t>
  </si>
  <si>
    <t>ipfrag_free_pbuf_custom</t>
  </si>
  <si>
    <t>MCSPI_transfer</t>
  </si>
  <si>
    <t>RABV.CHECK</t>
  </si>
  <si>
    <t>Suspicious use of index 'rb-&gt;put' at line 186 before boundary check at line 188</t>
  </si>
  <si>
    <t>mqtt_ringbuf_put</t>
  </si>
  <si>
    <t>Pointer 'pc-&gt;custom_free_function' checked for NULL at line 767 will be dereferenced at line 768.</t>
  </si>
  <si>
    <t>pbuf_free</t>
  </si>
  <si>
    <t>Expression 'sizeof(ptrdiff_t) ==sizeof(long)' used in the condition always yields the same result</t>
  </si>
  <si>
    <t>Expression 'sizeof(size_t) ==sizeof(long)' used in the condition always yields the same result</t>
  </si>
  <si>
    <t>Pointer 'pvItemToQueue' checked for NULL at line 781 may be passed to function and may be dereferenced there by passing argument 2 to function 'prvCopyDataToQueue' at line 866.</t>
  </si>
  <si>
    <t>xQueueGenericSend</t>
  </si>
  <si>
    <t>Pointer 'pvItemToQueue' checked for NULL at line 993 may be passed to function and may be dereferenced there by passing argument 2 to function 'prvCopyDataToQueue' at line 1031.</t>
  </si>
  <si>
    <t>xQueueGenericSendFromISR</t>
  </si>
  <si>
    <t>Pointer 'pvBuffer' checked for NULL at line 1331 may be passed to function and may be dereferenced there by passing argument 2 to function 'prvCopyDataFromQueue' at line 1354.</t>
  </si>
  <si>
    <t>xQueueReceive</t>
  </si>
  <si>
    <t>Pointer 'pvBuffer' checked for NULL at line 1694 may be passed to function and may be dereferenced there by passing argument 2 to function 'prvCopyDataFromQueue' at line 1721.</t>
  </si>
  <si>
    <t>xQueuePeek</t>
  </si>
  <si>
    <t>Pointer 'pvBuffer' checked for NULL at line 1840 may be passed to function and may be dereferenced there by passing argument 2 to function 'prvCopyDataFromQueue' at line 1869.</t>
  </si>
  <si>
    <t>xQueueReceiveFromISR</t>
  </si>
  <si>
    <t>Pointer 'pvBuffer' checked for NULL at line 1935 may be passed to function and may be dereferenced there by passing argument 2 to function 'prvCopyDataFromQueue' at line 1964.</t>
  </si>
  <si>
    <t>xQueuePeekFromISR</t>
  </si>
  <si>
    <t>Expression 'temp &gt;= (0)' used in the condition always yields the same result</t>
  </si>
  <si>
    <t>SV.TAINTED.CALL.DEREF</t>
  </si>
  <si>
    <t>Unvalidated pointer 'regVal' that is received from 'SOC_rcmGetBaseAddressTOPRCM' at line 2879 is dereferenced via a call to 'CSL_REG32_WR_RAW' at line 2885.</t>
  </si>
  <si>
    <t>SOC_configureWarmResetSource</t>
  </si>
  <si>
    <t>Pointer 'pcb' checked for NULL at line 233 may be dereferenced at line 255.</t>
  </si>
  <si>
    <t>Pointer 'p' checked for NULL at line 743 will be dereferenced at line 744.</t>
  </si>
  <si>
    <t>tcp_write</t>
  </si>
  <si>
    <t>/kwbuilds/release_area/mcu_plus_sdk/source/networking/enet/core/src/mod/cpsw_macport_est.c</t>
  </si>
  <si>
    <t>Expression 'hPort-&gt;estBufUpper' used in the condition always yields the same result</t>
  </si>
  <si>
    <t>CpswEst_setState</t>
  </si>
  <si>
    <t>/kwbuilds/release_area/mcu_plus_sdk/source/kernel/freertos/FreeRTOS-Kernel/event_groups.c</t>
  </si>
  <si>
    <t>Memory pointed by 'xEventGroup' is freed at this point, but this memory is not freed upon function exits at line(s) 665.</t>
  </si>
  <si>
    <t>vEventGroupDelete</t>
  </si>
  <si>
    <t>/kwbuilds/release_area/mcu_plus_sdk/source/drivers/uart/v0/dma/edma/uart_dma_edma.c</t>
  </si>
  <si>
    <t>Value of 'config' is never used after assignment</t>
  </si>
  <si>
    <t>UART_edmaDisableChannel</t>
  </si>
  <si>
    <t>CpswAle_setVlanMcastPortMask</t>
  </si>
  <si>
    <t>Expression 'xgmiiEn == 1' used in the condition always yields the same result</t>
  </si>
  <si>
    <t>CpswMacPort_isPortEnabled</t>
  </si>
  <si>
    <t>/kwbuilds/release_area/mcu_plus_sdk/source/drivers/hsmclient/hsmclient.c</t>
  </si>
  <si>
    <t>Expression 'status== ( (int32_t) -1)' used in the condition always yields the same result, and causes an unreachable code</t>
  </si>
  <si>
    <t>HsmClient_SendAndRecv</t>
  </si>
  <si>
    <t>*default*</t>
  </si>
  <si>
    <t>HsmClient_register</t>
  </si>
  <si>
    <t>Expression 'status== ( (int32_t) -1)' used in the condition always yields the same result</t>
  </si>
  <si>
    <t>HsmClient_waitForBootNotify</t>
  </si>
  <si>
    <t>Value of 'txEmptyMask' is never used after assignment</t>
  </si>
  <si>
    <t>MCSPI_transferControllerPoll</t>
  </si>
  <si>
    <t>/kwbuilds/release_area/mcu_plus_sdk/source/drivers/hsmclient/soc/am263x/hsmclient_loadhsmrt.c</t>
  </si>
  <si>
    <t>Hsmclient_loadHSMRtFirmware</t>
  </si>
  <si>
    <t>Expression 'loadHSMResult.header.checksum!=orgChe...' used in the condition always yields the same result</t>
  </si>
  <si>
    <t>PSDKRA_SA_DR_007</t>
  </si>
  <si>
    <t>/kwbuilds/release_area/mcu_plus_sdk/source/sdl/esm/v0/sdl_esm.c</t>
  </si>
  <si>
    <t>Expression 'SDL_ESM_getBaseAddr(instance, &amp;esmIns...' used in the condition always yields the same result</t>
  </si>
  <si>
    <t>SDL_ESM_verifyConfig</t>
  </si>
  <si>
    <t>Expression 'remainingBits &gt; (32)' used in the condition always yields the same result</t>
  </si>
  <si>
    <t>PSDKRA_SA_DR_005</t>
  </si>
  <si>
    <t>/kwbuilds/release_area/mcu_plus_sdk/source/sdl/esm/soc/am263x/sdl_esm_core.c</t>
  </si>
  <si>
    <t>Pointer 'esmBaseAddr' checked for NULL at line 70 will be dereferenced at line 85.</t>
  </si>
  <si>
    <t>SDL_ESM_getBaseAddr</t>
  </si>
  <si>
    <t>/kwbuilds/release_area/mcu_plus_sdk/source/networking/enet/core/src/mod/mdio_manual_ioctl.c</t>
  </si>
  <si>
    <t>Value of 'tmp' is never used after assignment</t>
  </si>
  <si>
    <t>Mdio_manualModePhyRegRead22</t>
  </si>
  <si>
    <t>Permitted by deviation: MISRAC-75</t>
  </si>
  <si>
    <t>Expression 'is_ll' used in the condition always yields the same result, and causes an unreachable code</t>
  </si>
  <si>
    <t>Cpsw_ioctlInternal</t>
  </si>
  <si>
    <t>/kwbuilds/release_area/mcu_plus_sdk/source/board/flash/qspi/flash_nor_qspi.c</t>
  </si>
  <si>
    <t>Flash_norQspiSet4ByteAddrMode</t>
  </si>
  <si>
    <t>Mdio_manualModePhyRegValReadC45</t>
  </si>
  <si>
    <t>/kwbuilds/release_area/mcu_plus_sdk/source/networking/enet/core/src/mod/cpsw_ale_ioctl.c</t>
  </si>
  <si>
    <t>CpswAle_updateVlanMcastHostPortMask</t>
  </si>
  <si>
    <t>Expression 'status != ((int32_t)(0))' used in the condition always yields the same result, and causes an unreachable code</t>
  </si>
  <si>
    <t>CpswAle_setBcastMcastLimit</t>
  </si>
  <si>
    <t>CpswAle_getBcastMcastLimit</t>
  </si>
  <si>
    <t>CpswAle_ioctl_handler_CPSW_ALE_IOCTL_GET_PORT_MACADDR</t>
  </si>
  <si>
    <t>CpswAle_setIPv4PolicerEntry</t>
  </si>
  <si>
    <t>CpswAle_setIPv6PolicerEntry</t>
  </si>
  <si>
    <t>CpswAle_setEtherTypePolicerEntry</t>
  </si>
  <si>
    <t>CpswAle_setThreadPolicerConfig</t>
  </si>
  <si>
    <t>CpswAle_setVlanPolicerEntry</t>
  </si>
  <si>
    <t>UNINIT.STACK.MUST</t>
  </si>
  <si>
    <t>Waiver ID: MCUSDK_SA_DR_010</t>
  </si>
  <si>
    <t>'alePortControl.bcastLimit' is used uninitialized in this function.</t>
  </si>
  <si>
    <t>CpswAle_getPortBcastMcastLimit</t>
  </si>
  <si>
    <t>'alePortControl.mcastLimit' is used uninitialized in this function.</t>
  </si>
  <si>
    <t>'policerControl.policingEnable' is used uninitialized in this function.</t>
  </si>
  <si>
    <t>CpswAle_getPolicerControl</t>
  </si>
  <si>
    <t>'policerControl.redDropEnable' is used uninitialized in this function.</t>
  </si>
  <si>
    <t>'policerControl.yellowDropEnable' is used uninitialized in this function.</t>
  </si>
  <si>
    <t>'policerControl.yellowDropThresh' is used uninitialized in this function.</t>
  </si>
  <si>
    <t>'policerControl.policeMatchMode' is used uninitialized in this function.</t>
  </si>
  <si>
    <t>/kwbuilds/release_area/mcu_plus_sdk/source/networking/enet/core/src/mod/cpsw_cpts_ioctl.c</t>
  </si>
  <si>
    <t>Expression 'status== ( ( - (int32_t) (8) ) -6)' used in the condition always yields the same result, and causes an unreachable code</t>
  </si>
  <si>
    <t>CpswCpts_ioctl_handler_ENET_TIMESYNC_IOCTL_GET_ETH_RX_TIMESTAMP</t>
  </si>
  <si>
    <t>CpswCpts_ioctl_handler_ENET_TIMESYNC_IOCTL_GET_ETH_TX_TIMESTAMP</t>
  </si>
  <si>
    <t>Expression 'hwPushIdx&lt; ( (uint32_t)CPSW_CPTS_HWPU...' used in the condition always yields the same result</t>
  </si>
  <si>
    <t>CpswCpts_ioctl_handler_CPSW_CPTS_IOCTL_REGISTER_HWPUSH_CALLBACK</t>
  </si>
  <si>
    <t>CpswCpts_ioctl_handler_CPSW_CPTS_IOCTL_UNREGISTER_HWPUSH_CALLBACK</t>
  </si>
  <si>
    <t>Expression 'status!= ( ( - (int32_t) (8) ) -6)' used in the condition always yields the same result</t>
  </si>
  <si>
    <t>CpswCpts_ioctl_handler_CPSW_CPTS_IOCTL_LOOKUP_EST_EVENT</t>
  </si>
  <si>
    <t>CpswCpts_lookUpEvent</t>
  </si>
  <si>
    <t>/kwbuilds/release_area/mcu_plus_sdk/source/networking/enet/core/src/mod/cpsw_macport_est_ioctl.c</t>
  </si>
  <si>
    <t>CpswEst_enableTimestamp</t>
  </si>
  <si>
    <t>Expression '(16) &gt; (64)' used in the condition always yields the same result, and causes an unreachable code</t>
  </si>
  <si>
    <t>CpswEst_readGateControlList</t>
  </si>
  <si>
    <t>/kwbuilds/release_area/mcu_plus_sdk/source/networking/enet/core/src/core/enet_rm_ioctl.c</t>
  </si>
  <si>
    <t>Expression 'i&lt;resTbl-&gt;numCores' used in the condition always yields the same result</t>
  </si>
  <si>
    <t>EnetRm_allocResourceNode</t>
  </si>
  <si>
    <t>/kwbuilds/release_area/mcu_plus_sdk/source/networking/enet/core/src/mod/mdio_ioctl.c</t>
  </si>
  <si>
    <t>Mdio_normal_ioctl_handler_ENET_MDIO_IOCTL_C45_ASYNC_READ_TRIGGER</t>
  </si>
  <si>
    <t>Expression 'ack== ( - (int32_t) (4) )' used in the condition always yields the same result, and causes an unreachable code</t>
  </si>
  <si>
    <t>Mdio_normal_ioctl_handler_ENET_MDIO_IOCTL_C45_ASYNC_WRITE_COMPLETE</t>
  </si>
  <si>
    <t>Expression 'pPkt-&gt;txPortNum != (Enet_MacPort)65535U' used in the condition always yields the same result</t>
  </si>
  <si>
    <t>EnetCpdma_setSOPInfo</t>
  </si>
  <si>
    <t>/kwbuilds/release_area/mcu_plus_sdk/source/networking/lwip/lwip-stack/src/core/ipv4/icmp.c</t>
  </si>
  <si>
    <t>Expression 'inet_chksum_pbuf(p) !=0' used in the condition always yields the same result</t>
  </si>
  <si>
    <t>icmp_input</t>
  </si>
  <si>
    <t>/kwbuilds/release_area/mcu_plus_sdk/source/networking/lwip/lwip-stack/src/core/ipv4/ip4.c</t>
  </si>
  <si>
    <t>Expression 'inet_chksum(iphdr, iphdr_hlen) !=0' used in the condition always yields the same result</t>
  </si>
  <si>
    <t>ip4_input</t>
  </si>
  <si>
    <t>Value of 'isChksumPass' is never used after assignment</t>
  </si>
  <si>
    <t>LWIPIF_LWIP_UdpLiteValidateChkSum</t>
  </si>
  <si>
    <t>Expression '0==LWIPIF_LWIP_getUdpLiteChksum(p,  (...' used in the condition always yields the same result, and causes an unreachable code</t>
  </si>
  <si>
    <t>Expression 'protocolType==6' used in the condition always yields the same result, and causes an unreachable code</t>
  </si>
  <si>
    <t>LWIPIF_LWIP_getChkSumInfo</t>
  </si>
  <si>
    <t>Owned by third party</t>
  </si>
  <si>
    <t>Pointer 'p-&gt;next' checked for NULL at line 194 will be dereferenced at line 208.</t>
  </si>
  <si>
    <t>a0498897</t>
  </si>
  <si>
    <t>RNPD.DEREF</t>
  </si>
  <si>
    <t>Suspicious dereference of pointer 'p' before NULL check at line 568</t>
  </si>
  <si>
    <t>Expression 'recv_data!= ( (void* )0)' used in the condition always yields the same result</t>
  </si>
  <si>
    <t>Pointer 'p' checked for NULL at line 1927 may be dereferenced at line 1951.</t>
  </si>
  <si>
    <t>EnetAppUtils_addHostPortMcastMembership</t>
  </si>
  <si>
    <t>EnetAppUtils_delHostPortMcastMembership</t>
  </si>
  <si>
    <t>MISRAC-73</t>
  </si>
  <si>
    <t>/kwbuilds/release_area/mcu_plus_sdk/source/sdl/pbist/sdl_pbist.c</t>
  </si>
  <si>
    <t>Expression 'testType!=SDL_PBIST_NEG_TEST' used in the condition always yields the same result</t>
  </si>
  <si>
    <t>SDL_PBIST_selfTest</t>
  </si>
  <si>
    <t>Expression 'pInfo' used in the condition always yields the same result</t>
  </si>
  <si>
    <t>/kwbuilds/release_area/mcu_plus_sdk/source/sdl/pbist/v0/soc/am263x/sdl_pbist_soc.c</t>
  </si>
  <si>
    <t>Expression 'instance &lt; 1' used in the condition always yields the same result</t>
  </si>
  <si>
    <t>SDL_PBIST_getInstInfo</t>
  </si>
  <si>
    <t>Permitted by deviation PSDKRA_SA_DR_001</t>
  </si>
  <si>
    <t>/kwbuilds/release_area/mcu_plus_sdk/source/sdl/ecc/soc/am263x/sdl_ecc.c</t>
  </si>
  <si>
    <t>Array 'eventBitMapMAIN' of size 4 may use index value(s) 4..31</t>
  </si>
  <si>
    <t>SDL_ECC_initEsm</t>
  </si>
  <si>
    <t>Expression '( (void* )0) ==hLwip2Enet' used in the condition always yields the same result, and causes an unreachable code</t>
  </si>
  <si>
    <t>Expression 'state&gt;=ETHARP_STATE_STABLE' used in the condition always yields the same result, and causes an unreachable code</t>
  </si>
  <si>
    <t>Expression 'parsed==ERR_USE' used in the condition always yields the same result, and causes an unreachable code</t>
  </si>
  <si>
    <t>Expression 'proto' used in the condition always yields the same result, and causes an unreachable code</t>
  </si>
  <si>
    <t>Expression 'pcb-&gt;unsent!= ( (void* )0)' used in the condition always yields the same result, and causes an unreachable code</t>
  </si>
  <si>
    <t>/kwbuilds/release_area/mcu_plus_sdk/source/security/crypto/crypto_util.c</t>
  </si>
  <si>
    <t>Value of 'offset' is never used after assignment</t>
  </si>
  <si>
    <t>Crypto_PKCSPaddingForSign</t>
  </si>
  <si>
    <t>/kwbuilds/release_area/mcu_plus_sdk/source/security/crypto/dthe/dthe.c</t>
  </si>
  <si>
    <t>Value of 'handle' is never used after assignment</t>
  </si>
  <si>
    <t>DTHE_close</t>
  </si>
  <si>
    <t>/kwbuilds/release_area/mcu_plus_sdk/source/security/crypto/dthe/dthe_aes.c</t>
  </si>
  <si>
    <t>Expression 'numPartialWords &lt; 4' used in the condition always yields the same result, and causes an unreachable code</t>
  </si>
  <si>
    <t>DTHE_AES_execute</t>
  </si>
  <si>
    <t>/kwbuilds/release_area/mcu_plus_sdk/source/security/crypto/pka/pka.c</t>
  </si>
  <si>
    <t>PKA_close</t>
  </si>
  <si>
    <t>Value of 'totalTimeInUsecs' is never used after assignment</t>
  </si>
  <si>
    <t>PKA_enable</t>
  </si>
  <si>
    <t>Expression 'PKA_RETURN_SUCCESS == status' used in the condition always yields the same result, and causes an unreachable code</t>
  </si>
  <si>
    <t>PKA_RSAPrivate</t>
  </si>
  <si>
    <t>Expression 'status == PKA_RETURN_SUCCESS' used in the condition always yields the same result, and causes an unreachable code</t>
  </si>
  <si>
    <t>PKA_RSAPublic</t>
  </si>
  <si>
    <t>PKA_ECDSASign</t>
  </si>
  <si>
    <t>PKA_ECDSAVerify</t>
  </si>
  <si>
    <t>Expression 'totalTimeInUsecs &gt; 10' used in the condition always yields the same result, and causes an unreachable code</t>
  </si>
  <si>
    <t>Expression 'PKA_isBigIntZero(sig-&gt;r)' used in the condition always yields the same result</t>
  </si>
  <si>
    <t>Expression 'PKA_isBigIntZero(sig-&gt;s)' used in the condition always yields the same result</t>
  </si>
  <si>
    <t>Expression 'PKA_RETURN_SUCCESS != status' used in the condition always yields the same result</t>
  </si>
  <si>
    <t>Expression 'newsock&lt;10+0' used in the condition always yields the same result, and causes an unreachable code</t>
  </si>
  <si>
    <t>Expression 'ret' used in the condition always yields the same result, and causes an unreachable code</t>
  </si>
  <si>
    <t>/kwbuilds/release_area/mcu_plus_sdk/source/networking/lwip/lwip-contrib/apps/udpecho/udpecho.c</t>
  </si>
  <si>
    <t>udpecho_thread</t>
  </si>
  <si>
    <t>Expression '( (void* )0) !=selectedQ' used in the condition always yields the same result, and causes an unreachable code</t>
  </si>
  <si>
    <t>EnetMem_allocEthPktInfoMem</t>
  </si>
  <si>
    <t>Expression 'portIdx &lt; (2)' used in the condition always yields the same result</t>
  </si>
  <si>
    <t>Lwip2Enet_mapNetif2Rx</t>
  </si>
  <si>
    <t>Lwip2Enet_rxPktHandler</t>
  </si>
  <si>
    <t>Value of 'pktCnt' is never used after assignment</t>
  </si>
  <si>
    <t>/kwbuilds/release_area/mcu_plus_sdk/source/networking/lwip/lwip-contrib/apps/ping/ping.c</t>
  </si>
  <si>
    <t>Pointer 'p' checked for NULL at line 300 will be dereferenced at line 302.</t>
  </si>
  <si>
    <t>ping_recv</t>
  </si>
  <si>
    <t>Pointer 'ping_pcb' checked for NULL at line 368 will be dereferenced at line 370.</t>
  </si>
  <si>
    <t>ping_raw_init</t>
  </si>
  <si>
    <t>Pointer 'ping_pcb' returned from call to function 'raw_new' at line 367 may be NULL and will be dereferenced at line 370.</t>
  </si>
  <si>
    <t>/kwbuilds/release_area/mcu_plus_sdk/source/kernel/nortos/dpl/common/EventP_nortos.c</t>
  </si>
  <si>
    <t>EventP_waitBits</t>
  </si>
  <si>
    <t>/kwbuilds/release_area/mcu_plus_sdk/source/drivers/mmcsd/v1/mmcsd_v1.c</t>
  </si>
  <si>
    <t>MMCSD_init</t>
  </si>
  <si>
    <t>*default*, DRIVER_MMCSD</t>
  </si>
  <si>
    <t>MMCSD_read</t>
  </si>
  <si>
    <t>MMCSD_initSD</t>
  </si>
  <si>
    <t>MMCSD_initEMMC</t>
  </si>
  <si>
    <t>Expression 'cmdObj.enableData== (1)' used in the condition always yields the same result</t>
  </si>
  <si>
    <t>MMCSD_transfer</t>
  </si>
  <si>
    <t>Expression 'retry--' used in the condition always yields the same result</t>
  </si>
  <si>
    <t>MMCSD_isIntClockStable</t>
  </si>
  <si>
    <t>MMCSD_isCmdComplete</t>
  </si>
  <si>
    <t>MMCSD_isXferComplete</t>
  </si>
  <si>
    <t>Expression 'prevMatch' used in the condition always yields the same result, and causes an unreachable code</t>
  </si>
  <si>
    <t>MMCSD_tuningProcedure</t>
  </si>
  <si>
    <t>Expression '(0) == MMCSD_isIntClockStable(baseAdd...' used in the condition always yields the same result, and causes an unreachable code</t>
  </si>
  <si>
    <t>MMCSD_intClockEnable</t>
  </si>
  <si>
    <t>Expression '((int32_t)0) == MMCSD_intClockEnable(...' used in the condition always yields the same result, and causes an unreachable code</t>
  </si>
  <si>
    <t>MMCSD_setBusFreq</t>
  </si>
  <si>
    <t>Expression '1 == MMCSD_isIntClockStable(baseAddr,...' used in the condition always yields the same result, and causes an unreachable code</t>
  </si>
  <si>
    <t>METRICS.E.HIS_Metrics___Number_of_parameters_PARAM</t>
  </si>
  <si>
    <t>/kwbuilds/release_area/mcu_plus_sdk/source/kernel/nortos/dpl/common/AddrTranslateP.c</t>
  </si>
  <si>
    <t>HIS Metrics - Number of parameters PARAM: AddrTranslateP_setRegion 6&gt;5</t>
  </si>
  <si>
    <t>AddrTranslateP_setRegion</t>
  </si>
  <si>
    <t>C and C++ Community Metrics</t>
  </si>
  <si>
    <t>METRICS.E.HIS_Metrics___Max_nesting_level_LEVEL</t>
  </si>
  <si>
    <t>HIS Metrics - Max nesting level LEVEL: altcp_proxyconnect_lower_connected 5&gt;4</t>
  </si>
  <si>
    <t>altcp_proxyconnect_lower_connected</t>
  </si>
  <si>
    <t>HIS Metrics - Max nesting level LEVEL: altcp_proxyconnect_lower_recv 5&gt;4</t>
  </si>
  <si>
    <t>altcp_proxyconnect_lower_recv</t>
  </si>
  <si>
    <t>HIS Metrics - Max nesting level LEVEL: altcp_proxyconnect_lower_sent 5&gt;4</t>
  </si>
  <si>
    <t>altcp_proxyconnect_lower_sent</t>
  </si>
  <si>
    <t>HIS Metrics - Max nesting level LEVEL: altcp_proxyconnect_lower_poll 5&gt;4</t>
  </si>
  <si>
    <t>altcp_proxyconnect_lower_poll</t>
  </si>
  <si>
    <t>METRICS.E.HIS_Metrics___Cyclomatic_v_G_</t>
  </si>
  <si>
    <t>HIS Metrics - Cyclomatic v(G): altcp_proxyconnect_lower_recv 17&gt;10</t>
  </si>
  <si>
    <t>METRICS.E.HIS_Metrics___Number_of_paths_PATH</t>
  </si>
  <si>
    <t>HIS Metrics - Number of paths PATH: altcp_proxyconnect_lower_recv 151.99992&gt;80</t>
  </si>
  <si>
    <t>/kwbuilds/release_area/mcu_plus_sdk/source/networking/lwip/lwip-stack/src/core/altcp_tcp.c</t>
  </si>
  <si>
    <t>HIS Metrics - Max nesting level LEVEL: altcp_tcp_connected 7&gt;4</t>
  </si>
  <si>
    <t>altcp_tcp_connected</t>
  </si>
  <si>
    <t>HIS Metrics - Max nesting level LEVEL: altcp_tcp_recv 7&gt;4</t>
  </si>
  <si>
    <t>altcp_tcp_recv</t>
  </si>
  <si>
    <t>HIS Metrics - Max nesting level LEVEL: altcp_tcp_sent 7&gt;4</t>
  </si>
  <si>
    <t>altcp_tcp_sent</t>
  </si>
  <si>
    <t>HIS Metrics - Max nesting level LEVEL: altcp_tcp_poll 7&gt;4</t>
  </si>
  <si>
    <t>altcp_tcp_poll</t>
  </si>
  <si>
    <t>HIS Metrics - Max nesting level LEVEL: altcp_tcp_set_poll 6&gt;4</t>
  </si>
  <si>
    <t>altcp_tcp_set_poll</t>
  </si>
  <si>
    <t>HIS Metrics - Max nesting level LEVEL: altcp_tcp_recved 6&gt;4</t>
  </si>
  <si>
    <t>altcp_tcp_recved</t>
  </si>
  <si>
    <t>HIS Metrics - Max nesting level LEVEL: altcp_tcp_bind 5&gt;4</t>
  </si>
  <si>
    <t>altcp_tcp_bind</t>
  </si>
  <si>
    <t>HIS Metrics - Max nesting level LEVEL: altcp_tcp_connect 5&gt;4</t>
  </si>
  <si>
    <t>altcp_tcp_connect</t>
  </si>
  <si>
    <t>HIS Metrics - Max nesting level LEVEL: altcp_tcp_listen 5&gt;4</t>
  </si>
  <si>
    <t>altcp_tcp_listen</t>
  </si>
  <si>
    <t>HIS Metrics - Max nesting level LEVEL: altcp_tcp_abort 6&gt;4</t>
  </si>
  <si>
    <t>altcp_tcp_abort</t>
  </si>
  <si>
    <t>HIS Metrics - Max nesting level LEVEL: altcp_tcp_close 5&gt;4</t>
  </si>
  <si>
    <t>altcp_tcp_close</t>
  </si>
  <si>
    <t>HIS Metrics - Max nesting level LEVEL: altcp_tcp_shutdown 5&gt;4</t>
  </si>
  <si>
    <t>altcp_tcp_shutdown</t>
  </si>
  <si>
    <t>HIS Metrics - Max nesting level LEVEL: altcp_tcp_write 5&gt;4</t>
  </si>
  <si>
    <t>altcp_tcp_write</t>
  </si>
  <si>
    <t>HIS Metrics - Max nesting level LEVEL: altcp_tcp_output 5&gt;4</t>
  </si>
  <si>
    <t>altcp_tcp_output</t>
  </si>
  <si>
    <t>HIS Metrics - Max nesting level LEVEL: altcp_tcp_mss 5&gt;4</t>
  </si>
  <si>
    <t>altcp_tcp_mss</t>
  </si>
  <si>
    <t>HIS Metrics - Max nesting level LEVEL: altcp_tcp_sndbuf 5&gt;4</t>
  </si>
  <si>
    <t>altcp_tcp_sndbuf</t>
  </si>
  <si>
    <t>HIS Metrics - Max nesting level LEVEL: altcp_tcp_sndqueuelen 5&gt;4</t>
  </si>
  <si>
    <t>altcp_tcp_sndqueuelen</t>
  </si>
  <si>
    <t>HIS Metrics - Max nesting level LEVEL: altcp_tcp_nagle_disable 6&gt;4</t>
  </si>
  <si>
    <t>altcp_tcp_nagle_disable</t>
  </si>
  <si>
    <t>HIS Metrics - Max nesting level LEVEL: altcp_tcp_nagle_enable 6&gt;4</t>
  </si>
  <si>
    <t>altcp_tcp_nagle_enable</t>
  </si>
  <si>
    <t>HIS Metrics - Max nesting level LEVEL: altcp_tcp_nagle_disabled 6&gt;4</t>
  </si>
  <si>
    <t>altcp_tcp_nagle_disabled</t>
  </si>
  <si>
    <t>HIS Metrics - Max nesting level LEVEL: altcp_tcp_setprio 6&gt;4</t>
  </si>
  <si>
    <t>altcp_tcp_setprio</t>
  </si>
  <si>
    <t>HIS Metrics - Max nesting level LEVEL: altcp_tcp_dealloc 5&gt;4</t>
  </si>
  <si>
    <t>altcp_tcp_dealloc</t>
  </si>
  <si>
    <t>HIS Metrics - Max nesting level LEVEL: altcp_tcp_get_tcp_addrinfo 6&gt;4</t>
  </si>
  <si>
    <t>altcp_tcp_get_tcp_addrinfo</t>
  </si>
  <si>
    <t>HIS Metrics - Max nesting level LEVEL: altcp_tcp_get_ip 6&gt;4</t>
  </si>
  <si>
    <t>altcp_tcp_get_ip</t>
  </si>
  <si>
    <t>HIS Metrics - Max nesting level LEVEL: altcp_tcp_get_port 6&gt;4</t>
  </si>
  <si>
    <t>altcp_tcp_get_port</t>
  </si>
  <si>
    <t>HIS Metrics - Max nesting level LEVEL: altcp_tcp_dbg_get_tcp_state 6&gt;4</t>
  </si>
  <si>
    <t>altcp_tcp_dbg_get_tcp_state</t>
  </si>
  <si>
    <t>HIS Metrics - Cyclomatic v(G): altcp_tcp_connected 11&gt;10</t>
  </si>
  <si>
    <t>HIS Metrics - Cyclomatic v(G): altcp_tcp_recv 12&gt;10</t>
  </si>
  <si>
    <t>HIS Metrics - Cyclomatic v(G): altcp_tcp_sent 11&gt;10</t>
  </si>
  <si>
    <t>HIS Metrics - Cyclomatic v(G): altcp_tcp_poll 11&gt;10</t>
  </si>
  <si>
    <t>HIS Metrics - Max nesting level LEVEL: netconn_new_with_proto_and_callback 6&gt;4</t>
  </si>
  <si>
    <t>netconn_new_with_proto_and_callback</t>
  </si>
  <si>
    <t>HIS Metrics - Max nesting level LEVEL: netconn_recv_data 5&gt;4</t>
  </si>
  <si>
    <t>HIS Metrics - Max nesting level LEVEL: netconn_recv_data_tcp 5&gt;4</t>
  </si>
  <si>
    <t>netconn_recv_data_tcp</t>
  </si>
  <si>
    <t>HIS Metrics - Max nesting level LEVEL: netconn_recv 6&gt;4</t>
  </si>
  <si>
    <t>netconn_recv</t>
  </si>
  <si>
    <t>HIS Metrics - Max nesting level LEVEL: netconn_send 5&gt;4</t>
  </si>
  <si>
    <t>netconn_send</t>
  </si>
  <si>
    <t>HIS Metrics - Max nesting level LEVEL: netconn_write_vectors_partly 6&gt;4</t>
  </si>
  <si>
    <t>netconn_write_vectors_partly</t>
  </si>
  <si>
    <t>HIS Metrics - Cyclomatic v(G): netconn_new_with_proto_and_callback 15&gt;10</t>
  </si>
  <si>
    <t>HIS Metrics - Cyclomatic v(G): netconn_accept 15&gt;10</t>
  </si>
  <si>
    <t>netconn_accept</t>
  </si>
  <si>
    <t>HIS Metrics - Cyclomatic v(G): netconn_recv_data 27&gt;10</t>
  </si>
  <si>
    <t>HIS Metrics - Cyclomatic v(G): netconn_recv_data_tcp 15&gt;10</t>
  </si>
  <si>
    <t>HIS Metrics - Cyclomatic v(G): netconn_recv 13&gt;10</t>
  </si>
  <si>
    <t>HIS Metrics - Cyclomatic v(G): netconn_write_vectors_partly 19&gt;10</t>
  </si>
  <si>
    <t>HIS Metrics - Number of paths PATH: netconn_new_with_proto_and_callback 257.99985&gt;80</t>
  </si>
  <si>
    <t>HIS Metrics - Number of paths PATH: netconn_recv_data 1325.99963&gt;80</t>
  </si>
  <si>
    <t>HIS Metrics - Number of paths PATH: netconn_recv_data_tcp 121.00008&gt;80</t>
  </si>
  <si>
    <t>HIS Metrics - Number of paths PATH: netconn_write_vectors_partly 205.99998&gt;80</t>
  </si>
  <si>
    <t>HIS Metrics - Max nesting level LEVEL: lwip_netconn_err_to_msg 5&gt;4</t>
  </si>
  <si>
    <t>lwip_netconn_err_to_msg</t>
  </si>
  <si>
    <t>HIS Metrics - Max nesting level LEVEL: recv_raw 5&gt;4</t>
  </si>
  <si>
    <t>recv_raw</t>
  </si>
  <si>
    <t>HIS Metrics - Max nesting level LEVEL: err_tcp 7&gt;4</t>
  </si>
  <si>
    <t>HIS Metrics - Max nesting level LEVEL: accept_function 6&gt;4</t>
  </si>
  <si>
    <t>accept_function</t>
  </si>
  <si>
    <t>HIS Metrics - Max nesting level LEVEL: netconn_alloc 5&gt;4</t>
  </si>
  <si>
    <t>netconn_alloc</t>
  </si>
  <si>
    <t>HIS Metrics - Max nesting level LEVEL: netconn_drain 5&gt;4</t>
  </si>
  <si>
    <t>netconn_drain</t>
  </si>
  <si>
    <t>HIS Metrics - Max nesting level LEVEL: lwip_netconn_do_close_internal 5&gt;4</t>
  </si>
  <si>
    <t>HIS Metrics - Max nesting level LEVEL: lwip_netconn_do_delconn 8&gt;4</t>
  </si>
  <si>
    <t>HIS Metrics - Max nesting level LEVEL: lwip_netconn_do_connect 10&gt;4</t>
  </si>
  <si>
    <t>HIS Metrics - Max nesting level LEVEL: lwip_netconn_do_listen 8&gt;4</t>
  </si>
  <si>
    <t>lwip_netconn_do_listen</t>
  </si>
  <si>
    <t>HIS Metrics - Max nesting level LEVEL: lwip_netconn_do_send 5&gt;4</t>
  </si>
  <si>
    <t>lwip_netconn_do_send</t>
  </si>
  <si>
    <t>HIS Metrics - Max nesting level LEVEL: lwip_netconn_do_writemore 5&gt;4</t>
  </si>
  <si>
    <t>HIS Metrics - Max nesting level LEVEL: lwip_netconn_do_write 10&gt;4</t>
  </si>
  <si>
    <t>lwip_netconn_do_write</t>
  </si>
  <si>
    <t>HIS Metrics - Max nesting level LEVEL: lwip_netconn_do_getaddr 6&gt;4</t>
  </si>
  <si>
    <t>lwip_netconn_do_getaddr</t>
  </si>
  <si>
    <t>HIS Metrics - Max nesting level LEVEL: lwip_netconn_do_close 8&gt;4</t>
  </si>
  <si>
    <t>HIS Metrics - Max nesting level LEVEL: lwip_netconn_do_gethostbyname 5&gt;4</t>
  </si>
  <si>
    <t>lwip_netconn_do_gethostbyname</t>
  </si>
  <si>
    <t>HIS Metrics - Cyclomatic v(G): recv_udp 18&gt;10</t>
  </si>
  <si>
    <t>recv_udp</t>
  </si>
  <si>
    <t>HIS Metrics - Cyclomatic v(G): recv_tcp 20&gt;10</t>
  </si>
  <si>
    <t>recv_tcp</t>
  </si>
  <si>
    <t>HIS Metrics - Cyclomatic v(G): poll_tcp 12&gt;10</t>
  </si>
  <si>
    <t>HIS Metrics - Cyclomatic v(G): sent_tcp 11&gt;10</t>
  </si>
  <si>
    <t>sent_tcp</t>
  </si>
  <si>
    <t>HIS Metrics - Cyclomatic v(G): err_tcp 25&gt;10</t>
  </si>
  <si>
    <t>HIS Metrics - Cyclomatic v(G): accept_function 24&gt;10</t>
  </si>
  <si>
    <t>HIS Metrics - Cyclomatic v(G): pcb_new 13&gt;10</t>
  </si>
  <si>
    <t>pcb_new</t>
  </si>
  <si>
    <t>HIS Metrics - Cyclomatic v(G): lwip_netconn_do_close_internal 46&gt;10</t>
  </si>
  <si>
    <t>HIS Metrics - Cyclomatic v(G): lwip_netconn_do_delconn 25&gt;10</t>
  </si>
  <si>
    <t>HIS Metrics - Cyclomatic v(G): lwip_netconn_do_connected 19&gt;10</t>
  </si>
  <si>
    <t>HIS Metrics - Cyclomatic v(G): lwip_netconn_do_connect 23&gt;10</t>
  </si>
  <si>
    <t>HIS Metrics - Cyclomatic v(G): lwip_netconn_do_listen 15&gt;10</t>
  </si>
  <si>
    <t>HIS Metrics - Cyclomatic v(G): lwip_netconn_do_writemore 47&gt;10</t>
  </si>
  <si>
    <t>HIS Metrics - Cyclomatic v(G): lwip_netconn_do_write 18&gt;10</t>
  </si>
  <si>
    <t>HIS Metrics - Cyclomatic v(G): lwip_netconn_do_getaddr 14&gt;10</t>
  </si>
  <si>
    <t>HIS Metrics - Cyclomatic v(G): lwip_netconn_do_close 15&gt;10</t>
  </si>
  <si>
    <t>HIS Metrics - Number of paths PATH: recv_udp 912&gt;80</t>
  </si>
  <si>
    <t>HIS Metrics - Number of paths PATH: recv_tcp 3135.99902&gt;80</t>
  </si>
  <si>
    <t>HIS Metrics - Number of paths PATH: poll_tcp 96&gt;80</t>
  </si>
  <si>
    <t>HIS Metrics - Number of paths PATH: err_tcp 21631.99609&gt;80</t>
  </si>
  <si>
    <t>HIS Metrics - Number of paths PATH: accept_function 204&gt;80</t>
  </si>
  <si>
    <t>HIS Metrics - Number of paths PATH: lwip_netconn_do_close_internal 67829704&gt;80</t>
  </si>
  <si>
    <t>HIS Metrics - Number of paths PATH: lwip_netconn_do_delconn 1607.99963&gt;80</t>
  </si>
  <si>
    <t>HIS Metrics - Number of paths PATH: lwip_netconn_do_connected 5121.00146&gt;80</t>
  </si>
  <si>
    <t>HIS Metrics - Number of paths PATH: lwip_netconn_do_connect 96.99998&gt;80</t>
  </si>
  <si>
    <t>HIS Metrics - Number of paths PATH: lwip_netconn_do_writemore 151584640&gt;80</t>
  </si>
  <si>
    <t>HIS Metrics - Number of paths PATH: lwip_netconn_do_write 276&gt;80</t>
  </si>
  <si>
    <t>HIS Metrics - Number of paths PATH: lwip_netconn_do_close 139.00002&gt;80</t>
  </si>
  <si>
    <t>HIS Metrics - Cyclomatic v(G): Bootloader_loadSelfCpu 11&gt;10</t>
  </si>
  <si>
    <t>HIS Metrics - Cyclomatic v(G): Bootloader_verifyMulticoreImage 11&gt;10</t>
  </si>
  <si>
    <t>HIS Metrics - Number of paths PATH: Bootloader_loadSelfCpu 324.00018&gt;80</t>
  </si>
  <si>
    <t>HIS Metrics - Max nesting level LEVEL: Bootloader_rprcImageLoad 5&gt;4</t>
  </si>
  <si>
    <t>Bootloader_rprcImageLoad</t>
  </si>
  <si>
    <t>HIS Metrics - Max nesting level LEVEL: Bootloader_getMsgLen 5&gt;4</t>
  </si>
  <si>
    <t>Bootloader_getMsgLen</t>
  </si>
  <si>
    <t>HIS Metrics - Max nesting level LEVEL: Bootloader_verifyMulticoreImage 8&gt;4</t>
  </si>
  <si>
    <t>HIS Metrics - Max nesting level LEVEL: Bootloader_parseMultiCoreAppImage 6&gt;4</t>
  </si>
  <si>
    <t>/kwbuilds/release_area/mcu_plus_sdk/source/drivers/bootloader/soc/am263x/bootloader_soc.c</t>
  </si>
  <si>
    <t>HIS Metrics - Max nesting level LEVEL: Bootloader_socCpuPowerOnReset 5&gt;4</t>
  </si>
  <si>
    <t>Bootloader_socCpuPowerOnReset</t>
  </si>
  <si>
    <t>HIS Metrics - Cyclomatic v(G): Bootloader_socCpuPowerOnReset 13&gt;10</t>
  </si>
  <si>
    <t>HIS Metrics - Max nesting level LEVEL: Bootloader_uniflashProcessFlashCommands 5&gt;4</t>
  </si>
  <si>
    <t>Bootloader_uniflashProcessFlashCommands</t>
  </si>
  <si>
    <t>HIS Metrics - Max nesting level LEVEL: Bootloader_uniflashFlashFile 5&gt;4</t>
  </si>
  <si>
    <t>Bootloader_uniflashFlashFile</t>
  </si>
  <si>
    <t>HIS Metrics - Max nesting level LEVEL: Bootloader_uniflashFlashVerifyFile 5&gt;4</t>
  </si>
  <si>
    <t>Bootloader_uniflashFlashVerifyFile</t>
  </si>
  <si>
    <t>HIS Metrics - Max nesting level LEVEL: Bootloader_uniflashFlashOrVerifyXipFile 5&gt;4</t>
  </si>
  <si>
    <t>Bootloader_uniflashFlashOrVerifyXipFile</t>
  </si>
  <si>
    <t>HIS Metrics - Cyclomatic v(G): Bootloader_uniflashProcessFlashCommands 18&gt;10</t>
  </si>
  <si>
    <t>HIS Metrics - Number of parameters PARAM: Bootloader_uniflashFlashVerifyFile 6&gt;5</t>
  </si>
  <si>
    <t>HIS Metrics - Max nesting level LEVEL: bridgeif_send_to_port 10&gt;4</t>
  </si>
  <si>
    <t>bridgeif_send_to_port</t>
  </si>
  <si>
    <t>HIS Metrics - Max nesting level LEVEL: bridgeif_input 7&gt;4</t>
  </si>
  <si>
    <t>bridgeif_input</t>
  </si>
  <si>
    <t>HIS Metrics - Max nesting level LEVEL: bridgeif_init 6&gt;4</t>
  </si>
  <si>
    <t>HIS Metrics - Cyclomatic v(G): bridgeif_send_to_port 15&gt;10</t>
  </si>
  <si>
    <t>HIS Metrics - Cyclomatic v(G): bridgeif_input 21&gt;10</t>
  </si>
  <si>
    <t>HIS Metrics - Cyclomatic v(G): bridgeif_init 41&gt;10</t>
  </si>
  <si>
    <t>HIS Metrics - Cyclomatic v(G): bridgeif_add_port 13&gt;10</t>
  </si>
  <si>
    <t>HIS Metrics - Number of paths PATH: bridgeif_input 212.99994&gt;80</t>
  </si>
  <si>
    <t>HIS Metrics - Number of paths PATH: bridgeif_init 2654209.5&gt;80</t>
  </si>
  <si>
    <t>HIS Metrics - Number of paths PATH: bridgeif_add_port 255.99988&gt;80</t>
  </si>
  <si>
    <t>HIS Metrics - Max nesting level LEVEL: bridgeif_fdb_update_src 8&gt;4</t>
  </si>
  <si>
    <t>bridgeif_fdb_update_src</t>
  </si>
  <si>
    <t>HIS Metrics - Max nesting level LEVEL: bridgeif_fdb_age_one_second 5&gt;4</t>
  </si>
  <si>
    <t>HIS Metrics - Max nesting level LEVEL: bridgeif_fdb_init 5&gt;4</t>
  </si>
  <si>
    <t>bridgeif_fdb_init</t>
  </si>
  <si>
    <t>HIS Metrics - Cyclomatic v(G): bridgeif_fdb_update_src 17&gt;10</t>
  </si>
  <si>
    <t>HIS Metrics - Max nesting level LEVEL: chargen_thread 5&gt;4</t>
  </si>
  <si>
    <t>HIS Metrics - Cyclomatic v(G): chargen_thread 32&gt;10</t>
  </si>
  <si>
    <t>HIS Metrics - Number of paths PATH: chargen_thread 299800.125&gt;80</t>
  </si>
  <si>
    <t>/kwbuilds/release_area/mcu_plus_sdk/source/kernel/nortos/dpl/common/ClockP_nortos.c</t>
  </si>
  <si>
    <t>HIS Metrics - Max nesting level LEVEL: ClockP_addToList 5&gt;4</t>
  </si>
  <si>
    <t>ClockP_addToList</t>
  </si>
  <si>
    <t>/kwbuilds/release_area/mcu_plus_sdk/source/drivers/cmpss/v0/cmpss.c</t>
  </si>
  <si>
    <t>HIS Metrics - Number of parameters PARAM: CMPSS_configRamp 6&gt;5</t>
  </si>
  <si>
    <t>CMPSS_configRamp</t>
  </si>
  <si>
    <t>*default*, DRIVER_CMPSS</t>
  </si>
  <si>
    <t>HIS Metrics - Cyclomatic v(G): Cpsw_open 19&gt;10</t>
  </si>
  <si>
    <t>Cpsw_open</t>
  </si>
  <si>
    <t>HIS Metrics - Cyclomatic v(G): Cpsw_ioctl 18&gt;10</t>
  </si>
  <si>
    <t>Cpsw_ioctl</t>
  </si>
  <si>
    <t>HIS Metrics - Cyclomatic v(G): Cpsw_periodicTick 18&gt;10</t>
  </si>
  <si>
    <t>HIS Metrics - Cyclomatic v(G): Cpsw_openInternal 16&gt;10</t>
  </si>
  <si>
    <t>Cpsw_openInternal</t>
  </si>
  <si>
    <t>HIS Metrics - Cyclomatic v(G): Cpsw_registerIntrs 20&gt;10</t>
  </si>
  <si>
    <t>HIS Metrics - Cyclomatic v(G): Cpsw_handleLinkUp 13&gt;10</t>
  </si>
  <si>
    <t>Cpsw_handleLinkUp</t>
  </si>
  <si>
    <t>HIS Metrics - Cyclomatic v(G): Cpsw_handleLinkDown 18&gt;10</t>
  </si>
  <si>
    <t>Cpsw_handleLinkDown</t>
  </si>
  <si>
    <t>HIS Metrics - Cyclomatic v(G): Cpsw_registerIoctlHandler 17&gt;10</t>
  </si>
  <si>
    <t>Cpsw_registerIoctlHandler</t>
  </si>
  <si>
    <t>HIS Metrics - Number of paths PATH: Cpsw_open 3744.00073&gt;80</t>
  </si>
  <si>
    <t>HIS Metrics - Number of paths PATH: Cpsw_openInternal 512.00024&gt;80</t>
  </si>
  <si>
    <t>HIS Metrics - Number of paths PATH: Cpsw_registerIntrs 3671.99854&gt;80</t>
  </si>
  <si>
    <t>HIS Metrics - Number of paths PATH: Cpsw_handleLinkDown 576.00031&gt;80</t>
  </si>
  <si>
    <t>HIS Metrics - Max nesting level LEVEL: Cpsw_ioctl 5&gt;4</t>
  </si>
  <si>
    <t>HIS Metrics - Max nesting level LEVEL: Cpsw_periodicTick 8&gt;4</t>
  </si>
  <si>
    <t>HIS Metrics - Max nesting level LEVEL: Cpsw_handleMdioLinkStateChange 5&gt;4</t>
  </si>
  <si>
    <t>Cpsw_handleMdioLinkStateChange</t>
  </si>
  <si>
    <t>HIS Metrics - Number of parameters PARAM: CpswAle_setAleAging 6&gt;5</t>
  </si>
  <si>
    <t>CpswAle_setAleAging</t>
  </si>
  <si>
    <t>HIS Metrics - Number of parameters PARAM: CpswAle_setPolicerControl 8&gt;5</t>
  </si>
  <si>
    <t>CpswAle_setPolicerControl</t>
  </si>
  <si>
    <t>HIS Metrics - Number of parameters PARAM: CpswAle_setPolicerDefaultThreadCfg 6&gt;5</t>
  </si>
  <si>
    <t>CpswAle_setPolicerDefaultThreadCfg</t>
  </si>
  <si>
    <t>HIS Metrics - Number of parameters PARAM: CpswAle_setVlanMcastPortMask 7&gt;5</t>
  </si>
  <si>
    <t>HIS Metrics - Number of parameters PARAM: CpswAle_addVlan 13&gt;5</t>
  </si>
  <si>
    <t>HIS Metrics - Number of parameters PARAM: CpswAle_findVlan 13&gt;5</t>
  </si>
  <si>
    <t>CpswAle_findVlan</t>
  </si>
  <si>
    <t>HIS Metrics - Max nesting level LEVEL: CpswAle_addVlan 6&gt;4</t>
  </si>
  <si>
    <t>HIS Metrics - Max nesting level LEVEL: CpswAle_findVlan 7&gt;4</t>
  </si>
  <si>
    <t>HIS Metrics - Cyclomatic v(G): CpswAle_addVlan 12&gt;10</t>
  </si>
  <si>
    <t>HIS Metrics - Cyclomatic v(G): CpswAle_findVlan 28&gt;10</t>
  </si>
  <si>
    <t>HIS Metrics - Cyclomatic v(G): CpswAle_delPolicerEntry 13&gt;10</t>
  </si>
  <si>
    <t>CpswAle_delPolicerEntry</t>
  </si>
  <si>
    <t>HIS Metrics - Number of paths PATH: CpswAle_findVlan 177156.07813&gt;80</t>
  </si>
  <si>
    <t>HIS Metrics - Number of paths PATH: CpswAle_delPolicerEntry 1154.00073&gt;80</t>
  </si>
  <si>
    <t>HIS Metrics - Max nesting level LEVEL: CpswAle_updateVlanMcastHostPortMask 7&gt;4</t>
  </si>
  <si>
    <t>HIS Metrics - Max nesting level LEVEL: CpswAle_findAddr 5&gt;4</t>
  </si>
  <si>
    <t>CpswAle_findAddr</t>
  </si>
  <si>
    <t>HIS Metrics - Max nesting level LEVEL: CpswAle_lookupUcastAddr 5&gt;4</t>
  </si>
  <si>
    <t>CpswAle_lookupUcastAddr</t>
  </si>
  <si>
    <t>HIS Metrics - Max nesting level LEVEL: CpswAle_lookupMcastAddr 5&gt;4</t>
  </si>
  <si>
    <t>CpswAle_lookupMcastAddr</t>
  </si>
  <si>
    <t>HIS Metrics - Max nesting level LEVEL: CpswAle_findOuiAddr 5&gt;4</t>
  </si>
  <si>
    <t>CpswAle_findOuiAddr</t>
  </si>
  <si>
    <t>HIS Metrics - Max nesting level LEVEL: CpswAle_findIPv4Addr 5&gt;4</t>
  </si>
  <si>
    <t>CpswAle_findIPv4Addr</t>
  </si>
  <si>
    <t>HIS Metrics - Max nesting level LEVEL: CpswAle_addIPv4Addr 5&gt;4</t>
  </si>
  <si>
    <t>CpswAle_addIPv4Addr</t>
  </si>
  <si>
    <t>HIS Metrics - Max nesting level LEVEL: CpswAle_findIPv6Addr 5&gt;4</t>
  </si>
  <si>
    <t>CpswAle_findIPv6Addr</t>
  </si>
  <si>
    <t>HIS Metrics - Max nesting level LEVEL: CpswAle_addIPv6Addr 5&gt;4</t>
  </si>
  <si>
    <t>CpswAle_addIPv6Addr</t>
  </si>
  <si>
    <t>HIS Metrics - Max nesting level LEVEL: CpswAle_findEtherType 5&gt;4</t>
  </si>
  <si>
    <t>CpswAle_findEtherType</t>
  </si>
  <si>
    <t>HIS Metrics - Max nesting level LEVEL: CpswAle_addEtherType 5&gt;4</t>
  </si>
  <si>
    <t>CpswAle_addEtherType</t>
  </si>
  <si>
    <t>HIS Metrics - Max nesting level LEVEL: CpswAle_setMacAddrPolicerEntry 5&gt;4</t>
  </si>
  <si>
    <t>CpswAle_setMacAddrPolicerEntry</t>
  </si>
  <si>
    <t>HIS Metrics - Max nesting level LEVEL: CpswAle_setVlanPolicerEntry 6&gt;4</t>
  </si>
  <si>
    <t>HIS Metrics - Max nesting level LEVEL: CpswAle_updateMcastHostPortMask 6&gt;4</t>
  </si>
  <si>
    <t>CpswAle_updateMcastHostPortMask</t>
  </si>
  <si>
    <t>HIS Metrics - Max nesting level LEVEL: CpswAle_delPortUcastEntries 7&gt;4</t>
  </si>
  <si>
    <t>CpswAle_delPortUcastEntries</t>
  </si>
  <si>
    <t>HIS Metrics - Max nesting level LEVEL: CpswAle_getBcastMcastLimit 6&gt;4</t>
  </si>
  <si>
    <t>HIS Metrics - Max nesting level LEVEL: CpswAle_getPortMacAddr 7&gt;4</t>
  </si>
  <si>
    <t>CpswAle_getPortMacAddr</t>
  </si>
  <si>
    <t>HIS Metrics - Max nesting level LEVEL: CpswAle_addOuiAddr 5&gt;4</t>
  </si>
  <si>
    <t>CpswAle_addOuiAddr</t>
  </si>
  <si>
    <t>HIS Metrics - Max nesting level LEVEL: CpswAle_addMcastAddr 5&gt;4</t>
  </si>
  <si>
    <t>CpswAle_addMcastAddr</t>
  </si>
  <si>
    <t>HIS Metrics - Max nesting level LEVEL: CpswAle_dumpTable 6&gt;4</t>
  </si>
  <si>
    <t>CpswAle_dumpTable</t>
  </si>
  <si>
    <t>HIS Metrics - Cyclomatic v(G): CpswAle_updateVlanMcastHostPortMask 17&gt;10</t>
  </si>
  <si>
    <t>HIS Metrics - Cyclomatic v(G): CpswAle_setMacAddrPolicerEntry 11&gt;10</t>
  </si>
  <si>
    <t>HIS Metrics - Cyclomatic v(G): CpswAle_setVlanPolicerEntry 12&gt;10</t>
  </si>
  <si>
    <t>HIS Metrics - Cyclomatic v(G): CpswAle_dumpPolicerEntries 20&gt;10</t>
  </si>
  <si>
    <t>CpswAle_dumpPolicerEntries</t>
  </si>
  <si>
    <t>HIS Metrics - Cyclomatic v(G): CpswAle_setPolicer 34&gt;10</t>
  </si>
  <si>
    <t>CpswAle_setPolicer</t>
  </si>
  <si>
    <t>HIS Metrics - Cyclomatic v(G): CpswAle_checkPolicerMatch 25&gt;10</t>
  </si>
  <si>
    <t>CpswAle_checkPolicerMatch</t>
  </si>
  <si>
    <t>HIS Metrics - Cyclomatic v(G): CpswAle_mapPolicer2CslMask 21&gt;10</t>
  </si>
  <si>
    <t>CpswAle_mapPolicer2CslMask</t>
  </si>
  <si>
    <t>HIS Metrics - Cyclomatic v(G): CpswAle_getPolicerControl 14&gt;10</t>
  </si>
  <si>
    <t>HIS Metrics - Cyclomatic v(G): CpswAle_dumpTable 16&gt;10</t>
  </si>
  <si>
    <t>HIS Metrics - Number of paths PATH: CpswAle_updateVlanMcastHostPortMask 231.00009&gt;80</t>
  </si>
  <si>
    <t>HIS Metrics - Number of paths PATH: CpswAle_setMacAddrPolicerEntry 84.00003&gt;80</t>
  </si>
  <si>
    <t>HIS Metrics - Number of paths PATH: CpswAle_setVlanPolicerEntry 96&gt;80</t>
  </si>
  <si>
    <t>HIS Metrics - Number of paths PATH: CpswAle_dumpPolicerEntries 110593.00781&gt;80</t>
  </si>
  <si>
    <t>HIS Metrics - Number of paths PATH: CpswAle_setPolicer 10616838&gt;80</t>
  </si>
  <si>
    <t>HIS Metrics - Number of paths PATH: CpswAle_checkPolicerMatch 164025.03125&gt;80</t>
  </si>
  <si>
    <t>HIS Metrics - Number of paths PATH: CpswAle_mapPolicer2CslMask 1048576&gt;80</t>
  </si>
  <si>
    <t>HIS Metrics - Number of paths PATH: CpswAle_getPolicerControl 8191.99609&gt;80</t>
  </si>
  <si>
    <t>HIS Metrics - Number of parameters PARAM: CpswAle_lookupUcastAddr 12&gt;5</t>
  </si>
  <si>
    <t>HIS Metrics - Number of parameters PARAM: CpswAle_lookupMcastAddr 10&gt;5</t>
  </si>
  <si>
    <t>HIS Metrics - Number of parameters PARAM: CpswAle_addIPv4Addr 6&gt;5</t>
  </si>
  <si>
    <t>HIS Metrics - Number of parameters PARAM: CpswAle_addIPv6Addr 6&gt;5</t>
  </si>
  <si>
    <t>HIS Metrics - Number of parameters PARAM: CpswAle_setOuiPolicerEntry 9&gt;5</t>
  </si>
  <si>
    <t>CpswAle_setOuiPolicerEntry</t>
  </si>
  <si>
    <t>HIS Metrics - Number of parameters PARAM: CpswAle_validateIPv4Policer 6&gt;5</t>
  </si>
  <si>
    <t>CpswAle_validateIPv4Policer</t>
  </si>
  <si>
    <t>HIS Metrics - Number of parameters PARAM: CpswAle_setIPv4PolicerEntry 11&gt;5</t>
  </si>
  <si>
    <t>HIS Metrics - Number of parameters PARAM: CpswAle_validateIPv6Policer 6&gt;5</t>
  </si>
  <si>
    <t>CpswAle_validateIPv6Policer</t>
  </si>
  <si>
    <t>HIS Metrics - Number of parameters PARAM: CpswAle_setIPv6PolicerEntry 11&gt;5</t>
  </si>
  <si>
    <t>HIS Metrics - Number of parameters PARAM: CpswAle_setEtherTypePolicerEntry 9&gt;5</t>
  </si>
  <si>
    <t>HIS Metrics - Number of parameters PARAM: CpswAle_validateMacAddrPolicer 6&gt;5</t>
  </si>
  <si>
    <t>CpswAle_validateMacAddrPolicer</t>
  </si>
  <si>
    <t>HIS Metrics - Number of parameters PARAM: CpswAle_setMacAddrPolicerEntry 12&gt;5</t>
  </si>
  <si>
    <t>HIS Metrics - Number of parameters PARAM: CpswAle_setVlanPolicerEntry 10&gt;5</t>
  </si>
  <si>
    <t>HIS Metrics - Number of parameters PARAM: CpswAle_setPortPolicerEntry 8&gt;5</t>
  </si>
  <si>
    <t>CpswAle_setPortPolicerEntry</t>
  </si>
  <si>
    <t>HIS Metrics - Number of parameters PARAM: CpswAle_setPriorityPolicerEntry 7&gt;5</t>
  </si>
  <si>
    <t>CpswAle_setPriorityPolicerEntry</t>
  </si>
  <si>
    <t>HIS Metrics - Number of parameters PARAM: CpswAle_setPolicerRateLimit 6&gt;5</t>
  </si>
  <si>
    <t>CpswAle_setPolicerRateLimit</t>
  </si>
  <si>
    <t>HIS Metrics - Number of parameters PARAM: CpswAle_getPolicerStats 6&gt;5</t>
  </si>
  <si>
    <t>CpswAle_getPolicerStats</t>
  </si>
  <si>
    <t>HIS Metrics - Number of parameters PARAM: CpswAle_setPortBcastMcastLimit 7&gt;5</t>
  </si>
  <si>
    <t>CpswAle_setPortBcastMcastLimit</t>
  </si>
  <si>
    <t>HIS Metrics - Number of parameters PARAM: CpswAle_getPortBcastMcastLimit 7&gt;5</t>
  </si>
  <si>
    <t>HIS Metrics - Number of parameters PARAM: CpswAle_setPolicer 9&gt;5</t>
  </si>
  <si>
    <t>HIS Metrics - Number of parameters PARAM: CpswAle_setIPSrcDstPolicerEntry 10&gt;5</t>
  </si>
  <si>
    <t>CpswAle_setIPSrcDstPolicerEntry</t>
  </si>
  <si>
    <t>HIS Metrics - Number of parameters PARAM: CpswAle_addMacAddrEntry 7&gt;5</t>
  </si>
  <si>
    <t>CpswAle_addMacAddrEntry</t>
  </si>
  <si>
    <t>HIS Metrics - Number of parameters PARAM: CpswAle_getPolicerStatsHandler 7&gt;5</t>
  </si>
  <si>
    <t>CpswAle_getPolicerStatsHandler</t>
  </si>
  <si>
    <t>HIS Metrics - Number of parameters PARAM: CpswAle_configThreadPolicer 7&gt;5</t>
  </si>
  <si>
    <t>CpswAle_configThreadPolicer</t>
  </si>
  <si>
    <t>HIS Metrics - Number of parameters PARAM: CpswAle_getPortMacAddr 6&gt;5</t>
  </si>
  <si>
    <t>HIS Metrics - Number of parameters PARAM: CpswAle_addMcastAddr 9&gt;5</t>
  </si>
  <si>
    <t>HIS Metrics - Number of parameters PARAM: CpswAle_addUcastAddr 10&gt;5</t>
  </si>
  <si>
    <t>CpswAle_addUcastAddr</t>
  </si>
  <si>
    <t>HIS Metrics - Max nesting level LEVEL: CpswCpts_lookUpEvent 5&gt;4</t>
  </si>
  <si>
    <t>HIS Metrics - Max nesting level LEVEL: CpswCpts_handleEvents 5&gt;4</t>
  </si>
  <si>
    <t>CpswCpts_handleEvents</t>
  </si>
  <si>
    <t>HIS Metrics - Cyclomatic v(G): CpswCpts_lookUpEvent 17&gt;10</t>
  </si>
  <si>
    <t>HIS Metrics - Cyclomatic v(G): CpswCpts_handleEvents 11&gt;10</t>
  </si>
  <si>
    <t>HIS Metrics - Number of paths PATH: CpswCpts_lookUpEvent 209.99988&gt;80</t>
  </si>
  <si>
    <t>/kwbuilds/release_area/mcu_plus_sdk/source/networking/enet/core/src/per/cpsw_est_ioctl.c</t>
  </si>
  <si>
    <t>HIS Metrics - Max nesting level LEVEL: CpswEst_ioctl_handler_ENET_TAS_IOCTL_SET_STATE 6&gt;4</t>
  </si>
  <si>
    <t>CpswEst_ioctl_handler_ENET_TAS_IOCTL_SET_STATE</t>
  </si>
  <si>
    <t>HIS Metrics - Cyclomatic v(G): CpswEst_ioctl_handler_ENET_TAS_IOCTL_SET_STATE 14&gt;10</t>
  </si>
  <si>
    <t>/kwbuilds/release_area/mcu_plus_sdk/source/networking/enet/core/src/per/V2/cpsw_ioctl.c</t>
  </si>
  <si>
    <t>HIS Metrics - Number of parameters PARAM: Cpsw_openPortLinkWithPhy 6&gt;5</t>
  </si>
  <si>
    <t>Cpsw_openPortLinkWithPhy</t>
  </si>
  <si>
    <t>HIS Metrics - Number of parameters PARAM: Cpsw_openPortLink 6&gt;5</t>
  </si>
  <si>
    <t>Cpsw_openPortLink</t>
  </si>
  <si>
    <t>HIS Metrics - Cyclomatic v(G): Cpsw_openPortLinkNoPhy 17&gt;10</t>
  </si>
  <si>
    <t>Cpsw_openPortLinkNoPhy</t>
  </si>
  <si>
    <t>HIS Metrics - Cyclomatic v(G): Cpsw_validateTxShortIpgCfg 11&gt;10</t>
  </si>
  <si>
    <t>Cpsw_validateTxShortIpgCfg</t>
  </si>
  <si>
    <t>HIS Metrics - Cyclomatic v(G): Cpsw_handleExternalPhyLinkUp 12&gt;10</t>
  </si>
  <si>
    <t>Cpsw_handleExternalPhyLinkUp</t>
  </si>
  <si>
    <t>HIS Metrics - Number of paths PATH: Cpsw_openPortLinkNoPhy 768&gt;80</t>
  </si>
  <si>
    <t>HIS Metrics - Number of paths PATH: Cpsw_validateTxShortIpgCfg 84.00003&gt;80</t>
  </si>
  <si>
    <t>HIS Metrics - Max nesting level LEVEL: Cpsw_getPortLinkCfg 8&gt;4</t>
  </si>
  <si>
    <t>Cpsw_getPortLinkCfg</t>
  </si>
  <si>
    <t>HIS Metrics - Max nesting level LEVEL: Cpsw_setTxShortIpgCfg 6&gt;4</t>
  </si>
  <si>
    <t>Cpsw_setTxShortIpgCfg</t>
  </si>
  <si>
    <t>HIS Metrics - Max nesting level LEVEL: Cpsw_validateTxShortIpgCfg 5&gt;4</t>
  </si>
  <si>
    <t>HIS Metrics - Max nesting level LEVEL: Cpsw_getTxShortIpgCfg 5&gt;4</t>
  </si>
  <si>
    <t>Cpsw_getTxShortIpgCfg</t>
  </si>
  <si>
    <t>HIS Metrics - Cyclomatic v(G): CpswMacPort_open 21&gt;10</t>
  </si>
  <si>
    <t>CpswMacPort_open</t>
  </si>
  <si>
    <t>HIS Metrics - Cyclomatic v(G): CpswMacPort_setSwitchTxSched 12&gt;10</t>
  </si>
  <si>
    <t>CpswMacPort_setSwitchTxSched</t>
  </si>
  <si>
    <t>HIS Metrics - Number of paths PATH: CpswMacPort_open 3239.99878&gt;80</t>
  </si>
  <si>
    <t>HIS Metrics - Cyclomatic v(G): CpswEst_writeGateControlList 17&gt;10</t>
  </si>
  <si>
    <t>CpswEst_writeGateControlList</t>
  </si>
  <si>
    <t>HIS Metrics - Cyclomatic v(G): CpswEst_checkGateCmdList 11&gt;10</t>
  </si>
  <si>
    <t>CpswEst_checkGateCmdList</t>
  </si>
  <si>
    <t>HIS Metrics - Cyclomatic v(G): CpswEst_readGateControlList 11&gt;10</t>
  </si>
  <si>
    <t>HIS Metrics - Number of paths PATH: CpswEst_writeGateControlList 880.00006&gt;80</t>
  </si>
  <si>
    <t>HIS Metrics - Max nesting level LEVEL: CpswEst_checkGateCmdList 7&gt;4</t>
  </si>
  <si>
    <t>/kwbuilds/release_area/mcu_plus_sdk/source/networking/enet/core/src/mod/cpsw_macport_ioctl.c</t>
  </si>
  <si>
    <t>HIS Metrics - Max nesting level LEVEL: CpswMacPort_enableCptsPortEvents 5&gt;4</t>
  </si>
  <si>
    <t>CpswMacPort_enableCptsPortEvents</t>
  </si>
  <si>
    <t>HIS Metrics - Cyclomatic v(G): CpswMacPort_enableCptsPortEvents 13&gt;10</t>
  </si>
  <si>
    <t>HIS Metrics - Cyclomatic v(G): CpswMacPort_enablePort 13&gt;10</t>
  </si>
  <si>
    <t>CpswMacPort_enablePort</t>
  </si>
  <si>
    <t>HIS Metrics - Number of paths PATH: CpswMacPort_enableCptsPortEvents 405.99991&gt;80</t>
  </si>
  <si>
    <t>/kwbuilds/release_area/mcu_plus_sdk/source/networking/enet/core/src/mod/cpsw_stats_ioctl.c</t>
  </si>
  <si>
    <t>HIS Metrics - Number of paths PATH: CpswStats_readMacStats 90.00005&gt;80</t>
  </si>
  <si>
    <t>CpswStats_readMacStats</t>
  </si>
  <si>
    <t>HIS Metrics - Cyclomatic v(G): Crypto_PKCSPaddingForSign 11&gt;10</t>
  </si>
  <si>
    <t>/kwbuilds/release_area/mcu_plus_sdk/source/networking/enet/hw_include/cpsw/V5/priv/csl_cpsw.c</t>
  </si>
  <si>
    <t>HIS Metrics - Cyclomatic v(G): CSL_CPSW_getAlePolicerEntry 16&gt;10</t>
  </si>
  <si>
    <t>CSL_CPSW_getAlePolicerEntry</t>
  </si>
  <si>
    <t>HIS Metrics - Cyclomatic v(G): CSL_CPSW_setAlePolicerEntry 16&gt;10</t>
  </si>
  <si>
    <t>CSL_CPSW_setAlePolicerEntry</t>
  </si>
  <si>
    <t>HIS Metrics - Number of paths PATH: CSL_CPSW_getAlePolicerEntry 32767.98438&gt;80</t>
  </si>
  <si>
    <t>HIS Metrics - Number of paths PATH: CSL_CPSW_setAlePolicerEntry 24576.00195&gt;80</t>
  </si>
  <si>
    <t>/kwbuilds/release_area/mcu_plus_sdk/source/networking/enet/hw_include/cpts/csl_cpts.c</t>
  </si>
  <si>
    <t>HIS Metrics - Number of parameters PARAM: CSL_CPTS_setupGENFn 7&gt;5</t>
  </si>
  <si>
    <t>CSL_CPTS_setupGENFn</t>
  </si>
  <si>
    <t>HIS Metrics - Number of parameters PARAM: CSL_CPTS_setupESTFn 7&gt;5</t>
  </si>
  <si>
    <t>CSL_CPTS_setupESTFn</t>
  </si>
  <si>
    <t>/kwbuilds/release_area/mcu_plus_sdk/source/networking/enet/hw_include/mdio/csl_mdio.c</t>
  </si>
  <si>
    <t>HIS Metrics - Number of parameters PARAM: CSL_MDIO_phyInitiateRegWriteC45 6&gt;5</t>
  </si>
  <si>
    <t>CSL_MDIO_phyInitiateRegWriteC45</t>
  </si>
  <si>
    <t>HIS Metrics - Max nesting level LEVEL: DebugP_shmLogReaderGetString 6&gt;4</t>
  </si>
  <si>
    <t>HIS Metrics - Max nesting level LEVEL: DebugP_shmLogReaderTaskMain 6&gt;4</t>
  </si>
  <si>
    <t>HIS Metrics - Cyclomatic v(G): DebugP_shmLogReaderGetString 11&gt;10</t>
  </si>
  <si>
    <t>HIS Metrics - Number of paths PATH: DebugP_shmLogReaderGetString 105.99997&gt;80</t>
  </si>
  <si>
    <t>/kwbuilds/release_area/mcu_plus_sdk/source/kernel/nortos/dpl/common/DebugP_shmLogWriter.c</t>
  </si>
  <si>
    <t>HIS Metrics - Cyclomatic v(G): DebugP_shmLogWriterPutLine 11&gt;10</t>
  </si>
  <si>
    <t>DebugP_shmLogWriterPutLine</t>
  </si>
  <si>
    <t>HIS Metrics - Number of paths PATH: DebugP_shmLogWriterPutLine 199.99992&gt;80</t>
  </si>
  <si>
    <t>/kwbuilds/release_area/mcu_plus_sdk/source/kernel/nortos/dpl/common/DebugP_uartScanf.c</t>
  </si>
  <si>
    <t>HIS Metrics - Max nesting level LEVEL: DebugP_readLine 6&gt;4</t>
  </si>
  <si>
    <t>DebugP_readLine</t>
  </si>
  <si>
    <t>HIS Metrics - Cyclomatic v(G): DebugP_readLine 11&gt;10</t>
  </si>
  <si>
    <t>HIS Metrics - Number of paths PATH: DebugP_readLine 82&gt;80</t>
  </si>
  <si>
    <t>HIS Metrics - Max nesting level LEVEL: lwip_stricmp 5&gt;4</t>
  </si>
  <si>
    <t>lwip_stricmp</t>
  </si>
  <si>
    <t>HIS Metrics - Max nesting level LEVEL: lwip_strnicmp 5&gt;4</t>
  </si>
  <si>
    <t>lwip_strnicmp</t>
  </si>
  <si>
    <t>HIS Metrics - Max nesting level LEVEL: dhcp_inc_pcb_refcount 5&gt;4</t>
  </si>
  <si>
    <t>dhcp_inc_pcb_refcount</t>
  </si>
  <si>
    <t>HIS Metrics - Max nesting level LEVEL: dhcp_handle_nak 5&gt;4</t>
  </si>
  <si>
    <t>dhcp_handle_nak</t>
  </si>
  <si>
    <t>HIS Metrics - Max nesting level LEVEL: dhcp_check 6&gt;4</t>
  </si>
  <si>
    <t>dhcp_check</t>
  </si>
  <si>
    <t>HIS Metrics - Max nesting level LEVEL: dhcp_handle_offer 7&gt;4</t>
  </si>
  <si>
    <t>dhcp_handle_offer</t>
  </si>
  <si>
    <t>HIS Metrics - Max nesting level LEVEL: dhcp_select 6&gt;4</t>
  </si>
  <si>
    <t>dhcp_select</t>
  </si>
  <si>
    <t>HIS Metrics - Max nesting level LEVEL: dhcp_coarse_tmr 10&gt;4</t>
  </si>
  <si>
    <t>dhcp_coarse_tmr</t>
  </si>
  <si>
    <t>HIS Metrics - Max nesting level LEVEL: dhcp_fine_tmr 9&gt;4</t>
  </si>
  <si>
    <t>dhcp_fine_tmr</t>
  </si>
  <si>
    <t>HIS Metrics - Max nesting level LEVEL: dhcp_timeout 9&gt;4</t>
  </si>
  <si>
    <t>dhcp_timeout</t>
  </si>
  <si>
    <t>HIS Metrics - Max nesting level LEVEL: dhcp_t1_timeout 6&gt;4</t>
  </si>
  <si>
    <t>dhcp_t1_timeout</t>
  </si>
  <si>
    <t>HIS Metrics - Max nesting level LEVEL: dhcp_t2_timeout 6&gt;4</t>
  </si>
  <si>
    <t>dhcp_t2_timeout</t>
  </si>
  <si>
    <t>HIS Metrics - Max nesting level LEVEL: dhcp_start 8&gt;4</t>
  </si>
  <si>
    <t>HIS Metrics - Max nesting level LEVEL: dhcp_inform 6&gt;4</t>
  </si>
  <si>
    <t>dhcp_inform</t>
  </si>
  <si>
    <t>HIS Metrics - Max nesting level LEVEL: dhcp_network_changed 5&gt;4</t>
  </si>
  <si>
    <t>dhcp_network_changed</t>
  </si>
  <si>
    <t>HIS Metrics - Max nesting level LEVEL: dhcp_arp_reply 7&gt;4</t>
  </si>
  <si>
    <t>dhcp_arp_reply</t>
  </si>
  <si>
    <t>HIS Metrics - Max nesting level LEVEL: dhcp_decline 6&gt;4</t>
  </si>
  <si>
    <t>dhcp_decline</t>
  </si>
  <si>
    <t>HIS Metrics - Max nesting level LEVEL: dhcp_discover 7&gt;4</t>
  </si>
  <si>
    <t>dhcp_discover</t>
  </si>
  <si>
    <t>HIS Metrics - Max nesting level LEVEL: dhcp_bind 6&gt;4</t>
  </si>
  <si>
    <t>dhcp_bind</t>
  </si>
  <si>
    <t>HIS Metrics - Max nesting level LEVEL: dhcp_renew 6&gt;4</t>
  </si>
  <si>
    <t>dhcp_renew</t>
  </si>
  <si>
    <t>HIS Metrics - Max nesting level LEVEL: dhcp_rebind 6&gt;4</t>
  </si>
  <si>
    <t>dhcp_rebind</t>
  </si>
  <si>
    <t>HIS Metrics - Max nesting level LEVEL: dhcp_reboot 6&gt;4</t>
  </si>
  <si>
    <t>dhcp_reboot</t>
  </si>
  <si>
    <t>HIS Metrics - Max nesting level LEVEL: dhcp_release_and_stop 7&gt;4</t>
  </si>
  <si>
    <t>dhcp_release_and_stop</t>
  </si>
  <si>
    <t>HIS Metrics - Max nesting level LEVEL: dhcp_parse_reply 10&gt;4</t>
  </si>
  <si>
    <t>HIS Metrics - Max nesting level LEVEL: dhcp_recv 7&gt;4</t>
  </si>
  <si>
    <t>dhcp_recv</t>
  </si>
  <si>
    <t>HIS Metrics - Max nesting level LEVEL: dhcp_create_msg 6&gt;4</t>
  </si>
  <si>
    <t>dhcp_create_msg</t>
  </si>
  <si>
    <t>HIS Metrics - Cyclomatic v(G): dhcp_check 18&gt;10</t>
  </si>
  <si>
    <t>HIS Metrics - Cyclomatic v(G): dhcp_handle_offer 22&gt;10</t>
  </si>
  <si>
    <t>HIS Metrics - Cyclomatic v(G): dhcp_select 31&gt;10</t>
  </si>
  <si>
    <t>HIS Metrics - Cyclomatic v(G): dhcp_coarse_tmr 26&gt;10</t>
  </si>
  <si>
    <t>HIS Metrics - Cyclomatic v(G): dhcp_timeout 33&gt;10</t>
  </si>
  <si>
    <t>HIS Metrics - Cyclomatic v(G): dhcp_t1_timeout 13&gt;10</t>
  </si>
  <si>
    <t>HIS Metrics - Cyclomatic v(G): dhcp_t2_timeout 13&gt;10</t>
  </si>
  <si>
    <t>HIS Metrics - Cyclomatic v(G): dhcp_start 51&gt;10</t>
  </si>
  <si>
    <t>HIS Metrics - Cyclomatic v(G): dhcp_inform 16&gt;10</t>
  </si>
  <si>
    <t>HIS Metrics - Cyclomatic v(G): dhcp_arp_reply 21&gt;10</t>
  </si>
  <si>
    <t>HIS Metrics - Cyclomatic v(G): dhcp_decline 23&gt;10</t>
  </si>
  <si>
    <t>HIS Metrics - Cyclomatic v(G): dhcp_discover 40&gt;10</t>
  </si>
  <si>
    <t>HIS Metrics - Cyclomatic v(G): dhcp_bind 62&gt;10</t>
  </si>
  <si>
    <t>HIS Metrics - Cyclomatic v(G): dhcp_renew 25&gt;10</t>
  </si>
  <si>
    <t>HIS Metrics - Cyclomatic v(G): dhcp_rebind 25&gt;10</t>
  </si>
  <si>
    <t>HIS Metrics - Cyclomatic v(G): dhcp_reboot 25&gt;10</t>
  </si>
  <si>
    <t>HIS Metrics - Cyclomatic v(G): dhcp_release_and_stop 21&gt;10</t>
  </si>
  <si>
    <t>HIS Metrics - Cyclomatic v(G): dhcp_parse_reply 107&gt;10</t>
  </si>
  <si>
    <t>HIS Metrics - Cyclomatic v(G): dhcp_recv 84&gt;10</t>
  </si>
  <si>
    <t>HIS Metrics - Cyclomatic v(G): dhcp_create_msg 27&gt;10</t>
  </si>
  <si>
    <t>HIS Metrics - Number of paths PATH: dhcp_check 1152.00012&gt;80</t>
  </si>
  <si>
    <t>HIS Metrics - Number of paths PATH: dhcp_handle_offer 576.00031&gt;80</t>
  </si>
  <si>
    <t>HIS Metrics - Number of paths PATH: dhcp_select 12293.99609&gt;80</t>
  </si>
  <si>
    <t>HIS Metrics - Number of paths PATH: dhcp_coarse_tmr 215.99991&gt;80</t>
  </si>
  <si>
    <t>HIS Metrics - Number of paths PATH: dhcp_timeout 792.00049&gt;80</t>
  </si>
  <si>
    <t>HIS Metrics - Number of paths PATH: dhcp_t1_timeout 136&gt;80</t>
  </si>
  <si>
    <t>HIS Metrics - Number of paths PATH: dhcp_t2_timeout 136&gt;80</t>
  </si>
  <si>
    <t>HIS Metrics - Number of paths PATH: dhcp_start 84230.02344&gt;80</t>
  </si>
  <si>
    <t>HIS Metrics - Number of paths PATH: dhcp_arp_reply 1169.99976&gt;80</t>
  </si>
  <si>
    <t>HIS Metrics - Number of paths PATH: dhcp_decline 2048&gt;80</t>
  </si>
  <si>
    <t>HIS Metrics - Number of paths PATH: dhcp_discover 1049599.5&gt;80</t>
  </si>
  <si>
    <t>HIS Metrics - Number of paths PATH: dhcp_bind 2147482752&gt;80</t>
  </si>
  <si>
    <t>HIS Metrics - Number of paths PATH: dhcp_renew 3071.99854&gt;80</t>
  </si>
  <si>
    <t>HIS Metrics - Number of paths PATH: dhcp_rebind 3071.99854&gt;80</t>
  </si>
  <si>
    <t>HIS Metrics - Number of paths PATH: dhcp_reboot 3071.99854&gt;80</t>
  </si>
  <si>
    <t>HIS Metrics - Number of paths PATH: dhcp_release_and_stop 288.00015&gt;80</t>
  </si>
  <si>
    <t>HIS Metrics - Number of paths PATH: dhcp_parse_reply 1221629.875&gt;80</t>
  </si>
  <si>
    <t>HIS Metrics - Number of paths PATH: dhcp_recv 2147482752&gt;80</t>
  </si>
  <si>
    <t>HIS Metrics - Number of paths PATH: dhcp_create_msg 3110.00122&gt;80</t>
  </si>
  <si>
    <t>HIS Metrics - Max nesting level LEVEL: dns_init 5&gt;4</t>
  </si>
  <si>
    <t>dns_init</t>
  </si>
  <si>
    <t>HIS Metrics - Max nesting level LEVEL: dns_tmr 5&gt;4</t>
  </si>
  <si>
    <t>dns_tmr</t>
  </si>
  <si>
    <t>HIS Metrics - Max nesting level LEVEL: dns_lookup 7&gt;4</t>
  </si>
  <si>
    <t>dns_lookup</t>
  </si>
  <si>
    <t>HIS Metrics - Max nesting level LEVEL: dns_compare_name 5&gt;4</t>
  </si>
  <si>
    <t>dns_compare_name</t>
  </si>
  <si>
    <t>HIS Metrics - Max nesting level LEVEL: dns_send 7&gt;4</t>
  </si>
  <si>
    <t>HIS Metrics - Max nesting level LEVEL: dns_check_entry 9&gt;4</t>
  </si>
  <si>
    <t>HIS Metrics - Max nesting level LEVEL: dns_correct_response 5&gt;4</t>
  </si>
  <si>
    <t>HIS Metrics - Max nesting level LEVEL: dns_recv 9&gt;4</t>
  </si>
  <si>
    <t>HIS Metrics - Max nesting level LEVEL: dns_enqueue 9&gt;4</t>
  </si>
  <si>
    <t>dns_enqueue</t>
  </si>
  <si>
    <t>HIS Metrics - Max nesting level LEVEL: dns_gethostbyname_addrtype 6&gt;4</t>
  </si>
  <si>
    <t>dns_gethostbyname_addrtype</t>
  </si>
  <si>
    <t>HIS Metrics - Cyclomatic v(G): dns_init 12&gt;10</t>
  </si>
  <si>
    <t>HIS Metrics - Cyclomatic v(G): dns_lookup 19&gt;10</t>
  </si>
  <si>
    <t>HIS Metrics - Cyclomatic v(G): dns_send 20&gt;10</t>
  </si>
  <si>
    <t>HIS Metrics - Cyclomatic v(G): dns_check_entry 37&gt;10</t>
  </si>
  <si>
    <t>HIS Metrics - Cyclomatic v(G): dns_correct_response 19&gt;10</t>
  </si>
  <si>
    <t>HIS Metrics - Cyclomatic v(G): dns_recv 57&gt;10</t>
  </si>
  <si>
    <t>HIS Metrics - Cyclomatic v(G): dns_enqueue 46&gt;10</t>
  </si>
  <si>
    <t>HIS Metrics - Cyclomatic v(G): dns_gethostbyname_addrtype 11&gt;10</t>
  </si>
  <si>
    <t>HIS Metrics - Number of paths PATH: dns_init 127.99994&gt;80</t>
  </si>
  <si>
    <t>HIS Metrics - Number of paths PATH: dns_lookup 1026&gt;80</t>
  </si>
  <si>
    <t>HIS Metrics - Number of paths PATH: dns_send 2624&gt;80</t>
  </si>
  <si>
    <t>HIS Metrics - Number of paths PATH: dns_check_entry 199.99992&gt;80</t>
  </si>
  <si>
    <t>HIS Metrics - Number of paths PATH: dns_correct_response 3071.99854&gt;80</t>
  </si>
  <si>
    <t>HIS Metrics - Number of paths PATH: dns_recv 139828080&gt;80</t>
  </si>
  <si>
    <t>HIS Metrics - Number of paths PATH: dns_enqueue 16488.00195&gt;80</t>
  </si>
  <si>
    <t>HIS Metrics - Cyclomatic v(G): Dp83867_config 13&gt;10</t>
  </si>
  <si>
    <t>HIS Metrics - Number of paths PATH: Dp83867_config 4096&gt;80</t>
  </si>
  <si>
    <t>HIS Metrics - Cyclomatic v(G): Dp83869_config 13&gt;10</t>
  </si>
  <si>
    <t>HIS Metrics - Number of paths PATH: Dp83869_config 4096&gt;80</t>
  </si>
  <si>
    <t>HIS Metrics - Max nesting level LEVEL: DTHE_AES_execute 5&gt;4</t>
  </si>
  <si>
    <t>HIS Metrics - Cyclomatic v(G): DTHE_AES_execute 19&gt;10</t>
  </si>
  <si>
    <t>HIS Metrics - Number of paths PATH: DTHE_AES_execute 7778.00342&gt;80</t>
  </si>
  <si>
    <t>/kwbuilds/release_area/mcu_plus_sdk/source/security/crypto/dthe/dthe_sha.c</t>
  </si>
  <si>
    <t>HIS Metrics - Cyclomatic v(G): DTHE_SHA_compute 17&gt;10</t>
  </si>
  <si>
    <t>DTHE_SHA_compute</t>
  </si>
  <si>
    <t>HIS Metrics - Cyclomatic v(G): DTHE_HMACSHA_compute 11&gt;10</t>
  </si>
  <si>
    <t>DTHE_HMACSHA_compute</t>
  </si>
  <si>
    <t>HIS Metrics - Number of paths PATH: DTHE_SHA_compute 10259.99609&gt;80</t>
  </si>
  <si>
    <t>HIS Metrics - Number of paths PATH: DTHE_HMACSHA_compute 262.00015&gt;80</t>
  </si>
  <si>
    <t>HIS Metrics - Max nesting level LEVEL: EDMA_registerIntr 5&gt;4</t>
  </si>
  <si>
    <t>EDMA_registerIntr</t>
  </si>
  <si>
    <t>HIS Metrics - Max nesting level LEVEL: EDMA_unregisterIntr 5&gt;4</t>
  </si>
  <si>
    <t>EDMA_unregisterIntr</t>
  </si>
  <si>
    <t>HIS Metrics - Max nesting level LEVEL: Alloc_resource 7&gt;4</t>
  </si>
  <si>
    <t>Alloc_resource</t>
  </si>
  <si>
    <t>HIS Metrics - Cyclomatic v(G): EDMA_initialize 17&gt;10</t>
  </si>
  <si>
    <t>HIS Metrics - Cyclomatic v(G): Alloc_resource 14&gt;10</t>
  </si>
  <si>
    <t>HIS Metrics - Number of paths PATH: EDMA_initialize 3887.99854&gt;80</t>
  </si>
  <si>
    <t>HIS Metrics - Number of paths PATH: EDMA_deinitialize 81.00001&gt;80</t>
  </si>
  <si>
    <t>EDMA_deinitialize</t>
  </si>
  <si>
    <t>HIS Metrics - Number of parameters PARAM: EDMA_configureChannelRegion 7&gt;5</t>
  </si>
  <si>
    <t>EDMA_configureChannelRegion</t>
  </si>
  <si>
    <t>HIS Metrics - Number of parameters PARAM: EDMA_freeChannelRegion 7&gt;5</t>
  </si>
  <si>
    <t>EDMA_freeChannelRegion</t>
  </si>
  <si>
    <t>/kwbuilds/release_area/mcu_plus_sdk/source/board/eeprom/eeprom_cat24m.c</t>
  </si>
  <si>
    <t>HIS Metrics - Max nesting level LEVEL: EEPROM_CAT24M_write 5&gt;4</t>
  </si>
  <si>
    <t>EEPROM_CAT24M_write</t>
  </si>
  <si>
    <t>HIS Metrics - Max nesting level LEVEL: EnetMem_initMemObjs 5&gt;4</t>
  </si>
  <si>
    <t>EnetMem_initMemObjs</t>
  </si>
  <si>
    <t>HIS Metrics - Max nesting level LEVEL: EnetMem_allocEthPkt 8&gt;4</t>
  </si>
  <si>
    <t>EnetMem_allocEthPkt</t>
  </si>
  <si>
    <t>HIS Metrics - Max nesting level LEVEL: EnetMem_freeEthPkt 8&gt;4</t>
  </si>
  <si>
    <t>EnetMem_freeEthPkt</t>
  </si>
  <si>
    <t>HIS Metrics - Max nesting level LEVEL: EnetMem_initCore 6&gt;4</t>
  </si>
  <si>
    <t>HIS Metrics - Max nesting level LEVEL: EnetMem_deInit 5&gt;4</t>
  </si>
  <si>
    <t>EnetMem_deInit</t>
  </si>
  <si>
    <t>HIS Metrics - Number of paths PATH: EnetMem_getPktInfoEntry 84.00003&gt;80</t>
  </si>
  <si>
    <t>EnetMem_getPktInfoEntry</t>
  </si>
  <si>
    <t>HIS Metrics - Number of paths PATH: EnetMem_initCore 2253&gt;80</t>
  </si>
  <si>
    <t>HIS Metrics - Number of paths PATH: EnetMem_deInit 384.99979&gt;80</t>
  </si>
  <si>
    <t>HIS Metrics - Cyclomatic v(G): EnetMem_initCore 19&gt;10</t>
  </si>
  <si>
    <t>HIS Metrics - Cyclomatic v(G): EnetMem_deInit 14&gt;10</t>
  </si>
  <si>
    <t>HIS Metrics - Max nesting level LEVEL: EnetAppUtils_addHostPortMcastMembership 6&gt;4</t>
  </si>
  <si>
    <t>HIS Metrics - Max nesting level LEVEL: EnetAppUtils_delHostPortMcastMembership 7&gt;4</t>
  </si>
  <si>
    <t>HIS Metrics - Cyclomatic v(G): EnetAppUtils_addHostPortMcastMembership 13&gt;10</t>
  </si>
  <si>
    <t>HIS Metrics - Cyclomatic v(G): EnetAppUtils_delHostPortMcastMembership 13&gt;10</t>
  </si>
  <si>
    <t>HIS Metrics - Max nesting level LEVEL: EnetCpdma_enqueueTx 6&gt;4</t>
  </si>
  <si>
    <t>EnetCpdma_enqueueTx</t>
  </si>
  <si>
    <t>HIS Metrics - Max nesting level LEVEL: EnetCpdma_dequeueTx 8&gt;4</t>
  </si>
  <si>
    <t>EnetCpdma_dequeueTx</t>
  </si>
  <si>
    <t>HIS Metrics - Max nesting level LEVEL: EnetCpdma_enqueueRx 7&gt;4</t>
  </si>
  <si>
    <t>EnetCpdma_enqueueRx</t>
  </si>
  <si>
    <t>HIS Metrics - Max nesting level LEVEL: EnetCpdma_dequeueRx 9&gt;4</t>
  </si>
  <si>
    <t>EnetCpdma_dequeueRx</t>
  </si>
  <si>
    <t>HIS Metrics - Max nesting level LEVEL: EnetCpdma_rxIsrProc 8&gt;4</t>
  </si>
  <si>
    <t>EnetCpdma_rxIsrProc</t>
  </si>
  <si>
    <t>HIS Metrics - Max nesting level LEVEL: EnetCpdma_txIsr 7&gt;4</t>
  </si>
  <si>
    <t>EnetCpdma_txIsr</t>
  </si>
  <si>
    <t>HIS Metrics - Cyclomatic v(G): EnetCpdma_enqueueTx 28&gt;10</t>
  </si>
  <si>
    <t>HIS Metrics - Cyclomatic v(G): EnetCpdma_dequeueTx 66&gt;10</t>
  </si>
  <si>
    <t>HIS Metrics - Cyclomatic v(G): EnetCpdma_enqueueRx 32&gt;10</t>
  </si>
  <si>
    <t>HIS Metrics - Cyclomatic v(G): EnetCpdma_dequeueRx 47&gt;10</t>
  </si>
  <si>
    <t>HIS Metrics - Cyclomatic v(G): EnetCpdma_open 14&gt;10</t>
  </si>
  <si>
    <t>EnetCpdma_open</t>
  </si>
  <si>
    <t>HIS Metrics - Number of paths PATH: EnetCpdma_enqueueTx 178805.04688&gt;80</t>
  </si>
  <si>
    <t>HIS Metrics - Number of paths PATH: EnetCpdma_dequeueTx 2147482752&gt;80</t>
  </si>
  <si>
    <t>HIS Metrics - Number of paths PATH: EnetCpdma_enqueueRx 772365.25&gt;80</t>
  </si>
  <si>
    <t>HIS Metrics - Number of paths PATH: EnetCpdma_dequeueRx 163131408&gt;80</t>
  </si>
  <si>
    <t>HIS Metrics - Number of paths PATH: EnetCpdma_open 1164.00049&gt;80</t>
  </si>
  <si>
    <t>/kwbuilds/release_area/mcu_plus_sdk/source/networking/enet/utils/enet_cpdmautils.c</t>
  </si>
  <si>
    <t>HIS Metrics - Max nesting level LEVEL: EnetAppUtils_isDescCached 5&gt;4</t>
  </si>
  <si>
    <t>EnetAppUtils_isDescCached</t>
  </si>
  <si>
    <t>/kwbuilds/release_area/mcu_plus_sdk/source/networking/enet/core/src/core/enet_osal.c</t>
  </si>
  <si>
    <t>HIS Metrics - Cyclomatic v(G): EnetOsal_init 35&gt;10</t>
  </si>
  <si>
    <t>EnetOsal_init</t>
  </si>
  <si>
    <t>HIS Metrics - Number of paths PATH: EnetOsal_init 129140144&gt;80</t>
  </si>
  <si>
    <t>/kwbuilds/release_area/mcu_plus_sdk/source/networking/enet/core/src/common/enet_phymdio_dflt.c</t>
  </si>
  <si>
    <t>HIS Metrics - Number of parameters PARAM: EnetPhyMdioDflt_readC45 6&gt;5</t>
  </si>
  <si>
    <t>EnetPhyMdioDflt_readC45</t>
  </si>
  <si>
    <t>HIS Metrics - Number of parameters PARAM: EnetPhyMdioDflt_writeC45 6&gt;5</t>
  </si>
  <si>
    <t>EnetPhyMdioDflt_writeC45</t>
  </si>
  <si>
    <t>HIS Metrics - Cyclomatic v(G): EnetRm_close 19&gt;10</t>
  </si>
  <si>
    <t>HIS Metrics - Cyclomatic v(G): EnetRm_detachCore 23&gt;10</t>
  </si>
  <si>
    <t>EnetRm_detachCore</t>
  </si>
  <si>
    <t>HIS Metrics - Number of paths PATH: EnetRm_close 11231.99707&gt;80</t>
  </si>
  <si>
    <t>HIS Metrics - Number of paths PATH: EnetRm_detachCore 3604.99927&gt;80</t>
  </si>
  <si>
    <t>HIS Metrics - Number of parameters PARAM: EnetRm_initCoreResourceQ 6&gt;5</t>
  </si>
  <si>
    <t>EnetRm_initCoreResourceQ</t>
  </si>
  <si>
    <t>HIS Metrics - Max nesting level LEVEL: EnetRm_freeResource 5&gt;4</t>
  </si>
  <si>
    <t>EnetRm_freeResource</t>
  </si>
  <si>
    <t>HIS Metrics - Max nesting level LEVEL: EnetRm_detachCore 8&gt;4</t>
  </si>
  <si>
    <t>HIS Metrics - Max nesting level LEVEL: EnetRm_allocMacAddr 6&gt;4</t>
  </si>
  <si>
    <t>EnetRm_allocMacAddr</t>
  </si>
  <si>
    <t>HIS Metrics - Max nesting level LEVEL: EnetRm_freeMacAddr 5&gt;4</t>
  </si>
  <si>
    <t>EnetRm_freeMacAddr</t>
  </si>
  <si>
    <t>HIS Metrics - Max nesting level LEVEL: EnetRm_allocRxFlowIdx 5&gt;4</t>
  </si>
  <si>
    <t>EnetRm_allocRxFlowIdx</t>
  </si>
  <si>
    <t>HIS Metrics - Max nesting level LEVEL: EnetRm_allocTxChNum 6&gt;4</t>
  </si>
  <si>
    <t>EnetRm_allocTxChNum</t>
  </si>
  <si>
    <t>HIS Metrics - Max nesting level LEVEL: EnetRm_allocInternalRxFlowIdx 5&gt;4</t>
  </si>
  <si>
    <t>EnetRm_allocInternalRxFlowIdx</t>
  </si>
  <si>
    <t>HIS Metrics - Cyclomatic v(G): EnetRm_allocMacAddr 11&gt;10</t>
  </si>
  <si>
    <t>HIS Metrics - Number of paths PATH: EnetRm_allocMacAddr 82.99995&gt;80</t>
  </si>
  <si>
    <t>HIS Metrics - Cyclomatic v(G): EnetUtils_delayTicks 13&gt;10</t>
  </si>
  <si>
    <t>EnetUtils_delayTicks</t>
  </si>
  <si>
    <t>HIS Metrics - Number of paths PATH: EnetUtils_delayTicks 2048.99927&gt;80</t>
  </si>
  <si>
    <t>HIS Metrics - Max nesting level LEVEL: EnetUtils_macToPhyMii 9&gt;4</t>
  </si>
  <si>
    <t>HIS Metrics - Number of parameters PARAM: EnetPhy_open 6&gt;5</t>
  </si>
  <si>
    <t>EnetPhy_open</t>
  </si>
  <si>
    <t>HIS Metrics - Cyclomatic v(G): EnetPhy_tick 14&gt;10</t>
  </si>
  <si>
    <t>HIS Metrics - Cyclomatic v(G): EnetPhy_setNextState 11&gt;10</t>
  </si>
  <si>
    <t>EnetPhy_setNextState</t>
  </si>
  <si>
    <t>HIS Metrics - Cyclomatic v(G): EnetPhy_setupManual 11&gt;10</t>
  </si>
  <si>
    <t>EnetPhy_setupManual</t>
  </si>
  <si>
    <t>HIS Metrics - Cyclomatic v(G): EnetPhy_bindDriver 12&gt;10</t>
  </si>
  <si>
    <t>EnetPhy_bindDriver</t>
  </si>
  <si>
    <t>HIS Metrics - Number of paths PATH: EnetPhy_enableState 107.99995&gt;80</t>
  </si>
  <si>
    <t>EnetPhy_enableState</t>
  </si>
  <si>
    <t>HIS Metrics - Number of paths PATH: EnetPhy_setupNway 128.99992&gt;80</t>
  </si>
  <si>
    <t>EnetPhy_setupNway</t>
  </si>
  <si>
    <t>HIS Metrics - Number of paths PATH: EnetPhy_getLocalCaps 80.00004&gt;80</t>
  </si>
  <si>
    <t>EnetPhy_getLocalCaps</t>
  </si>
  <si>
    <t>HIS Metrics - Number of paths PATH: EnetPhy_findCommonCaps 255.99988&gt;80</t>
  </si>
  <si>
    <t>EnetPhy_findCommonCaps</t>
  </si>
  <si>
    <t>HIS Metrics - Max nesting level LEVEL: EnetPhy_bindDriver 5&gt;4</t>
  </si>
  <si>
    <t>HIS Metrics - Max nesting level LEVEL: EnetPhy_capToMode 6&gt;4</t>
  </si>
  <si>
    <t>EnetPhy_capToMode</t>
  </si>
  <si>
    <t>HIS Metrics - Max nesting level LEVEL: free_etharp_q 5&gt;4</t>
  </si>
  <si>
    <t>free_etharp_q</t>
  </si>
  <si>
    <t>HIS Metrics - Max nesting level LEVEL: etharp_free_entry 6&gt;4</t>
  </si>
  <si>
    <t>etharp_free_entry</t>
  </si>
  <si>
    <t>HIS Metrics - Max nesting level LEVEL: etharp_tmr 8&gt;4</t>
  </si>
  <si>
    <t>etharp_tmr</t>
  </si>
  <si>
    <t>HIS Metrics - Max nesting level LEVEL: etharp_find_entry 9&gt;4</t>
  </si>
  <si>
    <t>HIS Metrics - Max nesting level LEVEL: etharp_update_arp_entry 6&gt;4</t>
  </si>
  <si>
    <t>etharp_update_arp_entry</t>
  </si>
  <si>
    <t>HIS Metrics - Max nesting level LEVEL: etharp_input 8&gt;4</t>
  </si>
  <si>
    <t>etharp_input</t>
  </si>
  <si>
    <t>HIS Metrics - Max nesting level LEVEL: etharp_output_to_arp_index 5&gt;4</t>
  </si>
  <si>
    <t>etharp_output_to_arp_index</t>
  </si>
  <si>
    <t>HIS Metrics - Max nesting level LEVEL: etharp_output 5&gt;4</t>
  </si>
  <si>
    <t>HIS Metrics - Max nesting level LEVEL: etharp_query 9&gt;4</t>
  </si>
  <si>
    <t>etharp_query</t>
  </si>
  <si>
    <t>HIS Metrics - Max nesting level LEVEL: etharp_raw 6&gt;4</t>
  </si>
  <si>
    <t>HIS Metrics - Max nesting level LEVEL: etharp_request 5&gt;4</t>
  </si>
  <si>
    <t>etharp_request</t>
  </si>
  <si>
    <t>HIS Metrics - Cyclomatic v(G): etharp_tmr 18&gt;10</t>
  </si>
  <si>
    <t>HIS Metrics - Cyclomatic v(G): etharp_find_entry 72&gt;10</t>
  </si>
  <si>
    <t>HIS Metrics - Cyclomatic v(G): etharp_update_arp_entry 22&gt;10</t>
  </si>
  <si>
    <t>HIS Metrics - Cyclomatic v(G): etharp_get_entry 11&gt;10</t>
  </si>
  <si>
    <t>HIS Metrics - Cyclomatic v(G): etharp_input 41&gt;10</t>
  </si>
  <si>
    <t>HIS Metrics - Cyclomatic v(G): etharp_output 17&gt;10</t>
  </si>
  <si>
    <t>HIS Metrics - Cyclomatic v(G): etharp_query 60&gt;10</t>
  </si>
  <si>
    <t>HIS Metrics - Cyclomatic v(G): etharp_raw 21&gt;10</t>
  </si>
  <si>
    <t>HIS Metrics - Number of paths PATH: etharp_tmr 112.00004&gt;80</t>
  </si>
  <si>
    <t>HIS Metrics - Number of paths PATH: etharp_find_entry 243839.9375&gt;80</t>
  </si>
  <si>
    <t>HIS Metrics - Number of paths PATH: etharp_update_arp_entry 800.00006&gt;80</t>
  </si>
  <si>
    <t>HIS Metrics - Number of paths PATH: etharp_get_entry 127.99994&gt;80</t>
  </si>
  <si>
    <t>HIS Metrics - Number of paths PATH: etharp_input 626.00043&gt;80</t>
  </si>
  <si>
    <t>HIS Metrics - Number of paths PATH: etharp_output 703.99969&gt;80</t>
  </si>
  <si>
    <t>HIS Metrics - Number of paths PATH: etharp_query 443280.03125&gt;80</t>
  </si>
  <si>
    <t>HIS Metrics - Number of paths PATH: etharp_raw 543.99976&gt;80</t>
  </si>
  <si>
    <t>HIS Metrics - Number of parameters PARAM: etharp_raw 8&gt;5</t>
  </si>
  <si>
    <t>/kwbuilds/release_area/mcu_plus_sdk/source/networking/lwip/lwip-stack/src/netif/ethernet.c</t>
  </si>
  <si>
    <t>HIS Metrics - Max nesting level LEVEL: ethernet_input 8&gt;4</t>
  </si>
  <si>
    <t>ethernet_input</t>
  </si>
  <si>
    <t>HIS Metrics - Max nesting level LEVEL: ethernet_output 5&gt;4</t>
  </si>
  <si>
    <t>ethernet_output</t>
  </si>
  <si>
    <t>HIS Metrics - Cyclomatic v(G): ethernet_input 40&gt;10</t>
  </si>
  <si>
    <t>HIS Metrics - Cyclomatic v(G): ethernet_output 15&gt;10</t>
  </si>
  <si>
    <t>HIS Metrics - Number of paths PATH: ethernet_input 62880.00781&gt;80</t>
  </si>
  <si>
    <t>/kwbuilds/release_area/mcu_plus_sdk/source/board/ethphy/ethphy_dp83826e.c</t>
  </si>
  <si>
    <t>HIS Metrics - Cyclomatic v(G): ETHPHY_DP83826E_command 24&gt;10</t>
  </si>
  <si>
    <t>ETHPHY_DP83826E_command</t>
  </si>
  <si>
    <t>HIS Metrics - Cyclomatic v(G): ETHPHY_DP83826E_configureLedSource 20&gt;10</t>
  </si>
  <si>
    <t>ETHPHY_DP83826E_configureLedSource</t>
  </si>
  <si>
    <t>HIS Metrics - Number of paths PATH: ETHPHY_DP83826E_configureLedSource 1728.00012&gt;80</t>
  </si>
  <si>
    <t>HIS Metrics - Cyclomatic v(G): ETHPHY_DP83869_command 24&gt;10</t>
  </si>
  <si>
    <t>ETHPHY_DP83869_command</t>
  </si>
  <si>
    <t>HIS Metrics - Cyclomatic v(G): ETHPHY_DP83869_setSpeedDuplex 12&gt;10</t>
  </si>
  <si>
    <t>ETHPHY_DP83869_setSpeedDuplex</t>
  </si>
  <si>
    <t>/kwbuilds/release_area/mcu_plus_sdk/source/drivers/epwm/v1/etpwm.c</t>
  </si>
  <si>
    <t>HIS Metrics - Cyclomatic v(G): EPWM_configureSignal 11&gt;10</t>
  </si>
  <si>
    <t>EPWM_configureSignal</t>
  </si>
  <si>
    <t>HIS Metrics - Max nesting level LEVEL: EPWM_setADCTriggerSource 5&gt;4</t>
  </si>
  <si>
    <t>EPWM_setADCTriggerSource</t>
  </si>
  <si>
    <t>HIS Metrics - Max nesting level LEVEL: EPWM_setXCMPActionQualifierAction 5&gt;4</t>
  </si>
  <si>
    <t>EPWM_setXCMPActionQualifierAction</t>
  </si>
  <si>
    <t>HIS Metrics - Cyclomatic v(G): xEventGroupWaitBits 11&gt;10</t>
  </si>
  <si>
    <t>xEventGroupWaitBits</t>
  </si>
  <si>
    <t>/kwbuilds/release_area/mcu_plus_sdk/source/kernel/freertos/dpl/common/EventP_freertos.c</t>
  </si>
  <si>
    <t>HIS Metrics - Number of parameters PARAM: EventP_waitBits 6&gt;5</t>
  </si>
  <si>
    <t>*default*, KERNEL_FREERTOS_TI</t>
  </si>
  <si>
    <t>HIS Metrics - Number of parameters PARAM: Flash_norQspiCmdWrite 6&gt;5</t>
  </si>
  <si>
    <t>Flash_norQspiCmdWrite</t>
  </si>
  <si>
    <t>HIS Metrics - Number of parameters PARAM: Flash_norQspiCmdRead 6&gt;5</t>
  </si>
  <si>
    <t>Flash_norQspiCmdRead</t>
  </si>
  <si>
    <t>HIS Metrics - Number of paths PATH: Flash_norQspiSet4ByteAddrMode 80.00004&gt;80</t>
  </si>
  <si>
    <t>HIS Metrics - Number of paths PATH: Flash_norQspiWrite 104.00002&gt;80</t>
  </si>
  <si>
    <t>Flash_norQspiWrite</t>
  </si>
  <si>
    <t>HIS Metrics - Number of paths PATH: Flash_norQspiErase 160&gt;80</t>
  </si>
  <si>
    <t>Flash_norQspiErase</t>
  </si>
  <si>
    <t>HIS Metrics - Number of paths PATH: Flash_norQspiEraseSector 160&gt;80</t>
  </si>
  <si>
    <t>Flash_norQspiEraseSector</t>
  </si>
  <si>
    <t>HIS Metrics - Number of paths PATH: Flash_norQspiReset 246.00011&gt;80</t>
  </si>
  <si>
    <t>Flash_norQspiReset</t>
  </si>
  <si>
    <t>HIS Metrics - Cyclomatic v(G): Flash_norQspiSetQeBit 13&gt;10</t>
  </si>
  <si>
    <t>Flash_norQspiSetQeBit</t>
  </si>
  <si>
    <t>HIS Metrics - Cyclomatic v(G): Flash_norQspiReset 11&gt;10</t>
  </si>
  <si>
    <t>HIS Metrics - Max nesting level LEVEL: Flash_norQspiWrite 5&gt;4</t>
  </si>
  <si>
    <t>HIS Metrics - Max nesting level LEVEL: clock_nanosleep 5&gt;4</t>
  </si>
  <si>
    <t>HIS Metrics - Max nesting level LEVEL: mq_close 6&gt;4</t>
  </si>
  <si>
    <t>HIS Metrics - Max nesting level LEVEL: mq_open 5&gt;4</t>
  </si>
  <si>
    <t>mq_open</t>
  </si>
  <si>
    <t>HIS Metrics - Max nesting level LEVEL: mq_unlink 5&gt;4</t>
  </si>
  <si>
    <t>mq_unlink</t>
  </si>
  <si>
    <t>HIS Metrics - Cyclomatic v(G): mq_open 11&gt;10</t>
  </si>
  <si>
    <t>HIS Metrics - Cyclomatic v(G): mq_timedsend 11&gt;10</t>
  </si>
  <si>
    <t>mq_timedsend</t>
  </si>
  <si>
    <t>HIS Metrics - Number of paths PATH: mq_timedreceive 143.99994&gt;80</t>
  </si>
  <si>
    <t>mq_timedreceive</t>
  </si>
  <si>
    <t>HIS Metrics - Number of paths PATH: mq_timedsend 215.99991&gt;80</t>
  </si>
  <si>
    <t>HIS Metrics - Max nesting level LEVEL: timer_settime 6&gt;4</t>
  </si>
  <si>
    <t>HIS Metrics - Cyclomatic v(G): timer_settime 14&gt;10</t>
  </si>
  <si>
    <t>HIS Metrics - Number of paths PATH: timer_settime 588.00012&gt;80</t>
  </si>
  <si>
    <t>HIS Metrics - Max nesting level LEVEL: UTILS_TimespecToTicks 5&gt;4</t>
  </si>
  <si>
    <t>HIS Metrics - Max nesting level LEVEL: UTILS_TimespecSubtract 5&gt;4</t>
  </si>
  <si>
    <t>HIS Metrics - Max nesting level LEVEL: UTILS_TimespecCompare 8&gt;4</t>
  </si>
  <si>
    <t>HIS Metrics - Max nesting level LEVEL: FSI_enableAndConfigRxTrigCtrl 5&gt;4</t>
  </si>
  <si>
    <t>FSI_enableAndConfigRxTrigCtrl</t>
  </si>
  <si>
    <t>HIS Metrics - Max nesting level LEVEL: FSI_disableRxTrigCtrl 5&gt;4</t>
  </si>
  <si>
    <t>FSI_disableRxTrigCtrl</t>
  </si>
  <si>
    <t>/kwbuilds/release_area/mcu_plus_sdk/source/kernel/nortos/dpl/common/HeapP_internal.c</t>
  </si>
  <si>
    <t>HIS Metrics - Max nesting level LEVEL: pvHeapMalloc 5&gt;4</t>
  </si>
  <si>
    <t>pvHeapMalloc</t>
  </si>
  <si>
    <t>HIS Metrics - Max nesting level LEVEL: HsmClient_SendAndRecv 5&gt;4</t>
  </si>
  <si>
    <t>HIS Metrics - Max nesting level LEVEL: http_parse_response_status 6&gt;4</t>
  </si>
  <si>
    <t>http_parse_response_status</t>
  </si>
  <si>
    <t>HIS Metrics - Max nesting level LEVEL: http_wait_headers 6&gt;4</t>
  </si>
  <si>
    <t>http_wait_headers</t>
  </si>
  <si>
    <t>HIS Metrics - Max nesting level LEVEL: httpc_tcp_recv 7&gt;4</t>
  </si>
  <si>
    <t>httpc_tcp_recv</t>
  </si>
  <si>
    <t>HIS Metrics - Max nesting level LEVEL: httpc_get_internal_addr 5&gt;4</t>
  </si>
  <si>
    <t>HIS Metrics - Max nesting level LEVEL: httpc_dns_found 6&gt;4</t>
  </si>
  <si>
    <t>httpc_dns_found</t>
  </si>
  <si>
    <t>HIS Metrics - Max nesting level LEVEL: httpc_create_request_string 6&gt;4</t>
  </si>
  <si>
    <t>httpc_create_request_string</t>
  </si>
  <si>
    <t>HIS Metrics - Cyclomatic v(G): httpc_tcp_recv 15&gt;10</t>
  </si>
  <si>
    <t>HIS Metrics - Cyclomatic v(G): httpc_get_internal_addr 11&gt;10</t>
  </si>
  <si>
    <t>HIS Metrics - Cyclomatic v(G): httpc_init_connection_common 12&gt;10</t>
  </si>
  <si>
    <t>HIS Metrics - Number of paths PATH: httpc_tcp_recv 102&gt;80</t>
  </si>
  <si>
    <t>HIS Metrics - Number of parameters PARAM: httpc_create_request_string 7&gt;5</t>
  </si>
  <si>
    <t>HIS Metrics - Number of parameters PARAM: httpc_init_connection_common 8&gt;5</t>
  </si>
  <si>
    <t>HIS Metrics - Number of parameters PARAM: httpc_init_connection 7&gt;5</t>
  </si>
  <si>
    <t>httpc_init_connection</t>
  </si>
  <si>
    <t>HIS Metrics - Number of parameters PARAM: httpc_init_connection_addr 7&gt;5</t>
  </si>
  <si>
    <t>httpc_init_connection_addr</t>
  </si>
  <si>
    <t>HIS Metrics - Number of parameters PARAM: httpc_get_file 7&gt;5</t>
  </si>
  <si>
    <t>httpc_get_file</t>
  </si>
  <si>
    <t>HIS Metrics - Number of parameters PARAM: httpc_get_file_dns 7&gt;5</t>
  </si>
  <si>
    <t>httpc_get_file_dns</t>
  </si>
  <si>
    <t>HIS Metrics - Max nesting level LEVEL: http_write 7&gt;4</t>
  </si>
  <si>
    <t>HIS Metrics - Max nesting level LEVEL: http_close_or_abort_conn 6&gt;4</t>
  </si>
  <si>
    <t>http_close_or_abort_conn</t>
  </si>
  <si>
    <t>HIS Metrics - Max nesting level LEVEL: http_check_eof 6&gt;4</t>
  </si>
  <si>
    <t>http_check_eof</t>
  </si>
  <si>
    <t>HIS Metrics - Max nesting level LEVEL: http_send 6&gt;4</t>
  </si>
  <si>
    <t>HIS Metrics - Max nesting level LEVEL: http_parse_request 9&gt;4</t>
  </si>
  <si>
    <t>HIS Metrics - Max nesting level LEVEL: http_find_file 8&gt;4</t>
  </si>
  <si>
    <t>http_find_file</t>
  </si>
  <si>
    <t>HIS Metrics - Max nesting level LEVEL: http_init_file 6&gt;4</t>
  </si>
  <si>
    <t>HIS Metrics - Max nesting level LEVEL: http_err 5&gt;4</t>
  </si>
  <si>
    <t>http_err</t>
  </si>
  <si>
    <t>HIS Metrics - Max nesting level LEVEL: http_sent 5&gt;4</t>
  </si>
  <si>
    <t>http_sent</t>
  </si>
  <si>
    <t>HIS Metrics - Max nesting level LEVEL: http_poll 8&gt;4</t>
  </si>
  <si>
    <t>http_poll</t>
  </si>
  <si>
    <t>HIS Metrics - Max nesting level LEVEL: http_recv 8&gt;4</t>
  </si>
  <si>
    <t>HIS Metrics - Max nesting level LEVEL: http_accept 6&gt;4</t>
  </si>
  <si>
    <t>http_accept</t>
  </si>
  <si>
    <t>HIS Metrics - Max nesting level LEVEL: httpd_init_pcb 5&gt;4</t>
  </si>
  <si>
    <t>httpd_init_pcb</t>
  </si>
  <si>
    <t>HIS Metrics - Max nesting level LEVEL: httpd_init 5&gt;4</t>
  </si>
  <si>
    <t>httpd_init</t>
  </si>
  <si>
    <t>HIS Metrics - Cyclomatic v(G): http_write 31&gt;10</t>
  </si>
  <si>
    <t>HIS Metrics - Cyclomatic v(G): http_close_or_abort_conn 14&gt;10</t>
  </si>
  <si>
    <t>HIS Metrics - Cyclomatic v(G): http_check_eof 11&gt;10</t>
  </si>
  <si>
    <t>HIS Metrics - Cyclomatic v(G): http_send 21&gt;10</t>
  </si>
  <si>
    <t>HIS Metrics - Cyclomatic v(G): http_parse_request 77&gt;10</t>
  </si>
  <si>
    <t>HIS Metrics - Cyclomatic v(G): http_find_file 28&gt;10</t>
  </si>
  <si>
    <t>HIS Metrics - Cyclomatic v(G): http_init_file 13&gt;10</t>
  </si>
  <si>
    <t>HIS Metrics - Cyclomatic v(G): http_poll 30&gt;10</t>
  </si>
  <si>
    <t>HIS Metrics - Cyclomatic v(G): http_recv 32&gt;10</t>
  </si>
  <si>
    <t>HIS Metrics - Cyclomatic v(G): http_accept 13&gt;10</t>
  </si>
  <si>
    <t>HIS Metrics - Number of paths PATH: http_write 35075.98438&gt;80</t>
  </si>
  <si>
    <t>HIS Metrics - Number of paths PATH: http_close_or_abort_conn 160&gt;80</t>
  </si>
  <si>
    <t>HIS Metrics - Number of paths PATH: http_send 272&gt;80</t>
  </si>
  <si>
    <t>HIS Metrics - Number of paths PATH: http_parse_request 234987648&gt;80</t>
  </si>
  <si>
    <t>HIS Metrics - Number of paths PATH: http_find_file 28709.98828&gt;80</t>
  </si>
  <si>
    <t>HIS Metrics - Number of paths PATH: http_init_file 192.99997&gt;80</t>
  </si>
  <si>
    <t>HIS Metrics - Number of paths PATH: http_poll 712.00012&gt;80</t>
  </si>
  <si>
    <t>HIS Metrics - Number of paths PATH: http_recv 1167.99963&gt;80</t>
  </si>
  <si>
    <t>HIS Metrics - Number of paths PATH: http_accept 80.00004&gt;80</t>
  </si>
  <si>
    <t>HIS Metrics - Number of parameters PARAM: http_init_file 6&gt;5</t>
  </si>
  <si>
    <t>/kwbuilds/release_area/mcu_plus_sdk/source/networking/lwip/lwip-contrib/apps/httpserver/httpserver-netconn.c</t>
  </si>
  <si>
    <t>HIS Metrics - Max nesting level LEVEL: http_server_netconn_thread 5&gt;4</t>
  </si>
  <si>
    <t>http_server_netconn_thread</t>
  </si>
  <si>
    <t>HIS Metrics - Cyclomatic v(G): http_server_netconn_thread 11&gt;10</t>
  </si>
  <si>
    <t>HIS Metrics - Max nesting level LEVEL: I2C_primeTransfer 5&gt;4</t>
  </si>
  <si>
    <t>HIS Metrics - Max nesting level LEVEL: I2C_transfer 7&gt;4</t>
  </si>
  <si>
    <t>I2C_transfer</t>
  </si>
  <si>
    <t>HIS Metrics - Max nesting level LEVEL: I2C_waitForBb 5&gt;4</t>
  </si>
  <si>
    <t>I2C_waitForBb</t>
  </si>
  <si>
    <t>HIS Metrics - Cyclomatic v(G): I2C_open 15&gt;10</t>
  </si>
  <si>
    <t>I2C_open</t>
  </si>
  <si>
    <t>HIS Metrics - Cyclomatic v(G): I2C_primeTransfer 27&gt;10</t>
  </si>
  <si>
    <t>HIS Metrics - Cyclomatic v(G): I2C_transfer 14&gt;10</t>
  </si>
  <si>
    <t>HIS Metrics - Number of paths PATH: I2C_open 1446.00085&gt;80</t>
  </si>
  <si>
    <t>HIS Metrics - Number of paths PATH: I2C_primeTransfer 66011.96875&gt;80</t>
  </si>
  <si>
    <t>HIS Metrics - Number of paths PATH: I2C_transfer 300.00018&gt;80</t>
  </si>
  <si>
    <t>HIS Metrics - Max nesting level LEVEL: icmp_input 10&gt;4</t>
  </si>
  <si>
    <t>HIS Metrics - Max nesting level LEVEL: icmp_send_response 6&gt;4</t>
  </si>
  <si>
    <t>icmp_send_response</t>
  </si>
  <si>
    <t>HIS Metrics - Cyclomatic v(G): icmp_input 107&gt;10</t>
  </si>
  <si>
    <t>HIS Metrics - Cyclomatic v(G): icmp_send_response 37&gt;10</t>
  </si>
  <si>
    <t>HIS Metrics - Number of paths PATH: icmp_input 2147482752&gt;80</t>
  </si>
  <si>
    <t>HIS Metrics - Number of paths PATH: icmp_send_response 393223.90625&gt;80</t>
  </si>
  <si>
    <t>HIS Metrics - Cyclomatic v(G): ICSS_EMAC_open 19&gt;10</t>
  </si>
  <si>
    <t>ICSS_EMAC_open</t>
  </si>
  <si>
    <t>HIS Metrics - Cyclomatic v(G): ICSS_EMAC_ioctl 71&gt;10</t>
  </si>
  <si>
    <t>HIS Metrics - Cyclomatic v(G): ICSS_EMAC_rxPktGet 25&gt;10</t>
  </si>
  <si>
    <t>HIS Metrics - Cyclomatic v(G): ICSS_EMAC_txPacketEnqueue 48&gt;10</t>
  </si>
  <si>
    <t>ICSS_EMAC_txPacketEnqueue</t>
  </si>
  <si>
    <t>HIS Metrics - Cyclomatic v(G): ICSS_EMAC_rxPktInfo2 13&gt;10</t>
  </si>
  <si>
    <t>ICSS_EMAC_rxPktInfo2</t>
  </si>
  <si>
    <t>HIS Metrics - Cyclomatic v(G): ICSS_EMAC_updatePhyStatus 15&gt;10</t>
  </si>
  <si>
    <t>ICSS_EMAC_updatePhyStatus</t>
  </si>
  <si>
    <t>HIS Metrics - Cyclomatic v(G): ICSS_EMAC_pollLink 20&gt;10</t>
  </si>
  <si>
    <t>ICSS_EMAC_pollLink</t>
  </si>
  <si>
    <t>HIS Metrics - Number of paths PATH: ICSS_EMAC_open 7560.00293&gt;80</t>
  </si>
  <si>
    <t>HIS Metrics - Number of paths PATH: ICSS_EMAC_rxPktGet 326400.96875&gt;80</t>
  </si>
  <si>
    <t>HIS Metrics - Number of paths PATH: ICSS_EMAC_txPacketEnqueue 4037698.75&gt;80</t>
  </si>
  <si>
    <t>HIS Metrics - Number of paths PATH: ICSS_EMAC_rxPktInfo2 392.00006&gt;80</t>
  </si>
  <si>
    <t>HIS Metrics - Number of paths PATH: ICSS_EMAC_updatePhyStatus 393.99994&gt;80</t>
  </si>
  <si>
    <t>HIS Metrics - Number of paths PATH: ICSS_EMAC_pollLink 12869.99805&gt;80</t>
  </si>
  <si>
    <t>HIS Metrics - Max nesting level LEVEL: ICSS_EMAC_ioctl 6&gt;4</t>
  </si>
  <si>
    <t>HIS Metrics - Max nesting level LEVEL: ICSS_EMAC_rxPktGet 5&gt;4</t>
  </si>
  <si>
    <t>HIS Metrics - Max nesting level LEVEL: ICSS_EMAC_osLinkTaskFnc 5&gt;4</t>
  </si>
  <si>
    <t>ICSS_EMAC_osLinkTaskFnc</t>
  </si>
  <si>
    <t>HIS Metrics - Max nesting level LEVEL: ICSS_EMAC_rxPktInfo2 5&gt;4</t>
  </si>
  <si>
    <t>HIS Metrics - Max nesting level LEVEL: ICSS_EMAC_updatePhyStatus 6&gt;4</t>
  </si>
  <si>
    <t>HIS Metrics - Max nesting level LEVEL: ICSS_EMAC_pollPkt 6&gt;4</t>
  </si>
  <si>
    <t>ICSS_EMAC_pollPkt</t>
  </si>
  <si>
    <t>HIS Metrics - Max nesting level LEVEL: ICSS_EMAC_clearRxIrq 5&gt;4</t>
  </si>
  <si>
    <t>ICSS_EMAC_clearRxIrq</t>
  </si>
  <si>
    <t>HIS Metrics - Max nesting level LEVEL: ICSS_EMAC_pollLink 6&gt;4</t>
  </si>
  <si>
    <t>/kwbuilds/release_area/mcu_plus_sdk/source/networking/icss_emac/source/icss_emac_learning.c</t>
  </si>
  <si>
    <t>HIS Metrics - Max nesting level LEVEL: ICSS_EMAC_updateHashTable 5&gt;4</t>
  </si>
  <si>
    <t>ICSS_EMAC_updateHashTable</t>
  </si>
  <si>
    <t>HIS Metrics - Max nesting level LEVEL: ICSS_EMAC_ageingRoutine 7&gt;4</t>
  </si>
  <si>
    <t>ICSS_EMAC_ageingRoutine</t>
  </si>
  <si>
    <t>HIS Metrics - Max nesting level LEVEL: ICSS_EMAC_removeMAC 5&gt;4</t>
  </si>
  <si>
    <t>ICSS_EMAC_removeMAC</t>
  </si>
  <si>
    <t>HIS Metrics - Max nesting level LEVEL: ICSS_EMAC_incrementCounter 5&gt;4</t>
  </si>
  <si>
    <t>ICSS_EMAC_incrementCounter</t>
  </si>
  <si>
    <t>HIS Metrics - Max nesting level LEVEL: ICSS_EMAC_checkDuplicateMAC 7&gt;4</t>
  </si>
  <si>
    <t>ICSS_EMAC_checkDuplicateMAC</t>
  </si>
  <si>
    <t>HIS Metrics - Cyclomatic v(G): ICSS_EMAC_updateHashTable 14&gt;10</t>
  </si>
  <si>
    <t>HIS Metrics - Cyclomatic v(G): ICSS_EMAC_switchConfig 19&gt;10</t>
  </si>
  <si>
    <t>HIS Metrics - Cyclomatic v(G): ICSS_EMAC_macConfig 15&gt;10</t>
  </si>
  <si>
    <t>HIS Metrics - Cyclomatic v(G): ICSS_EMAC_osInit 19&gt;10</t>
  </si>
  <si>
    <t>HIS Metrics - Cyclomatic v(G): ICSS_EMAC_validateFeatureSet 13&gt;10</t>
  </si>
  <si>
    <t>HIS Metrics - Number of paths PATH: ICSS_EMAC_switchConfig 262144&gt;80</t>
  </si>
  <si>
    <t>HIS Metrics - Number of paths PATH: ICSS_EMAC_macConfig 2700.00024&gt;80</t>
  </si>
  <si>
    <t>HIS Metrics - Number of paths PATH: ICSS_EMAC_osInit 82080.00781&gt;80</t>
  </si>
  <si>
    <t>HIS Metrics - Max nesting level LEVEL: ICSS_EMAC_initLinkState 5&gt;4</t>
  </si>
  <si>
    <t>ICSS_EMAC_initLinkState</t>
  </si>
  <si>
    <t>HIS Metrics - Max nesting level LEVEL: ICSS_EMAC_validateFeatureSet 6&gt;4</t>
  </si>
  <si>
    <t>/kwbuilds/release_area/mcu_plus_sdk/source/networking/icss_emac/source/icss_emac_stormControl.c</t>
  </si>
  <si>
    <t>HIS Metrics - Number of parameters PARAM: ICSS_EMAC_checkStormPreventionType 6&gt;5</t>
  </si>
  <si>
    <t>ICSS_EMAC_checkStormPreventionType</t>
  </si>
  <si>
    <t>HIS Metrics - Max nesting level LEVEL: igmp_init 5&gt;4</t>
  </si>
  <si>
    <t>igmp_init</t>
  </si>
  <si>
    <t>HIS Metrics - Max nesting level LEVEL: igmp_start 7&gt;4</t>
  </si>
  <si>
    <t>igmp_start</t>
  </si>
  <si>
    <t>HIS Metrics - Max nesting level LEVEL: igmp_stop 7&gt;4</t>
  </si>
  <si>
    <t>igmp_stop</t>
  </si>
  <si>
    <t>HIS Metrics - Max nesting level LEVEL: igmp_report_groups 5&gt;4</t>
  </si>
  <si>
    <t>igmp_report_groups</t>
  </si>
  <si>
    <t>HIS Metrics - Max nesting level LEVEL: igmp_lookup_group 6&gt;4</t>
  </si>
  <si>
    <t>HIS Metrics - Max nesting level LEVEL: igmp_input 10&gt;4</t>
  </si>
  <si>
    <t>HIS Metrics - Max nesting level LEVEL: igmp_joingroup_netif 8&gt;4</t>
  </si>
  <si>
    <t>igmp_joingroup_netif</t>
  </si>
  <si>
    <t>HIS Metrics - Max nesting level LEVEL: igmp_leavegroup_netif 10&gt;4</t>
  </si>
  <si>
    <t>igmp_leavegroup_netif</t>
  </si>
  <si>
    <t>HIS Metrics - Max nesting level LEVEL: igmp_tmr 5&gt;4</t>
  </si>
  <si>
    <t>igmp_tmr</t>
  </si>
  <si>
    <t>HIS Metrics - Max nesting level LEVEL: igmp_timeout 6&gt;4</t>
  </si>
  <si>
    <t>igmp_timeout</t>
  </si>
  <si>
    <t>HIS Metrics - Max nesting level LEVEL: igmp_send 6&gt;4</t>
  </si>
  <si>
    <t>igmp_send</t>
  </si>
  <si>
    <t>HIS Metrics - Cyclomatic v(G): igmp_start 23&gt;10</t>
  </si>
  <si>
    <t>HIS Metrics - Cyclomatic v(G): igmp_stop 18&gt;10</t>
  </si>
  <si>
    <t>HIS Metrics - Cyclomatic v(G): igmp_lookup_group 31&gt;10</t>
  </si>
  <si>
    <t>HIS Metrics - Cyclomatic v(G): igmp_input 94&gt;10</t>
  </si>
  <si>
    <t>HIS Metrics - Cyclomatic v(G): igmp_joingroup_netif 61&gt;10</t>
  </si>
  <si>
    <t>HIS Metrics - Cyclomatic v(G): igmp_leavegroup_netif 62&gt;10</t>
  </si>
  <si>
    <t>HIS Metrics - Cyclomatic v(G): igmp_timeout 17&gt;10</t>
  </si>
  <si>
    <t>HIS Metrics - Cyclomatic v(G): igmp_send 13&gt;10</t>
  </si>
  <si>
    <t>HIS Metrics - Number of paths PATH: igmp_start 4112&gt;80</t>
  </si>
  <si>
    <t>HIS Metrics - Number of paths PATH: igmp_stop 513.99976&gt;80</t>
  </si>
  <si>
    <t>HIS Metrics - Number of paths PATH: igmp_lookup_group 4609&gt;80</t>
  </si>
  <si>
    <t>HIS Metrics - Number of paths PATH: igmp_input 77889608&gt;80</t>
  </si>
  <si>
    <t>HIS Metrics - Number of paths PATH: igmp_joingroup_netif 2101389.25&gt;80</t>
  </si>
  <si>
    <t>HIS Metrics - Number of paths PATH: igmp_leavegroup_netif 18915410&gt;80</t>
  </si>
  <si>
    <t>HIS Metrics - Number of paths PATH: igmp_timeout 513&gt;80</t>
  </si>
  <si>
    <t>/kwbuilds/release_area/mcu_plus_sdk/source/networking/lwip/lwip-stack/src/core/inet_chksum.c</t>
  </si>
  <si>
    <t>HIS Metrics - Max nesting level LEVEL: inet_cksum_pseudo_base 6&gt;4</t>
  </si>
  <si>
    <t>inet_cksum_pseudo_base</t>
  </si>
  <si>
    <t>HIS Metrics - Max nesting level LEVEL: inet_cksum_pseudo_partial_base 6&gt;4</t>
  </si>
  <si>
    <t>inet_cksum_pseudo_partial_base</t>
  </si>
  <si>
    <t>HIS Metrics - Cyclomatic v(G): inet_cksum_pseudo_base 14&gt;10</t>
  </si>
  <si>
    <t>HIS Metrics - Cyclomatic v(G): inet_cksum_pseudo_partial_base 18&gt;10</t>
  </si>
  <si>
    <t>HIS Metrics - Number of paths PATH: inet_cksum_pseudo_base 272&gt;80</t>
  </si>
  <si>
    <t>HIS Metrics - Number of paths PATH: inet_cksum_pseudo_partial_base 2063.99976&gt;80</t>
  </si>
  <si>
    <t>HIS Metrics - Number of parameters PARAM: inet_chksum_pseudo_partial 6&gt;5</t>
  </si>
  <si>
    <t>inet_chksum_pseudo_partial</t>
  </si>
  <si>
    <t>HIS Metrics - Number of parameters PARAM: ip_chksum_pseudo_partial 6&gt;5</t>
  </si>
  <si>
    <t>ip_chksum_pseudo_partial</t>
  </si>
  <si>
    <t>HIS Metrics - Max nesting level LEVEL: ip4_route 6&gt;4</t>
  </si>
  <si>
    <t>ip4_route</t>
  </si>
  <si>
    <t>HIS Metrics - Max nesting level LEVEL: ip4_forward 6&gt;4</t>
  </si>
  <si>
    <t>ip4_forward</t>
  </si>
  <si>
    <t>HIS Metrics - Max nesting level LEVEL: ip4_input_accept 7&gt;4</t>
  </si>
  <si>
    <t>ip4_input_accept</t>
  </si>
  <si>
    <t>HIS Metrics - Max nesting level LEVEL: ip4_input 7&gt;4</t>
  </si>
  <si>
    <t>HIS Metrics - Max nesting level LEVEL: ip4_output_if_opt_src 9&gt;4</t>
  </si>
  <si>
    <t>ip4_output_if_opt_src</t>
  </si>
  <si>
    <t>HIS Metrics - Max nesting level LEVEL: ip4_output 6&gt;4</t>
  </si>
  <si>
    <t>ip4_output</t>
  </si>
  <si>
    <t>HIS Metrics - Cyclomatic v(G): ip4_route 16&gt;10</t>
  </si>
  <si>
    <t>HIS Metrics - Cyclomatic v(G): ip4_forward 30&gt;10</t>
  </si>
  <si>
    <t>HIS Metrics - Cyclomatic v(G): ip4_input_accept 14&gt;10</t>
  </si>
  <si>
    <t>HIS Metrics - Cyclomatic v(G): ip4_input 98&gt;10</t>
  </si>
  <si>
    <t>HIS Metrics - Cyclomatic v(G): ip4_output_if_opt_src 47&gt;10</t>
  </si>
  <si>
    <t>HIS Metrics - Number of paths PATH: ip4_forward 72900.01563&gt;80</t>
  </si>
  <si>
    <t>HIS Metrics - Number of paths PATH: ip4_input_accept 80.00004&gt;80</t>
  </si>
  <si>
    <t>HIS Metrics - Number of paths PATH: ip4_input 67667144&gt;80</t>
  </si>
  <si>
    <t>HIS Metrics - Number of paths PATH: ip4_output_if_opt_src 14304&gt;80</t>
  </si>
  <si>
    <t>HIS Metrics - Number of parameters PARAM: ip4_output_if 7&gt;5</t>
  </si>
  <si>
    <t>ip4_output_if</t>
  </si>
  <si>
    <t>HIS Metrics - Number of parameters PARAM: ip4_output_if_opt 9&gt;5</t>
  </si>
  <si>
    <t>ip4_output_if_opt</t>
  </si>
  <si>
    <t>HIS Metrics - Number of parameters PARAM: ip4_output_if_src 7&gt;5</t>
  </si>
  <si>
    <t>ip4_output_if_src</t>
  </si>
  <si>
    <t>HIS Metrics - Number of parameters PARAM: ip4_output_if_opt_src 9&gt;5</t>
  </si>
  <si>
    <t>HIS Metrics - Number of parameters PARAM: ip4_output 6&gt;5</t>
  </si>
  <si>
    <t>HIS Metrics - Max nesting level LEVEL: ip4_addr_isbroadcast_u32 5&gt;4</t>
  </si>
  <si>
    <t>HIS Metrics - Max nesting level LEVEL: ip4addr_aton 5&gt;4</t>
  </si>
  <si>
    <t>ip4addr_aton</t>
  </si>
  <si>
    <t>HIS Metrics - Cyclomatic v(G): ip4addr_aton 27&gt;10</t>
  </si>
  <si>
    <t>HIS Metrics - Number of paths PATH: ip4addr_aton 613.00006&gt;80</t>
  </si>
  <si>
    <t>HIS Metrics - Max nesting level LEVEL: ip_reass_tmr 7&gt;4</t>
  </si>
  <si>
    <t>HIS Metrics - Max nesting level LEVEL: ip_reass_free_complete_datagram 5&gt;4</t>
  </si>
  <si>
    <t>HIS Metrics - Max nesting level LEVEL: ip_reass_remove_oldest_datagram 6&gt;4</t>
  </si>
  <si>
    <t>HIS Metrics - Max nesting level LEVEL: ip_reass_enqueue_new_datagram 7&gt;4</t>
  </si>
  <si>
    <t>ip_reass_enqueue_new_datagram</t>
  </si>
  <si>
    <t>HIS Metrics - Max nesting level LEVEL: ip_reass_dequeue_datagram 5&gt;4</t>
  </si>
  <si>
    <t>HIS Metrics - Max nesting level LEVEL: ip_reass_chain_frag_into_datagram_and_validate 7&gt;4</t>
  </si>
  <si>
    <t>ip_reass_chain_frag_into_datagram_and_validate</t>
  </si>
  <si>
    <t>HIS Metrics - Max nesting level LEVEL: ip4_reass 7&gt;4</t>
  </si>
  <si>
    <t>HIS Metrics - Max nesting level LEVEL: ip4_frag 6&gt;4</t>
  </si>
  <si>
    <t>ip4_frag</t>
  </si>
  <si>
    <t>HIS Metrics - Cyclomatic v(G): ip_reass_tmr 13&gt;10</t>
  </si>
  <si>
    <t>HIS Metrics - Cyclomatic v(G): ip_reass_free_complete_datagram 19&gt;10</t>
  </si>
  <si>
    <t>HIS Metrics - Cyclomatic v(G): ip_reass_chain_frag_into_datagram_and_validate 41&gt;10</t>
  </si>
  <si>
    <t>HIS Metrics - Cyclomatic v(G): ip4_reass 61&gt;10</t>
  </si>
  <si>
    <t>HIS Metrics - Cyclomatic v(G): ip4_frag 22&gt;10</t>
  </si>
  <si>
    <t>HIS Metrics - Number of paths PATH: ip_reass_free_complete_datagram 2000.0011&gt;80</t>
  </si>
  <si>
    <t>HIS Metrics - Number of paths PATH: ip_reass_chain_frag_into_datagram_and_validate 72092.97656&gt;80</t>
  </si>
  <si>
    <t>HIS Metrics - Number of paths PATH: ip4_reass 27993580&gt;80</t>
  </si>
  <si>
    <t>HIS Metrics - Number of paths PATH: ip4_frag 2372.99976&gt;80</t>
  </si>
  <si>
    <t>HIS Metrics - Max nesting level LEVEL: IpcNotify_isr 6&gt;4</t>
  </si>
  <si>
    <t>HIS Metrics - Max nesting level LEVEL: IpcNotify_waitSync 5&gt;4</t>
  </si>
  <si>
    <t>IpcNotify_waitSync</t>
  </si>
  <si>
    <t>HIS Metrics - Number of paths PATH: IpcNotify_init 215.99991&gt;80</t>
  </si>
  <si>
    <t>IpcNotify_init</t>
  </si>
  <si>
    <t>/kwbuilds/release_area/mcu_plus_sdk/source/drivers/ipc_rpmsg/ipc_rpmsg.c</t>
  </si>
  <si>
    <t>HIS Metrics - Max nesting level LEVEL: RPMessage_getEndPtMsg 5&gt;4</t>
  </si>
  <si>
    <t>RPMessage_getEndPtMsg</t>
  </si>
  <si>
    <t>*default*, DRIVER_IPC_RPMSG</t>
  </si>
  <si>
    <t>HIS Metrics - Max nesting level LEVEL: RPMessage_recvHandler 7&gt;4</t>
  </si>
  <si>
    <t>RPMessage_recvHandler</t>
  </si>
  <si>
    <t>HIS Metrics - Max nesting level LEVEL: RPMessage_waitForLinuxReady 5&gt;4</t>
  </si>
  <si>
    <t>RPMessage_waitForLinuxReady</t>
  </si>
  <si>
    <t>HIS Metrics - Number of parameters PARAM: RPMessage_send 6&gt;5</t>
  </si>
  <si>
    <t>RPMessage_send</t>
  </si>
  <si>
    <t>HIS Metrics - Number of parameters PARAM: RPMessage_recv 6&gt;5</t>
  </si>
  <si>
    <t>RPMessage_recv</t>
  </si>
  <si>
    <t>HIS Metrics - Number of parameters PARAM: RPMessage_controlEndPtHandler 6&gt;5</t>
  </si>
  <si>
    <t>RPMessage_controlEndPtHandler</t>
  </si>
  <si>
    <t>/kwbuilds/release_area/mcu_plus_sdk/source/drivers/ipc_rpmsg/ipc_rpmsg_vring.c</t>
  </si>
  <si>
    <t>HIS Metrics - Number of parameters PARAM: RPMessage_vringResetInternal 9&gt;5</t>
  </si>
  <si>
    <t>RPMessage_vringResetInternal</t>
  </si>
  <si>
    <t>HIS Metrics - Cyclomatic v(G): Lwip2Enet_open 12&gt;10</t>
  </si>
  <si>
    <t>HIS Metrics - Number of paths PATH: Lwip2Enet_open 379.99982&gt;80</t>
  </si>
  <si>
    <t>HIS Metrics - Max nesting level LEVEL: Lwip2Enet_sendTxPackets 5&gt;4</t>
  </si>
  <si>
    <t>Lwip2Enet_sendTxPackets</t>
  </si>
  <si>
    <t>HIS Metrics - Max nesting level LEVEL: Lwip2Enet_prepRxPktQ 6&gt;4</t>
  </si>
  <si>
    <t>Lwip2Enet_prepRxPktQ</t>
  </si>
  <si>
    <t>HIS Metrics - Number of parameters PARAM: LWIPIF_LWIP_getUdpLiteChksum 6&gt;5</t>
  </si>
  <si>
    <t>LWIPIF_LWIP_getUdpLiteChksum</t>
  </si>
  <si>
    <t>HIS Metrics - Max nesting level LEVEL: LWIPIF_LWIP_input 6&gt;4</t>
  </si>
  <si>
    <t>LWIPIF_LWIP_input</t>
  </si>
  <si>
    <t>HIS Metrics - Cyclomatic v(G): LWIPIF_LWIP_input 12&gt;10</t>
  </si>
  <si>
    <t>HIS Metrics - Number of paths PATH: LWIPIF_LWIP_input 132.00002&gt;80</t>
  </si>
  <si>
    <t>HIS Metrics - Max nesting level LEVEL: lwiperf_list_remove 7&gt;4</t>
  </si>
  <si>
    <t>lwiperf_list_remove</t>
  </si>
  <si>
    <t>HIS Metrics - Max nesting level LEVEL: lwiperf_tcp_close 5&gt;4</t>
  </si>
  <si>
    <t>lwiperf_tcp_close</t>
  </si>
  <si>
    <t>HIS Metrics - Max nesting level LEVEL: lwiperf_tcp_client_send_more 5&gt;4</t>
  </si>
  <si>
    <t>HIS Metrics - Max nesting level LEVEL: lwiperf_tx_start_passive 5&gt;4</t>
  </si>
  <si>
    <t>HIS Metrics - Max nesting level LEVEL: lwiperf_tcp_recv 7&gt;4</t>
  </si>
  <si>
    <t>lwiperf_tcp_recv</t>
  </si>
  <si>
    <t>HIS Metrics - Max nesting level LEVEL: lwiperf_tcp_accept 5&gt;4</t>
  </si>
  <si>
    <t>lwiperf_tcp_accept</t>
  </si>
  <si>
    <t>HIS Metrics - Max nesting level LEVEL: lwiperf_start_tcp_client 5&gt;4</t>
  </si>
  <si>
    <t>HIS Metrics - Cyclomatic v(G): lwiperf_tcp_client_send_more 14&gt;10</t>
  </si>
  <si>
    <t>HIS Metrics - Cyclomatic v(G): lwiperf_tx_start_impl 13&gt;10</t>
  </si>
  <si>
    <t>HIS Metrics - Cyclomatic v(G): lwiperf_tcp_recv 25&gt;10</t>
  </si>
  <si>
    <t>HIS Metrics - Cyclomatic v(G): lwiperf_tcp_accept 22&gt;10</t>
  </si>
  <si>
    <t>HIS Metrics - Cyclomatic v(G): lwiperf_start_tcp_client 11&gt;10</t>
  </si>
  <si>
    <t>HIS Metrics - Number of paths PATH: lwiperf_tcp_client_send_more 204&gt;80</t>
  </si>
  <si>
    <t>HIS Metrics - Number of paths PATH: lwiperf_tx_start_impl 255.99988&gt;80</t>
  </si>
  <si>
    <t>HIS Metrics - Number of paths PATH: lwiperf_tcp_recv 723.99988&gt;80</t>
  </si>
  <si>
    <t>HIS Metrics - Number of paths PATH: lwiperf_tcp_accept 2305&gt;80</t>
  </si>
  <si>
    <t>HIS Metrics - Number of parameters PARAM: lwiperf_tx_start_impl 7&gt;5</t>
  </si>
  <si>
    <t>HIS Metrics - Number of parameters PARAM: lwiperf_start_tcp_server_impl 6&gt;5</t>
  </si>
  <si>
    <t>/kwbuilds/release_area/mcu_plus_sdk/source/networking/lwip/lwip-contrib/examples/lwiperf/lwiperf_example.c</t>
  </si>
  <si>
    <t>HIS Metrics - Number of parameters PARAM: lwiperf_report 9&gt;5</t>
  </si>
  <si>
    <t>lwiperf_report</t>
  </si>
  <si>
    <t>/kwbuilds/release_area/mcu_plus_sdk/source/drivers/mcan/v0/mcan.c</t>
  </si>
  <si>
    <t>HIS Metrics - Max nesting level LEVEL: MCAN_calcMsgRamParamsStartAddr 5&gt;4</t>
  </si>
  <si>
    <t>MCAN_calcMsgRamParamsStartAddr</t>
  </si>
  <si>
    <t>*default*, DRIVER_MCAN</t>
  </si>
  <si>
    <t>/kwbuilds/release_area/mcu_plus_sdk/source/drivers/mcspi/v0/dma/edma/mcspi_dma_edma.c</t>
  </si>
  <si>
    <t>HIS Metrics - Max nesting level LEVEL: MCSPI_edmaChInit 6&gt;4</t>
  </si>
  <si>
    <t>MCSPI_edmaChInit</t>
  </si>
  <si>
    <t>HIS Metrics - Max nesting level LEVEL: MCSPI_edmaClose 5&gt;4</t>
  </si>
  <si>
    <t>MCSPI_edmaClose</t>
  </si>
  <si>
    <t>HIS Metrics - Cyclomatic v(G): MCSPI_edmaClose 12&gt;10</t>
  </si>
  <si>
    <t>HIS Metrics - Number of paths PATH: MCSPI_edmaClose 166.00005&gt;80</t>
  </si>
  <si>
    <t>HIS Metrics - Cyclomatic v(G): MCSPI_open 15&gt;10</t>
  </si>
  <si>
    <t>HIS Metrics - Cyclomatic v(G): MCSPI_transfer 21&gt;10</t>
  </si>
  <si>
    <t>HIS Metrics - Cyclomatic v(G): MCSPI_continueTxRx 14&gt;10</t>
  </si>
  <si>
    <t>MCSPI_continueTxRx</t>
  </si>
  <si>
    <t>HIS Metrics - Number of paths PATH: MCSPI_open 2268.00098&gt;80</t>
  </si>
  <si>
    <t>HIS Metrics - Number of paths PATH: MCSPI_transfer 331.99994&gt;80</t>
  </si>
  <si>
    <t>HIS Metrics - Number of paths PATH: MCSPI_continueTxRx 109.00002&gt;80</t>
  </si>
  <si>
    <t>HIS Metrics - Max nesting level LEVEL: MCSPI_transfer 9&gt;4</t>
  </si>
  <si>
    <t>HIS Metrics - Max nesting level LEVEL: MCSPI_continueTxRx 6&gt;4</t>
  </si>
  <si>
    <t>HIS Metrics - Max nesting level LEVEL: MCSPI_checkTransaction 5&gt;4</t>
  </si>
  <si>
    <t>MCSPI_checkTransaction</t>
  </si>
  <si>
    <t>HIS Metrics - Max nesting level LEVEL: Mdio_open 6&gt;4</t>
  </si>
  <si>
    <t>Mdio_open</t>
  </si>
  <si>
    <t>HIS Metrics - Cyclomatic v(G): Mdio_open 18&gt;10</t>
  </si>
  <si>
    <t>HIS Metrics - Number of paths PATH: Mdio_open 2717.99829&gt;80</t>
  </si>
  <si>
    <t>HIS Metrics - Number of parameters PARAM: Mdio_readRegC45 6&gt;5</t>
  </si>
  <si>
    <t>Mdio_readRegC45</t>
  </si>
  <si>
    <t>HIS Metrics - Number of parameters PARAM: Mdio_readRegCompleteC45 6&gt;5</t>
  </si>
  <si>
    <t>Mdio_readRegCompleteC45</t>
  </si>
  <si>
    <t>HIS Metrics - Number of parameters PARAM: Mdio_writeRegC45 6&gt;5</t>
  </si>
  <si>
    <t>Mdio_writeRegC45</t>
  </si>
  <si>
    <t>HIS Metrics - Number of parameters PARAM: Mdio_writeRegTriggerC45 6&gt;5</t>
  </si>
  <si>
    <t>Mdio_writeRegTriggerC45</t>
  </si>
  <si>
    <t>HIS Metrics - Number of parameters PARAM: Mdio_writeRegCompleteC45 6&gt;5</t>
  </si>
  <si>
    <t>Mdio_writeRegCompleteC45</t>
  </si>
  <si>
    <t>HIS Metrics - Max nesting level LEVEL: Mdio_readRegCompleteC45 5&gt;4</t>
  </si>
  <si>
    <t>HIS Metrics - Number of paths PATH: Mdio_handleIntr 143.99994&gt;80</t>
  </si>
  <si>
    <t>Mdio_handleIntr</t>
  </si>
  <si>
    <t>HIS Metrics - Max nesting level LEVEL: mdns_readname_loop 5&gt;4</t>
  </si>
  <si>
    <t>mdns_readname_loop</t>
  </si>
  <si>
    <t>HIS Metrics - Max nesting level LEVEL: mdns_domain_debug_print 7&gt;4</t>
  </si>
  <si>
    <t>mdns_domain_debug_print</t>
  </si>
  <si>
    <t>HIS Metrics - Max nesting level LEVEL: mdns_build_reverse_v4_domain 5&gt;4</t>
  </si>
  <si>
    <t>mdns_build_reverse_v4_domain</t>
  </si>
  <si>
    <t>HIS Metrics - Max nesting level LEVEL: mdns_build_service_domain 5&gt;4</t>
  </si>
  <si>
    <t>mdns_build_service_domain</t>
  </si>
  <si>
    <t>HIS Metrics - Max nesting level LEVEL: mdns_write_domain 5&gt;4</t>
  </si>
  <si>
    <t>mdns_write_domain</t>
  </si>
  <si>
    <t>HIS Metrics - Max nesting level LEVEL: mdns_add_a_answer 5&gt;4</t>
  </si>
  <si>
    <t>mdns_add_a_answer</t>
  </si>
  <si>
    <t>HIS Metrics - Max nesting level LEVEL: mdns_add_hostv4_ptr_answer 5&gt;4</t>
  </si>
  <si>
    <t>mdns_add_hostv4_ptr_answer</t>
  </si>
  <si>
    <t>HIS Metrics - Max nesting level LEVEL: mdns_add_servicetype_ptr_answer 5&gt;4</t>
  </si>
  <si>
    <t>mdns_add_servicetype_ptr_answer</t>
  </si>
  <si>
    <t>HIS Metrics - Max nesting level LEVEL: mdns_add_servicename_ptr_answer 5&gt;4</t>
  </si>
  <si>
    <t>mdns_add_servicename_ptr_answer</t>
  </si>
  <si>
    <t>HIS Metrics - Max nesting level LEVEL: mdns_add_srv_answer 5&gt;4</t>
  </si>
  <si>
    <t>mdns_add_srv_answer</t>
  </si>
  <si>
    <t>HIS Metrics - Max nesting level LEVEL: mdns_add_txt_answer 5&gt;4</t>
  </si>
  <si>
    <t>mdns_add_txt_answer</t>
  </si>
  <si>
    <t>HIS Metrics - Max nesting level LEVEL: mdns_send_outpacket 6&gt;4</t>
  </si>
  <si>
    <t>HIS Metrics - Max nesting level LEVEL: mdns_handle_question 13&gt;4</t>
  </si>
  <si>
    <t>HIS Metrics - Max nesting level LEVEL: mdns_handle_response 9&gt;4</t>
  </si>
  <si>
    <t>HIS Metrics - Max nesting level LEVEL: mdns_recv 5&gt;4</t>
  </si>
  <si>
    <t>HIS Metrics - Cyclomatic v(G): mdns_domain_debug_print 13&gt;10</t>
  </si>
  <si>
    <t>HIS Metrics - Cyclomatic v(G): mdns_build_reverse_v4_domain 15&gt;10</t>
  </si>
  <si>
    <t>HIS Metrics - Cyclomatic v(G): mdns_build_service_domain 11&gt;10</t>
  </si>
  <si>
    <t>HIS Metrics - Cyclomatic v(G): mdns_write_domain 11&gt;10</t>
  </si>
  <si>
    <t>HIS Metrics - Cyclomatic v(G): mdns_add_answer 11&gt;10</t>
  </si>
  <si>
    <t>mdns_add_answer</t>
  </si>
  <si>
    <t>HIS Metrics - Cyclomatic v(G): mdns_send_outpacket 35&gt;10</t>
  </si>
  <si>
    <t>HIS Metrics - Cyclomatic v(G): mdns_handle_question 97&gt;10</t>
  </si>
  <si>
    <t>HIS Metrics - Cyclomatic v(G): mdns_handle_response 42&gt;10</t>
  </si>
  <si>
    <t>HIS Metrics - Cyclomatic v(G): mdns_recv 13&gt;10</t>
  </si>
  <si>
    <t>HIS Metrics - Cyclomatic v(G): mdns_resp_add_netif 15&gt;10</t>
  </si>
  <si>
    <t>mdns_resp_add_netif</t>
  </si>
  <si>
    <t>HIS Metrics - Cyclomatic v(G): mdns_resp_rename_netif 11&gt;10</t>
  </si>
  <si>
    <t>mdns_resp_rename_netif</t>
  </si>
  <si>
    <t>HIS Metrics - Cyclomatic v(G): mdns_resp_add_service 26&gt;10</t>
  </si>
  <si>
    <t>HIS Metrics - Cyclomatic v(G): mdns_resp_del_service 13&gt;10</t>
  </si>
  <si>
    <t>mdns_resp_del_service</t>
  </si>
  <si>
    <t>HIS Metrics - Cyclomatic v(G): mdns_resp_rename_service 17&gt;10</t>
  </si>
  <si>
    <t>mdns_resp_rename_service</t>
  </si>
  <si>
    <t>HIS Metrics - Number of paths PATH: mdns_send_outpacket 4141369&gt;80</t>
  </si>
  <si>
    <t>HIS Metrics - Number of paths PATH: mdns_handle_question 2147482752&gt;80</t>
  </si>
  <si>
    <t>HIS Metrics - Number of paths PATH: mdns_handle_response 38169.98438&gt;80</t>
  </si>
  <si>
    <t>HIS Metrics - Number of paths PATH: mdns_recv 384.00018&gt;80</t>
  </si>
  <si>
    <t>HIS Metrics - Number of paths PATH: mdns_send_probe 96&gt;80</t>
  </si>
  <si>
    <t>HIS Metrics - Number of paths PATH: mdns_resp_add_netif 102&gt;80</t>
  </si>
  <si>
    <t>HIS Metrics - Number of paths PATH: mdns_resp_add_service 2040.00012&gt;80</t>
  </si>
  <si>
    <t>HIS Metrics - Number of paths PATH: mdns_resp_del_service 88.00001&gt;80</t>
  </si>
  <si>
    <t>HIS Metrics - Number of paths PATH: mdns_resp_rename_service 184&gt;80</t>
  </si>
  <si>
    <t>HIS Metrics - Number of parameters PARAM: mdns_add_answer 9&gt;5</t>
  </si>
  <si>
    <t>HIS Metrics - Number of parameters PARAM: mdns_resp_add_service 8&gt;5</t>
  </si>
  <si>
    <t>HIS Metrics - Max nesting level LEVEL: mem_malloc 5&gt;4</t>
  </si>
  <si>
    <t>mem_malloc</t>
  </si>
  <si>
    <t>HIS Metrics - Max nesting level LEVEL: mem_calloc 6&gt;4</t>
  </si>
  <si>
    <t>mem_calloc</t>
  </si>
  <si>
    <t>HIS Metrics - Cyclomatic v(G): mem_malloc 13&gt;10</t>
  </si>
  <si>
    <t>HIS Metrics - Cyclomatic v(G): mem_free 17&gt;10</t>
  </si>
  <si>
    <t>HIS Metrics - Number of paths PATH: mem_free 2048&gt;80</t>
  </si>
  <si>
    <t>/kwbuilds/release_area/mcu_plus_sdk/source/networking/lwip/lwip-stack/src/core/memp.c</t>
  </si>
  <si>
    <t>HIS Metrics - Max nesting level LEVEL: do_memp_malloc_pool 6&gt;4</t>
  </si>
  <si>
    <t>do_memp_malloc_pool</t>
  </si>
  <si>
    <t>HIS Metrics - Cyclomatic v(G): do_memp_malloc_pool 11&gt;10</t>
  </si>
  <si>
    <t>HIS Metrics - Max nesting level LEVEL: MMCSD_open 5&gt;4</t>
  </si>
  <si>
    <t>MMCSD_open</t>
  </si>
  <si>
    <t>HIS Metrics - Max nesting level LEVEL: MMCSD_initSD 11&gt;4</t>
  </si>
  <si>
    <t>HIS Metrics - Max nesting level LEVEL: MMCSD_initEMMC 8&gt;4</t>
  </si>
  <si>
    <t>HIS Metrics - Max nesting level LEVEL: MMCSD_transfer 8&gt;4</t>
  </si>
  <si>
    <t>HIS Metrics - Max nesting level LEVEL: MMCSD_xferStatusFxn 7&gt;4</t>
  </si>
  <si>
    <t>MMCSD_xferStatusFxn</t>
  </si>
  <si>
    <t>HIS Metrics - Max nesting level LEVEL: MMCSD_xferStatusFxn_CMD19 7&gt;4</t>
  </si>
  <si>
    <t>MMCSD_xferStatusFxn_CMD19</t>
  </si>
  <si>
    <t>HIS Metrics - Max nesting level LEVEL: MMCSD_switchCardCurrLimit 6&gt;4</t>
  </si>
  <si>
    <t>MMCSD_switchCardCurrLimit</t>
  </si>
  <si>
    <t>HIS Metrics - Max nesting level LEVEL: MMCSD_switchCardSpeed 9&gt;4</t>
  </si>
  <si>
    <t>MMCSD_switchCardSpeed</t>
  </si>
  <si>
    <t>HIS Metrics - Max nesting level LEVEL: MMCSD_setBusFreq 5&gt;4</t>
  </si>
  <si>
    <t>HIS Metrics - Cyclomatic v(G): MMCSD_open 12&gt;10</t>
  </si>
  <si>
    <t>HIS Metrics - Cyclomatic v(G): MMCSD_initSD 66&gt;10</t>
  </si>
  <si>
    <t>HIS Metrics - Cyclomatic v(G): MMCSD_initEMMC 38&gt;10</t>
  </si>
  <si>
    <t>HIS Metrics - Cyclomatic v(G): MMCSD_transfer 36&gt;10</t>
  </si>
  <si>
    <t>HIS Metrics - Cyclomatic v(G): MMCSD_xferStatusFxn 15&gt;10</t>
  </si>
  <si>
    <t>HIS Metrics - Cyclomatic v(G): MMCSD_switchCardSpeed 18&gt;10</t>
  </si>
  <si>
    <t>HIS Metrics - Number of paths PATH: MMCSD_open 324.00018&gt;80</t>
  </si>
  <si>
    <t>HIS Metrics - Number of paths PATH: MMCSD_initSD 2147482752&gt;80</t>
  </si>
  <si>
    <t>HIS Metrics - Number of paths PATH: MMCSD_initEMMC 72253384&gt;80</t>
  </si>
  <si>
    <t>HIS Metrics - Number of paths PATH: MMCSD_transfer 678913.75&gt;80</t>
  </si>
  <si>
    <t>HIS Metrics - Number of paths PATH: MMCSD_xferStatusFxn 227.00003&gt;80</t>
  </si>
  <si>
    <t>HIS Metrics - Number of paths PATH: MMCSD_switchCardSpeed 441.00006&gt;80</t>
  </si>
  <si>
    <t>HIS Metrics - Max nesting level LEVEL: mqtt_output_send 6&gt;4</t>
  </si>
  <si>
    <t>mqtt_output_send</t>
  </si>
  <si>
    <t>HIS Metrics - Max nesting level LEVEL: mqtt_close 7&gt;4</t>
  </si>
  <si>
    <t>HIS Metrics - Max nesting level LEVEL: mqtt_cyclic_timer 10&gt;4</t>
  </si>
  <si>
    <t>HIS Metrics - Max nesting level LEVEL: pub_ack_rec_rel_response 6&gt;4</t>
  </si>
  <si>
    <t>pub_ack_rec_rel_response</t>
  </si>
  <si>
    <t>HIS Metrics - Max nesting level LEVEL: mqtt_message_received 14&gt;4</t>
  </si>
  <si>
    <t>mqtt_message_received</t>
  </si>
  <si>
    <t>HIS Metrics - Max nesting level LEVEL: mqtt_parse_incoming 9&gt;4</t>
  </si>
  <si>
    <t>mqtt_parse_incoming</t>
  </si>
  <si>
    <t>HIS Metrics - Max nesting level LEVEL: mqtt_tcp_recv_cb 7&gt;4</t>
  </si>
  <si>
    <t>HIS Metrics - Max nesting level LEVEL: mqtt_tcp_sent_cb 7&gt;4</t>
  </si>
  <si>
    <t>mqtt_tcp_sent_cb</t>
  </si>
  <si>
    <t>HIS Metrics - Max nesting level LEVEL: mqtt_tcp_err_cb 5&gt;4</t>
  </si>
  <si>
    <t>HIS Metrics - Max nesting level LEVEL: mqtt_tcp_connect_cb 6&gt;4</t>
  </si>
  <si>
    <t>mqtt_tcp_connect_cb</t>
  </si>
  <si>
    <t>HIS Metrics - Max nesting level LEVEL: mqtt_publish 5&gt;4</t>
  </si>
  <si>
    <t>mqtt_publish</t>
  </si>
  <si>
    <t>HIS Metrics - Max nesting level LEVEL: mqtt_sub_unsub 6&gt;4</t>
  </si>
  <si>
    <t>mqtt_sub_unsub</t>
  </si>
  <si>
    <t>HIS Metrics - Max nesting level LEVEL: mqtt_client_connect 6&gt;4</t>
  </si>
  <si>
    <t>HIS Metrics - Cyclomatic v(G): mqtt_output_send 23&gt;10</t>
  </si>
  <si>
    <t>HIS Metrics - Cyclomatic v(G): mqtt_close 13&gt;10</t>
  </si>
  <si>
    <t>HIS Metrics - Cyclomatic v(G): mqtt_cyclic_timer 32&gt;10</t>
  </si>
  <si>
    <t>HIS Metrics - Cyclomatic v(G): mqtt_message_received 129&gt;10</t>
  </si>
  <si>
    <t>HIS Metrics - Cyclomatic v(G): mqtt_parse_incoming 22&gt;10</t>
  </si>
  <si>
    <t>HIS Metrics - Cyclomatic v(G): mqtt_tcp_recv_cb 21&gt;10</t>
  </si>
  <si>
    <t>HIS Metrics - Cyclomatic v(G): mqtt_tcp_connect_cb 12&gt;10</t>
  </si>
  <si>
    <t>HIS Metrics - Cyclomatic v(G): mqtt_publish 26&gt;10</t>
  </si>
  <si>
    <t>HIS Metrics - Cyclomatic v(G): mqtt_sub_unsub 32&gt;10</t>
  </si>
  <si>
    <t>HIS Metrics - Cyclomatic v(G): mqtt_client_connect 82&gt;10</t>
  </si>
  <si>
    <t>HIS Metrics - Number of paths PATH: mqtt_output_send 1156&gt;80</t>
  </si>
  <si>
    <t>HIS Metrics - Number of paths PATH: mqtt_close 120.00001&gt;80</t>
  </si>
  <si>
    <t>HIS Metrics - Number of paths PATH: mqtt_cyclic_timer 1368&gt;80</t>
  </si>
  <si>
    <t>HIS Metrics - Number of paths PATH: mqtt_message_received 306107776&gt;80</t>
  </si>
  <si>
    <t>HIS Metrics - Number of paths PATH: mqtt_parse_incoming 100.99994&gt;80</t>
  </si>
  <si>
    <t>HIS Metrics - Number of paths PATH: mqtt_tcp_recv_cb 320&gt;80</t>
  </si>
  <si>
    <t>HIS Metrics - Number of paths PATH: mqtt_publish 12640.00488&gt;80</t>
  </si>
  <si>
    <t>HIS Metrics - Number of paths PATH: mqtt_sub_unsub 6751.99707&gt;80</t>
  </si>
  <si>
    <t>HIS Metrics - Number of paths PATH: mqtt_client_connect 2147482752&gt;80</t>
  </si>
  <si>
    <t>HIS Metrics - Number of parameters PARAM: mqtt_output_append_fixed_header 6&gt;5</t>
  </si>
  <si>
    <t>mqtt_output_append_fixed_header</t>
  </si>
  <si>
    <t>HIS Metrics - Number of parameters PARAM: mqtt_publish 8&gt;5</t>
  </si>
  <si>
    <t>HIS Metrics - Number of parameters PARAM: mqtt_sub_unsub 6&gt;5</t>
  </si>
  <si>
    <t>HIS Metrics - Number of parameters PARAM: mqtt_client_connect 6&gt;5</t>
  </si>
  <si>
    <t>/kwbuilds/release_area/mcu_plus_sdk/source/networking/lwip/lwip-stack/src/apps/netbiosns/netbiosns.c</t>
  </si>
  <si>
    <t>HIS Metrics - Max nesting level LEVEL: netbiosns_recv 8&gt;4</t>
  </si>
  <si>
    <t>netbiosns_recv</t>
  </si>
  <si>
    <t>HIS Metrics - Cyclomatic v(G): netbiosns_recv 11&gt;10</t>
  </si>
  <si>
    <t>/kwbuilds/release_area/mcu_plus_sdk/source/networking/lwip/lwip-stack/src/api/netbuf.c</t>
  </si>
  <si>
    <t>HIS Metrics - Cyclomatic v(G): netbuf_data 11&gt;10</t>
  </si>
  <si>
    <t>netbuf_data</t>
  </si>
  <si>
    <t>HIS Metrics - Max nesting level LEVEL: lwip_gethostbyname 6&gt;4</t>
  </si>
  <si>
    <t>lwip_gethostbyname</t>
  </si>
  <si>
    <t>HIS Metrics - Max nesting level LEVEL: lwip_gethostbyname_r 6&gt;4</t>
  </si>
  <si>
    <t>lwip_gethostbyname_r</t>
  </si>
  <si>
    <t>HIS Metrics - Number of parameters PARAM: lwip_gethostbyname_r 6&gt;5</t>
  </si>
  <si>
    <t>HIS Metrics - Cyclomatic v(G): lwip_gethostbyname_r 11&gt;10</t>
  </si>
  <si>
    <t>HIS Metrics - Cyclomatic v(G): lwip_getaddrinfo 24&gt;10</t>
  </si>
  <si>
    <t>HIS Metrics - Number of paths PATH: lwip_getaddrinfo 2909.00098&gt;80</t>
  </si>
  <si>
    <t>HIS Metrics - Max nesting level LEVEL: netif_add 6&gt;4</t>
  </si>
  <si>
    <t>netif_add</t>
  </si>
  <si>
    <t>HIS Metrics - Max nesting level LEVEL: netif_do_set_ipaddr 6&gt;4</t>
  </si>
  <si>
    <t>HIS Metrics - Max nesting level LEVEL: netif_do_set_netmask 6&gt;4</t>
  </si>
  <si>
    <t>HIS Metrics - Max nesting level LEVEL: netif_do_set_gw 6&gt;4</t>
  </si>
  <si>
    <t>HIS Metrics - Max nesting level LEVEL: netif_remove 5&gt;4</t>
  </si>
  <si>
    <t>netif_remove</t>
  </si>
  <si>
    <t>HIS Metrics - Max nesting level LEVEL: netif_set_default 5&gt;4</t>
  </si>
  <si>
    <t>HIS Metrics - Max nesting level LEVEL: netif_find 7&gt;4</t>
  </si>
  <si>
    <t>netif_find</t>
  </si>
  <si>
    <t>HIS Metrics - Max nesting level LEVEL: netif_remove_ext_callback 7&gt;4</t>
  </si>
  <si>
    <t>netif_remove_ext_callback</t>
  </si>
  <si>
    <t>HIS Metrics - Cyclomatic v(G): netif_add 76&gt;10</t>
  </si>
  <si>
    <t>HIS Metrics - Cyclomatic v(G): netif_do_set_ipaddr 16&gt;10</t>
  </si>
  <si>
    <t>HIS Metrics - Cyclomatic v(G): netif_do_set_netmask 11&gt;10</t>
  </si>
  <si>
    <t>HIS Metrics - Cyclomatic v(G): netif_do_set_gw 11&gt;10</t>
  </si>
  <si>
    <t>HIS Metrics - Cyclomatic v(G): netif_set_addr 11&gt;10</t>
  </si>
  <si>
    <t>netif_set_addr</t>
  </si>
  <si>
    <t>HIS Metrics - Cyclomatic v(G): netif_remove 17&gt;10</t>
  </si>
  <si>
    <t>HIS Metrics - Cyclomatic v(G): netif_find 14&gt;10</t>
  </si>
  <si>
    <t>HIS Metrics - Cyclomatic v(G): netif_remove_ext_callback 11&gt;10</t>
  </si>
  <si>
    <t>HIS Metrics - Number of paths PATH: netif_add 2147482752&gt;80</t>
  </si>
  <si>
    <t>HIS Metrics - Number of paths PATH: netif_do_set_ipaddr 400.00021&gt;80</t>
  </si>
  <si>
    <t>HIS Metrics - Number of paths PATH: netif_set_addr 576.00031&gt;80</t>
  </si>
  <si>
    <t>HIS Metrics - Number of paths PATH: netif_remove 1073&gt;80</t>
  </si>
  <si>
    <t>HIS Metrics - Number of parameters PARAM: netif_add 7&gt;5</t>
  </si>
  <si>
    <t>/kwbuilds/release_area/mcu_plus_sdk/source/networking/lwip/lwip-stack/src/api/netifapi.c</t>
  </si>
  <si>
    <t>HIS Metrics - Number of parameters PARAM: netifapi_netif_add 7&gt;5</t>
  </si>
  <si>
    <t>netifapi_netif_add</t>
  </si>
  <si>
    <t>/kwbuilds/release_area/mcu_plus_sdk/source/board/flash/sfdp/nor_spi_sfdp.c</t>
  </si>
  <si>
    <t>HIS Metrics - Max nesting level LEVEL: NorSpi_Sfdp_parseBfpt 5&gt;4</t>
  </si>
  <si>
    <t>NorSpi_Sfdp_parseBfpt</t>
  </si>
  <si>
    <t>HIS Metrics - Cyclomatic v(G): NorSpi_Sfdp_parseBfpt 18&gt;10</t>
  </si>
  <si>
    <t>HIS Metrics - Cyclomatic v(G): NorSpi_Sfdp_parseSccr 30&gt;10</t>
  </si>
  <si>
    <t>NorSpi_Sfdp_parseSccr</t>
  </si>
  <si>
    <t>HIS Metrics - Number of paths PATH: NorSpi_Sfdp_parseBfpt 7235.99854&gt;80</t>
  </si>
  <si>
    <t>HIS Metrics - Number of paths PATH: NorSpi_Sfdp_parseSccr 1025999.625&gt;80</t>
  </si>
  <si>
    <t>HIS Metrics - Number of paths PATH: NorSpi_Sfdp_parse4bait 96&gt;80</t>
  </si>
  <si>
    <t>NorSpi_Sfdp_parse4bait</t>
  </si>
  <si>
    <t>HIS Metrics - Max nesting level LEVEL: pbuf_free_ooseq 7&gt;4</t>
  </si>
  <si>
    <t>pbuf_free_ooseq</t>
  </si>
  <si>
    <t>HIS Metrics - Max nesting level LEVEL: pbuf_alloc 6&gt;4</t>
  </si>
  <si>
    <t>HIS Metrics - Max nesting level LEVEL: pbuf_alloc_reference 6&gt;4</t>
  </si>
  <si>
    <t>HIS Metrics - Max nesting level LEVEL: pbuf_alloced_custom 6&gt;4</t>
  </si>
  <si>
    <t>pbuf_alloced_custom</t>
  </si>
  <si>
    <t>HIS Metrics - Max nesting level LEVEL: pbuf_realloc 5&gt;4</t>
  </si>
  <si>
    <t>HIS Metrics - Max nesting level LEVEL: pbuf_add_header_impl 7&gt;4</t>
  </si>
  <si>
    <t>pbuf_add_header_impl</t>
  </si>
  <si>
    <t>HIS Metrics - Max nesting level LEVEL: pbuf_remove_header 5&gt;4</t>
  </si>
  <si>
    <t>pbuf_remove_header</t>
  </si>
  <si>
    <t>HIS Metrics - Max nesting level LEVEL: pbuf_free 11&gt;4</t>
  </si>
  <si>
    <t>HIS Metrics - Max nesting level LEVEL: pbuf_ref 5&gt;4</t>
  </si>
  <si>
    <t>pbuf_ref</t>
  </si>
  <si>
    <t>HIS Metrics - Max nesting level LEVEL: pbuf_chain 5&gt;4</t>
  </si>
  <si>
    <t>pbuf_chain</t>
  </si>
  <si>
    <t>HIS Metrics - Max nesting level LEVEL: pbuf_dechain 7&gt;4</t>
  </si>
  <si>
    <t>pbuf_dechain</t>
  </si>
  <si>
    <t>HIS Metrics - Max nesting level LEVEL: pbuf_copy 6&gt;4</t>
  </si>
  <si>
    <t>pbuf_copy</t>
  </si>
  <si>
    <t>HIS Metrics - Max nesting level LEVEL: pbuf_take 5&gt;4</t>
  </si>
  <si>
    <t>HIS Metrics - Max nesting level LEVEL: pbuf_take_at 5&gt;4</t>
  </si>
  <si>
    <t>pbuf_take_at</t>
  </si>
  <si>
    <t>HIS Metrics - Number of parameters PARAM: pbuf_init_alloced_pbuf 6&gt;5</t>
  </si>
  <si>
    <t>pbuf_init_alloced_pbuf</t>
  </si>
  <si>
    <t>HIS Metrics - Number of parameters PARAM: pbuf_alloced_custom 6&gt;5</t>
  </si>
  <si>
    <t>HIS Metrics - Cyclomatic v(G): pbuf_alloc 33&gt;10</t>
  </si>
  <si>
    <t>HIS Metrics - Cyclomatic v(G): pbuf_alloc_reference 11&gt;10</t>
  </si>
  <si>
    <t>HIS Metrics - Cyclomatic v(G): pbuf_alloced_custom 13&gt;10</t>
  </si>
  <si>
    <t>HIS Metrics - Cyclomatic v(G): pbuf_realloc 14&gt;10</t>
  </si>
  <si>
    <t>HIS Metrics - Cyclomatic v(G): pbuf_add_header_impl 20&gt;10</t>
  </si>
  <si>
    <t>HIS Metrics - Cyclomatic v(G): pbuf_remove_header 14&gt;10</t>
  </si>
  <si>
    <t>HIS Metrics - Cyclomatic v(G): pbuf_free 40&gt;10</t>
  </si>
  <si>
    <t>HIS Metrics - Cyclomatic v(G): pbuf_cat 11&gt;10</t>
  </si>
  <si>
    <t>pbuf_cat</t>
  </si>
  <si>
    <t>HIS Metrics - Cyclomatic v(G): pbuf_dechain 20&gt;10</t>
  </si>
  <si>
    <t>HIS Metrics - Cyclomatic v(G): pbuf_copy 35&gt;10</t>
  </si>
  <si>
    <t>HIS Metrics - Cyclomatic v(G): pbuf_get_contiguous 13&gt;10</t>
  </si>
  <si>
    <t>pbuf_get_contiguous</t>
  </si>
  <si>
    <t>HIS Metrics - Cyclomatic v(G): pbuf_take 19&gt;10</t>
  </si>
  <si>
    <t>HIS Metrics - Number of paths PATH: pbuf_alloc 2496.00049&gt;80</t>
  </si>
  <si>
    <t>HIS Metrics - Number of paths PATH: pbuf_alloced_custom 80.00004&gt;80</t>
  </si>
  <si>
    <t>HIS Metrics - Number of paths PATH: pbuf_realloc 204&gt;80</t>
  </si>
  <si>
    <t>HIS Metrics - Number of paths PATH: pbuf_add_header_impl 112.00004&gt;80</t>
  </si>
  <si>
    <t>HIS Metrics - Number of paths PATH: pbuf_remove_header 80.00004&gt;80</t>
  </si>
  <si>
    <t>HIS Metrics - Number of paths PATH: pbuf_free 3112.00098&gt;80</t>
  </si>
  <si>
    <t>HIS Metrics - Number of paths PATH: pbuf_dechain 1156&gt;80</t>
  </si>
  <si>
    <t>HIS Metrics - Number of paths PATH: pbuf_copy 247951.89063&gt;80</t>
  </si>
  <si>
    <t>HIS Metrics - Number of paths PATH: pbuf_take 309.99985&gt;80</t>
  </si>
  <si>
    <t>HIS Metrics - Max nesting level LEVEL: ping_recv 9&gt;4</t>
  </si>
  <si>
    <t>HIS Metrics - Max nesting level LEVEL: ping_thread 8&gt;4</t>
  </si>
  <si>
    <t>ping_thread</t>
  </si>
  <si>
    <t>HIS Metrics - Max nesting level LEVEL: ping_recv 7&gt;4</t>
  </si>
  <si>
    <t>HIS Metrics - Max nesting level LEVEL: ping_send 5&gt;4</t>
  </si>
  <si>
    <t>ping_send</t>
  </si>
  <si>
    <t>HIS Metrics - Cyclomatic v(G): ping_recv 32&gt;10</t>
  </si>
  <si>
    <t>HIS Metrics - Cyclomatic v(G): ping_thread 45&gt;10</t>
  </si>
  <si>
    <t>HIS Metrics - Cyclomatic v(G): ping_recv 25&gt;10</t>
  </si>
  <si>
    <t>HIS Metrics - Cyclomatic v(G): ping_send 25&gt;10</t>
  </si>
  <si>
    <t>HIS Metrics - Number of paths PATH: ping_recv 83986.01563&gt;80</t>
  </si>
  <si>
    <t>HIS Metrics - Number of paths PATH: ping_thread 4100.99902&gt;80</t>
  </si>
  <si>
    <t>HIS Metrics - Number of paths PATH: ping_recv 2056.00098&gt;80</t>
  </si>
  <si>
    <t>HIS Metrics - Number of paths PATH: ping_send 6144.00049&gt;80</t>
  </si>
  <si>
    <t>HIS Metrics - Max nesting level LEVEL: PKA_RSAPrivate 8&gt;4</t>
  </si>
  <si>
    <t>HIS Metrics - Max nesting level LEVEL: PKA_RSAPublic 8&gt;4</t>
  </si>
  <si>
    <t>HIS Metrics - Max nesting level LEVEL: PKA_ECDSASign 5&gt;4</t>
  </si>
  <si>
    <t>HIS Metrics - Max nesting level LEVEL: PKA_ECDSAVerify 5&gt;4</t>
  </si>
  <si>
    <t>HIS Metrics - Max nesting level LEVEL: PKA_loadFirmware 5&gt;4</t>
  </si>
  <si>
    <t>PKA_loadFirmware</t>
  </si>
  <si>
    <t>HIS Metrics - Cyclomatic v(G): PKA_RSAPrivate 14&gt;10</t>
  </si>
  <si>
    <t>HIS Metrics - Cyclomatic v(G): PKA_RSAPublic 16&gt;10</t>
  </si>
  <si>
    <t>HIS Metrics - Number of paths PATH: PKA_RSAPrivate 410.99985&gt;80</t>
  </si>
  <si>
    <t>HIS Metrics - Number of paths PATH: PKA_RSAPublic 1731.00122&gt;80</t>
  </si>
  <si>
    <t>HIS Metrics - Number of parameters PARAM: PKA_ECDSASign 6&gt;5</t>
  </si>
  <si>
    <t>HIS Metrics - Number of parameters PARAM: _out_rev 8&gt;5</t>
  </si>
  <si>
    <t>_out_rev</t>
  </si>
  <si>
    <t>HIS Metrics - Number of parameters PARAM: _ntoa_format 11&gt;5</t>
  </si>
  <si>
    <t>_ntoa_format</t>
  </si>
  <si>
    <t>HIS Metrics - Number of parameters PARAM: _ntoa_long 10&gt;5</t>
  </si>
  <si>
    <t>_ntoa_long</t>
  </si>
  <si>
    <t>HIS Metrics - Number of parameters PARAM: _ntoa_long_long 10&gt;5</t>
  </si>
  <si>
    <t>_ntoa_long_long</t>
  </si>
  <si>
    <t>HIS Metrics - Number of parameters PARAM: _ftoa 8&gt;5</t>
  </si>
  <si>
    <t>HIS Metrics - Number of parameters PARAM: _etoa 8&gt;5</t>
  </si>
  <si>
    <t>_etoa</t>
  </si>
  <si>
    <t>HIS Metrics - Max nesting level LEVEL: _ntoa_format 5&gt;4</t>
  </si>
  <si>
    <t>HIS Metrics - Max nesting level LEVEL: _ftoa 5&gt;4</t>
  </si>
  <si>
    <t>HIS Metrics - Max nesting level LEVEL: _vsnprintf 6&gt;4</t>
  </si>
  <si>
    <t>HIS Metrics - Cyclomatic v(G): _ntoa_format 16&gt;10</t>
  </si>
  <si>
    <t>HIS Metrics - Cyclomatic v(G): _ftoa 29&gt;10</t>
  </si>
  <si>
    <t>HIS Metrics - Cyclomatic v(G): _etoa 19&gt;10</t>
  </si>
  <si>
    <t>HIS Metrics - Cyclomatic v(G): _vsnprintf 69&gt;10</t>
  </si>
  <si>
    <t>HIS Metrics - Number of paths PATH: _ntoa_format 1124.99963&gt;80</t>
  </si>
  <si>
    <t>HIS Metrics - Number of paths PATH: _ftoa 42004.00391&gt;80</t>
  </si>
  <si>
    <t>HIS Metrics - Number of paths PATH: _etoa 1280.99963&gt;80</t>
  </si>
  <si>
    <t>HIS Metrics - Number of paths PATH: _vsnprintf 442628.1875&gt;80</t>
  </si>
  <si>
    <t>HIS Metrics - Max nesting level LEVEL: PRUICSS_intcInit 5&gt;4</t>
  </si>
  <si>
    <t>PRUICSS_intcInit</t>
  </si>
  <si>
    <t>HIS Metrics - Cyclomatic v(G): PRUICSS_intcInit 11&gt;10</t>
  </si>
  <si>
    <t>HIS Metrics - Cyclomatic v(G): PRUICSS_setConstantTblEntry 13&gt;10</t>
  </si>
  <si>
    <t>PRUICSS_setConstantTblEntry</t>
  </si>
  <si>
    <t>HIS Metrics - Number of paths PATH: PRUICSS_intcInit 260.00006&gt;80</t>
  </si>
  <si>
    <t>HIS Metrics - Number of parameters PARAM: PRUICSS_registerIrqHandler 6&gt;5</t>
  </si>
  <si>
    <t>HIS Metrics - Number of paths PATH: QSPI_open 180.00002&gt;80</t>
  </si>
  <si>
    <t>QSPI_open</t>
  </si>
  <si>
    <t>HIS Metrics - Max nesting level LEVEL: QSPI_writeData 5&gt;4</t>
  </si>
  <si>
    <t>QSPI_writeData</t>
  </si>
  <si>
    <t>HIS Metrics - Max nesting level LEVEL: QSPI_readData 5&gt;4</t>
  </si>
  <si>
    <t>QSPI_readData</t>
  </si>
  <si>
    <t>/kwbuilds/release_area/mcu_plus_sdk/source/drivers/qspi/v0/edma/qspi_edma.c</t>
  </si>
  <si>
    <t>HIS Metrics - Max nesting level LEVEL: QSPI_edmaChannelConfig 7&gt;4</t>
  </si>
  <si>
    <t>QSPI_edmaChannelConfig</t>
  </si>
  <si>
    <t>HIS Metrics - Max nesting level LEVEL: xQueueGenericSend 5&gt;4</t>
  </si>
  <si>
    <t>HIS Metrics - Max nesting level LEVEL: xQueueGenericSendFromISR 6&gt;4</t>
  </si>
  <si>
    <t>HIS Metrics - Max nesting level LEVEL: xQueueGiveFromISR 6&gt;4</t>
  </si>
  <si>
    <t>xQueueGiveFromISR</t>
  </si>
  <si>
    <t>HIS Metrics - Max nesting level LEVEL: xQueueReceive 5&gt;4</t>
  </si>
  <si>
    <t>HIS Metrics - Max nesting level LEVEL: xQueueSemaphoreTake 5&gt;4</t>
  </si>
  <si>
    <t>xQueueSemaphoreTake</t>
  </si>
  <si>
    <t>HIS Metrics - Max nesting level LEVEL: xQueuePeek 5&gt;4</t>
  </si>
  <si>
    <t>HIS Metrics - Max nesting level LEVEL: xQueueReceiveFromISR 6&gt;4</t>
  </si>
  <si>
    <t>HIS Metrics - Cyclomatic v(G): xQueueGenericSend 14&gt;10</t>
  </si>
  <si>
    <t>HIS Metrics - Cyclomatic v(G): xQueueReceive 14&gt;10</t>
  </si>
  <si>
    <t>HIS Metrics - Cyclomatic v(G): xQueueSemaphoreTake 17&gt;10</t>
  </si>
  <si>
    <t>HIS Metrics - Cyclomatic v(G): xQueuePeek 14&gt;10</t>
  </si>
  <si>
    <t>HIS Metrics - Max nesting level LEVEL: raw_input 8&gt;4</t>
  </si>
  <si>
    <t>HIS Metrics - Max nesting level LEVEL: raw_sendto 6&gt;4</t>
  </si>
  <si>
    <t>HIS Metrics - Max nesting level LEVEL: raw_sendto_if_src 7&gt;4</t>
  </si>
  <si>
    <t>HIS Metrics - Max nesting level LEVEL: raw_new 5&gt;4</t>
  </si>
  <si>
    <t>raw_new</t>
  </si>
  <si>
    <t>HIS Metrics - Cyclomatic v(G): raw_sendto 27&gt;10</t>
  </si>
  <si>
    <t>HIS Metrics - Cyclomatic v(G): raw_sendto_if_src 25&gt;10</t>
  </si>
  <si>
    <t>HIS Metrics - Number of paths PATH: raw_sendto 2641&gt;80</t>
  </si>
  <si>
    <t>HIS Metrics - Number of paths PATH: raw_sendto_if_src 84.00003&gt;80</t>
  </si>
  <si>
    <t>/kwbuilds/release_area/mcu_plus_sdk/source/drivers/rti/v0/rti.c</t>
  </si>
  <si>
    <t>HIS Metrics - Max nesting level LEVEL: RTI_counterConfigure 5&gt;4</t>
  </si>
  <si>
    <t>RTI_counterConfigure</t>
  </si>
  <si>
    <t>HIS Metrics - Max nesting level LEVEL: rtp_send_packets 7&gt;4</t>
  </si>
  <si>
    <t>rtp_send_packets</t>
  </si>
  <si>
    <t>HIS Metrics - Max nesting level LEVEL: rtp_send_thread 5&gt;4</t>
  </si>
  <si>
    <t>HIS Metrics - Max nesting level LEVEL: rtp_recv_thread 12&gt;4</t>
  </si>
  <si>
    <t>HIS Metrics - Cyclomatic v(G): rtp_recv_thread 25&gt;10</t>
  </si>
  <si>
    <t>HIS Metrics - Number of paths PATH: rtp_recv_thread 255.00014&gt;80</t>
  </si>
  <si>
    <t>Multiple conditions are being validated. Hence maximum nested loop exceeded.</t>
  </si>
  <si>
    <t>HIS Metrics - Max nesting level LEVEL: SDL_ECC_handleEccAggrEvent 5&gt;4</t>
  </si>
  <si>
    <t>SDL_ECC_handleEccAggrEvent</t>
  </si>
  <si>
    <t>HIS Metrics - Max nesting level LEVEL: SDL_ECC_getIntSrcErrInfo 5&gt;4</t>
  </si>
  <si>
    <t>SDL_ECC_getIntSrcErrInfo</t>
  </si>
  <si>
    <t>HIS Metrics - Max nesting level LEVEL: SDL_ECC_getErrorInfo 7&gt;4</t>
  </si>
  <si>
    <t>SDL_ECC_getErrorInfo</t>
  </si>
  <si>
    <t>HIS Metrics - Max nesting level LEVEL: SDL_ECC_selfTest 6&gt;4</t>
  </si>
  <si>
    <t>SDL_ECC_selfTest</t>
  </si>
  <si>
    <t>HIS Metrics - Max nesting level LEVEL: SDL_ECC_injectError 7&gt;4</t>
  </si>
  <si>
    <t>SDL_ECC_injectError</t>
  </si>
  <si>
    <t>All the parameter needed to execute the function, hence it can be ignored.</t>
  </si>
  <si>
    <t>HIS Metrics - Number of parameters PARAM: SDL_ECC_ESMCallBackFunction_MAIN 6&gt;5</t>
  </si>
  <si>
    <t>SDL_ECC_ESMCallBackFunction_MAIN</t>
  </si>
  <si>
    <t>Multiple Checks and internal functions are to be validated. Hence, Cyclomatic complexity is exceeded.</t>
  </si>
  <si>
    <t>HIS Metrics - Cyclomatic v(G): SDL_ECC_init 16&gt;10</t>
  </si>
  <si>
    <t>SDL_ECC_init</t>
  </si>
  <si>
    <t>HIS Metrics - Cyclomatic v(G): SDL_ECC_selfTest 14&gt;10</t>
  </si>
  <si>
    <t>HIS Metrics - Cyclomatic v(G): SDL_ECC_injectError 30&gt;10</t>
  </si>
  <si>
    <t>Nesting would reduce the number of paths but would cause the nested if check metric to increase and would reduce readability of the code. Hence, Ignored.</t>
  </si>
  <si>
    <t>HIS Metrics - Number of paths PATH: SDL_ECC_init 1188.00073&gt;80</t>
  </si>
  <si>
    <t>HIS Metrics - Number of paths PATH: SDL_ECC_selfTest 374.00003&gt;80</t>
  </si>
  <si>
    <t>HIS Metrics - Number of paths PATH: SDL_ECC_injectError 51848.03906&gt;80</t>
  </si>
  <si>
    <t>/kwbuilds/release_area/mcu_plus_sdk/source/sdl/r5/v0/sdl_ecc_r5.c</t>
  </si>
  <si>
    <t>HIS Metrics - Max nesting level LEVEL: SDL_ECC_pollErrorEvent 5&gt;4</t>
  </si>
  <si>
    <t>SDL_ECC_pollErrorEvent</t>
  </si>
  <si>
    <t>HIS Metrics - Max nesting level LEVEL: SDL_ESM_getStaticRegisters 5&gt;4</t>
  </si>
  <si>
    <t>SDL_ESM_getStaticRegisters</t>
  </si>
  <si>
    <t>HIS Metrics - Max nesting level LEVEL: SDL_ESM_verifyConfig 6&gt;4</t>
  </si>
  <si>
    <t>HIS Metrics - Max nesting level LEVEL: ESM_init 7&gt;4</t>
  </si>
  <si>
    <t>ESM_init</t>
  </si>
  <si>
    <t>HIS Metrics - Cyclomatic v(G): SDL_ESM_verifyConfig 16&gt;10</t>
  </si>
  <si>
    <t>HIS Metrics - Cyclomatic v(G): ESM_init 31&gt;10</t>
  </si>
  <si>
    <t>HIS Metrics - Number of paths PATH: SDL_ESM_verifyConfig 149.99994&gt;80</t>
  </si>
  <si>
    <t>HIS Metrics - Number of paths PATH: ESM_init 2077153&gt;80</t>
  </si>
  <si>
    <t>/kwbuilds/release_area/mcu_plus_sdk/source/sdl/esm/v0/v0_0/sdl_esm_priv.c</t>
  </si>
  <si>
    <t>HIS Metrics - Max nesting level LEVEL: SDL_ESM_processInterruptSource 7&gt;4</t>
  </si>
  <si>
    <t>SDL_ESM_processInterruptSource</t>
  </si>
  <si>
    <t>/kwbuilds/release_area/mcu_plus_sdk/source/sdl/ecc/V1/sdl_ip_ecc.c</t>
  </si>
  <si>
    <t>HIS Metrics - Max nesting level LEVEL: SDL_ecc_aggrToggleIntrsEnable 5&gt;4</t>
  </si>
  <si>
    <t>SDL_ecc_aggrToggleIntrsEnable</t>
  </si>
  <si>
    <t>HIS Metrics - Max nesting level LEVEL: SDL_PBIST_runTest 6&gt;4</t>
  </si>
  <si>
    <t>SDL_PBIST_runTest</t>
  </si>
  <si>
    <t>HIS Metrics - Max nesting level LEVEL: com_stat 5&gt;4</t>
  </si>
  <si>
    <t>HIS Metrics - Max nesting level LEVEL: parse_command 18&gt;4</t>
  </si>
  <si>
    <t>parse_command</t>
  </si>
  <si>
    <t>HIS Metrics - Max nesting level LEVEL: shell_main 7&gt;4</t>
  </si>
  <si>
    <t>HIS Metrics - Cyclomatic v(G): parse_command 30&gt;10</t>
  </si>
  <si>
    <t>HIS Metrics - Cyclomatic v(G): shell_main 12&gt;10</t>
  </si>
  <si>
    <t>HIS Metrics - Cyclomatic v(G): shell_thread 12&gt;10</t>
  </si>
  <si>
    <t>HIS Metrics - Number of paths PATH: parse_command 882.00018&gt;80</t>
  </si>
  <si>
    <t>HIS Metrics - Number of paths PATH: shell_main 120.00001&gt;80</t>
  </si>
  <si>
    <t>/kwbuilds/release_area/mcu_plus_sdk/source/drivers/secure_ipc_notify/sipc_notify_src.c</t>
  </si>
  <si>
    <t>HIS Metrics - Max nesting level LEVEL: SIPC_isr 6&gt;4</t>
  </si>
  <si>
    <t>SIPC_isr</t>
  </si>
  <si>
    <t>HIS Metrics - Max nesting level LEVEL: SIPC_sendMsg 5&gt;4</t>
  </si>
  <si>
    <t>SIPC_sendMsg</t>
  </si>
  <si>
    <t>HIS Metrics - Cyclomatic v(G): SIPC_init 12&gt;10</t>
  </si>
  <si>
    <t>SIPC_init</t>
  </si>
  <si>
    <t>HIS Metrics - Number of paths PATH: SIPC_init 132.00002&gt;80</t>
  </si>
  <si>
    <t>HIS Metrics - Max nesting level LEVEL: slipif_output 5&gt;4</t>
  </si>
  <si>
    <t>HIS Metrics - Max nesting level LEVEL: slipif_rxbyte 8&gt;4</t>
  </si>
  <si>
    <t>HIS Metrics - Max nesting level LEVEL: slipif_init 5&gt;4</t>
  </si>
  <si>
    <t>slipif_init</t>
  </si>
  <si>
    <t>HIS Metrics - Cyclomatic v(G): slipif_output 19&gt;10</t>
  </si>
  <si>
    <t>HIS Metrics - Cyclomatic v(G): slipif_rxbyte 35&gt;10</t>
  </si>
  <si>
    <t>HIS Metrics - Cyclomatic v(G): slipif_init 12&gt;10</t>
  </si>
  <si>
    <t>HIS Metrics - Number of paths PATH: slipif_output 2560.00122&gt;80</t>
  </si>
  <si>
    <t>HIS Metrics - Number of paths PATH: slipif_rxbyte 10719.99805&gt;80</t>
  </si>
  <si>
    <t>HIS Metrics - Number of paths PATH: slipif_init 127.99994&gt;80</t>
  </si>
  <si>
    <t>HIS Metrics - Max nesting level LEVEL: smtp_set_auth 7&gt;4</t>
  </si>
  <si>
    <t>smtp_set_auth</t>
  </si>
  <si>
    <t>HIS Metrics - Max nesting level LEVEL: smtp_send_mail_alloced 8&gt;4</t>
  </si>
  <si>
    <t>HIS Metrics - Max nesting level LEVEL: smtp_verify 9&gt;4</t>
  </si>
  <si>
    <t>smtp_verify</t>
  </si>
  <si>
    <t>HIS Metrics - Max nesting level LEVEL: smtp_tcp_err 6&gt;4</t>
  </si>
  <si>
    <t>smtp_tcp_err</t>
  </si>
  <si>
    <t>HIS Metrics - Max nesting level LEVEL: smtp_tcp_recv 6&gt;4</t>
  </si>
  <si>
    <t>smtp_tcp_recv</t>
  </si>
  <si>
    <t>HIS Metrics - Max nesting level LEVEL: smtp_tcp_connected 6&gt;4</t>
  </si>
  <si>
    <t>smtp_tcp_connected</t>
  </si>
  <si>
    <t>HIS Metrics - Max nesting level LEVEL: smtp_dns_found 8&gt;4</t>
  </si>
  <si>
    <t>smtp_dns_found</t>
  </si>
  <si>
    <t>HIS Metrics - Max nesting level LEVEL: smtp_prepare_auth_or_mail 8&gt;4</t>
  </si>
  <si>
    <t>smtp_prepare_auth_or_mail</t>
  </si>
  <si>
    <t>HIS Metrics - Max nesting level LEVEL: smtp_send_body 10&gt;4</t>
  </si>
  <si>
    <t>smtp_send_body</t>
  </si>
  <si>
    <t>HIS Metrics - Max nesting level LEVEL: smtp_process 7&gt;4</t>
  </si>
  <si>
    <t>HIS Metrics - Cyclomatic v(G): smtp_set_auth 17&gt;10</t>
  </si>
  <si>
    <t>HIS Metrics - Cyclomatic v(G): smtp_send_mail_alloced 25&gt;10</t>
  </si>
  <si>
    <t>HIS Metrics - Cyclomatic v(G): smtp_send_mail_static 14&gt;10</t>
  </si>
  <si>
    <t>smtp_send_mail_static</t>
  </si>
  <si>
    <t>HIS Metrics - Cyclomatic v(G): smtp_verify 28&gt;10</t>
  </si>
  <si>
    <t>HIS Metrics - Cyclomatic v(G): smtp_tcp_connected 12&gt;10</t>
  </si>
  <si>
    <t>HIS Metrics - Cyclomatic v(G): smtp_dns_found 24&gt;10</t>
  </si>
  <si>
    <t>HIS Metrics - Cyclomatic v(G): smtp_base64_encode 11&gt;10</t>
  </si>
  <si>
    <t>smtp_base64_encode</t>
  </si>
  <si>
    <t>HIS Metrics - Cyclomatic v(G): smtp_send_body 24&gt;10</t>
  </si>
  <si>
    <t>HIS Metrics - Cyclomatic v(G): smtp_process 87&gt;10</t>
  </si>
  <si>
    <t>HIS Metrics - Number of paths PATH: smtp_send_mail_alloced 6911.99707&gt;80</t>
  </si>
  <si>
    <t>HIS Metrics - Number of paths PATH: smtp_send_mail_static 257&gt;80</t>
  </si>
  <si>
    <t>HIS Metrics - Number of paths PATH: smtp_dns_found 88.00001&gt;80</t>
  </si>
  <si>
    <t>HIS Metrics - Number of paths PATH: smtp_send_body 1679.99976&gt;80</t>
  </si>
  <si>
    <t>HIS Metrics - Number of paths PATH: smtp_process 1076276.625&gt;80</t>
  </si>
  <si>
    <t>HIS Metrics - Number of parameters PARAM: smtp_send_mail 6&gt;5</t>
  </si>
  <si>
    <t>smtp_send_mail</t>
  </si>
  <si>
    <t>HIS Metrics - Number of parameters PARAM: smtp_send_mail_static 6&gt;5</t>
  </si>
  <si>
    <t>HIS Metrics - Cyclomatic v(G): snmp_ans1_enc_tlv 14&gt;10</t>
  </si>
  <si>
    <t>snmp_ans1_enc_tlv</t>
  </si>
  <si>
    <t>HIS Metrics - Cyclomatic v(G): snmp_asn1_dec_tlv 11&gt;10</t>
  </si>
  <si>
    <t>HIS Metrics - Cyclomatic v(G): snmp_asn1_dec_oid 14&gt;10</t>
  </si>
  <si>
    <t>snmp_asn1_dec_oid</t>
  </si>
  <si>
    <t>HIS Metrics - Max nesting level LEVEL: snmp_asn1_enc_oid 5&gt;4</t>
  </si>
  <si>
    <t>snmp_asn1_enc_oid</t>
  </si>
  <si>
    <t>HIS Metrics - Max nesting level LEVEL: snmp_asn1_enc_u32t_cnt 5&gt;4</t>
  </si>
  <si>
    <t>snmp_asn1_enc_u32t_cnt</t>
  </si>
  <si>
    <t>HIS Metrics - Max nesting level LEVEL: snmp_asn1_dec_tlv 6&gt;4</t>
  </si>
  <si>
    <t>HIS Metrics - Max nesting level LEVEL: snmp_asn1_dec_u32t 5&gt;4</t>
  </si>
  <si>
    <t>HIS Metrics - Max nesting level LEVEL: snmp_asn1_dec_oid 6&gt;4</t>
  </si>
  <si>
    <t>HIS Metrics - Max nesting level LEVEL: snmp_asn1_dec_u64t 5&gt;4</t>
  </si>
  <si>
    <t>HIS Metrics - Max nesting level LEVEL: snmp_oid_to_ip 5&gt;4</t>
  </si>
  <si>
    <t>snmp_oid_to_ip</t>
  </si>
  <si>
    <t>HIS Metrics - Max nesting level LEVEL: snmp_get_mib_from_oid 5&gt;4</t>
  </si>
  <si>
    <t>HIS Metrics - Max nesting level LEVEL: snmp_get_next_mib 5&gt;4</t>
  </si>
  <si>
    <t>HIS Metrics - Max nesting level LEVEL: snmp_get_node_instance_from_oid 9&gt;4</t>
  </si>
  <si>
    <t>snmp_get_node_instance_from_oid</t>
  </si>
  <si>
    <t>HIS Metrics - Max nesting level LEVEL: snmp_get_next_node_instance_from_oid 10&gt;4</t>
  </si>
  <si>
    <t>snmp_get_next_node_instance_from_oid</t>
  </si>
  <si>
    <t>HIS Metrics - Max nesting level LEVEL: snmp_mib_tree_resolve_next 5&gt;4</t>
  </si>
  <si>
    <t>snmp_mib_tree_resolve_next</t>
  </si>
  <si>
    <t>HIS Metrics - Max nesting level LEVEL: snmp_next_oid_check 5&gt;4</t>
  </si>
  <si>
    <t>snmp_next_oid_check</t>
  </si>
  <si>
    <t>HIS Metrics - Max nesting level LEVEL: snmp_decode_bits 6&gt;4</t>
  </si>
  <si>
    <t>snmp_decode_bits</t>
  </si>
  <si>
    <t>HIS Metrics - Cyclomatic v(G): snmp_oid_compare 12&gt;10</t>
  </si>
  <si>
    <t>HIS Metrics - Cyclomatic v(G): snmp_get_mib_from_oid 16&gt;10</t>
  </si>
  <si>
    <t>HIS Metrics - Cyclomatic v(G): snmp_get_node_instance_from_oid 16&gt;10</t>
  </si>
  <si>
    <t>HIS Metrics - Cyclomatic v(G): snmp_get_next_node_instance_from_oid 31&gt;10</t>
  </si>
  <si>
    <t>HIS Metrics - Cyclomatic v(G): snmp_mib_tree_resolve_next 13&gt;10</t>
  </si>
  <si>
    <t>HIS Metrics - Number of paths PATH: snmp_oid_compare 127.99994&gt;80</t>
  </si>
  <si>
    <t>HIS Metrics - Number of paths PATH: snmp_get_mib_from_oid 456&gt;80</t>
  </si>
  <si>
    <t>HIS Metrics - Number of paths PATH: snmp_get_node_instance_from_oid 84.00003&gt;80</t>
  </si>
  <si>
    <t>HIS Metrics - Number of paths PATH: snmp_get_next_node_instance_from_oid 23813.99414&gt;80</t>
  </si>
  <si>
    <t>HIS Metrics - Number of paths PATH: snmp_mib_tree_resolve_next 171.00008&gt;80</t>
  </si>
  <si>
    <t>HIS Metrics - Number of parameters PARAM: snmp_get_next_node_instance_from_oid 6&gt;5</t>
  </si>
  <si>
    <t>/kwbuilds/release_area/mcu_plus_sdk/source/networking/lwip/lwip-stack/src/apps/snmp/snmp_mib2_icmp.c</t>
  </si>
  <si>
    <t>HIS Metrics - Max nesting level LEVEL: icmp_get_value 6&gt;4</t>
  </si>
  <si>
    <t>icmp_get_value</t>
  </si>
  <si>
    <t>HIS Metrics - Cyclomatic v(G): icmp_get_value 32&gt;10</t>
  </si>
  <si>
    <t>/kwbuilds/release_area/mcu_plus_sdk/source/networking/lwip/lwip-stack/src/apps/snmp/snmp_mib2_interfaces.c</t>
  </si>
  <si>
    <t>HIS Metrics - Cyclomatic v(G): interfaces_Table_get_value 29&gt;10</t>
  </si>
  <si>
    <t>interfaces_Table_get_value</t>
  </si>
  <si>
    <t>/kwbuilds/release_area/mcu_plus_sdk/source/networking/lwip/lwip-stack/src/apps/snmp/snmp_mib2_ip.c</t>
  </si>
  <si>
    <t>HIS Metrics - Max nesting level LEVEL: ip_get_value 6&gt;4</t>
  </si>
  <si>
    <t>ip_get_value</t>
  </si>
  <si>
    <t>HIS Metrics - Max nesting level LEVEL: ip_set_test 6&gt;4</t>
  </si>
  <si>
    <t>ip_set_test</t>
  </si>
  <si>
    <t>HIS Metrics - Cyclomatic v(G): ip_get_value 26&gt;10</t>
  </si>
  <si>
    <t>HIS Metrics - Cyclomatic v(G): ip_RouteTable_get_cell_value_core 18&gt;10</t>
  </si>
  <si>
    <t>ip_RouteTable_get_cell_value_core</t>
  </si>
  <si>
    <t>/kwbuilds/release_area/mcu_plus_sdk/source/networking/lwip/lwip-stack/src/apps/snmp/snmp_mib2_snmp.c</t>
  </si>
  <si>
    <t>HIS Metrics - Max nesting level LEVEL: snmp_get_value 6&gt;4</t>
  </si>
  <si>
    <t>snmp_get_value</t>
  </si>
  <si>
    <t>HIS Metrics - Cyclomatic v(G): snmp_get_value 37&gt;10</t>
  </si>
  <si>
    <t>HIS Metrics - Max nesting level LEVEL: system_get_value 6&gt;4</t>
  </si>
  <si>
    <t>HIS Metrics - Max nesting level LEVEL: system_set_test 6&gt;4</t>
  </si>
  <si>
    <t>system_set_test</t>
  </si>
  <si>
    <t>HIS Metrics - Max nesting level LEVEL: system_set_value 6&gt;4</t>
  </si>
  <si>
    <t>HIS Metrics - Cyclomatic v(G): system_get_value 17&gt;10</t>
  </si>
  <si>
    <t>HIS Metrics - Cyclomatic v(G): system_set_test 13&gt;10</t>
  </si>
  <si>
    <t>HIS Metrics - Cyclomatic v(G): system_set_value 13&gt;10</t>
  </si>
  <si>
    <t>HIS Metrics - Max nesting level LEVEL: tcp_get_value 6&gt;4</t>
  </si>
  <si>
    <t>tcp_get_value</t>
  </si>
  <si>
    <t>HIS Metrics - Max nesting level LEVEL: tcp_ConnTable_get_cell_value_core 5&gt;4</t>
  </si>
  <si>
    <t>tcp_ConnTable_get_cell_value_core</t>
  </si>
  <si>
    <t>HIS Metrics - Max nesting level LEVEL: tcp_ConnTable_get_cell_value 6&gt;4</t>
  </si>
  <si>
    <t>tcp_ConnTable_get_cell_value</t>
  </si>
  <si>
    <t>HIS Metrics - Max nesting level LEVEL: tcp_ConnTable_get_next_cell_instance_and_value 6&gt;4</t>
  </si>
  <si>
    <t>tcp_ConnTable_get_next_cell_instance_and_value</t>
  </si>
  <si>
    <t>HIS Metrics - Cyclomatic v(G): tcp_get_value 24&gt;10</t>
  </si>
  <si>
    <t>HIS Metrics - Cyclomatic v(G): tcp_ConnTable_get_cell_value_core 11&gt;10</t>
  </si>
  <si>
    <t>HIS Metrics - Max nesting level LEVEL: udp_get_value 6&gt;4</t>
  </si>
  <si>
    <t>udp_get_value</t>
  </si>
  <si>
    <t>HIS Metrics - Cyclomatic v(G): udp_get_value 12&gt;10</t>
  </si>
  <si>
    <t>HIS Metrics - Max nesting level LEVEL: snmp_receive 8&gt;4</t>
  </si>
  <si>
    <t>HIS Metrics - Max nesting level LEVEL: snmp_process_varbind 6&gt;4</t>
  </si>
  <si>
    <t>snmp_process_varbind</t>
  </si>
  <si>
    <t>HIS Metrics - Max nesting level LEVEL: snmp_process_get_request 5&gt;4</t>
  </si>
  <si>
    <t>snmp_process_get_request</t>
  </si>
  <si>
    <t>HIS Metrics - Max nesting level LEVEL: snmp_process_getnext_request 5&gt;4</t>
  </si>
  <si>
    <t>snmp_process_getnext_request</t>
  </si>
  <si>
    <t>HIS Metrics - Max nesting level LEVEL: snmp_process_getbulk_request 8&gt;4</t>
  </si>
  <si>
    <t>HIS Metrics - Max nesting level LEVEL: snmp_process_set_request 7&gt;4</t>
  </si>
  <si>
    <t>HIS Metrics - Max nesting level LEVEL: snmp_parse_inbound_frame 7&gt;4</t>
  </si>
  <si>
    <t>snmp_parse_inbound_frame</t>
  </si>
  <si>
    <t>HIS Metrics - Max nesting level LEVEL: snmp_prepare_outbound_frame 6&gt;4</t>
  </si>
  <si>
    <t>snmp_prepare_outbound_frame</t>
  </si>
  <si>
    <t>HIS Metrics - Max nesting level LEVEL: snmp_varbind_length 5&gt;4</t>
  </si>
  <si>
    <t>HIS Metrics - Max nesting level LEVEL: snmp_append_outbound_varbind 9&gt;4</t>
  </si>
  <si>
    <t>snmp_append_outbound_varbind</t>
  </si>
  <si>
    <t>HIS Metrics - Max nesting level LEVEL: snmp_complete_outbound_frame 8&gt;4</t>
  </si>
  <si>
    <t>snmp_complete_outbound_frame</t>
  </si>
  <si>
    <t>HIS Metrics - Max nesting level LEVEL: snmp_vb_enumerator_get_next 10&gt;4</t>
  </si>
  <si>
    <t>snmp_vb_enumerator_get_next</t>
  </si>
  <si>
    <t>HIS Metrics - Cyclomatic v(G): snmp_receive 12&gt;10</t>
  </si>
  <si>
    <t>HIS Metrics - Cyclomatic v(G): snmp_process_varbind 21&gt;10</t>
  </si>
  <si>
    <t>HIS Metrics - Cyclomatic v(G): snmp_process_get_request 11&gt;10</t>
  </si>
  <si>
    <t>HIS Metrics - Cyclomatic v(G): snmp_process_getnext_request 11&gt;10</t>
  </si>
  <si>
    <t>HIS Metrics - Cyclomatic v(G): snmp_process_getbulk_request 27&gt;10</t>
  </si>
  <si>
    <t>HIS Metrics - Cyclomatic v(G): snmp_process_set_request 24&gt;10</t>
  </si>
  <si>
    <t>HIS Metrics - Cyclomatic v(G): snmp_parse_inbound_frame 217&gt;10</t>
  </si>
  <si>
    <t>HIS Metrics - Cyclomatic v(G): snmp_prepare_outbound_frame 88&gt;10</t>
  </si>
  <si>
    <t>HIS Metrics - Cyclomatic v(G): snmp_varbind_length 14&gt;10</t>
  </si>
  <si>
    <t>HIS Metrics - Cyclomatic v(G): snmp_append_outbound_varbind 76&gt;10</t>
  </si>
  <si>
    <t>HIS Metrics - Cyclomatic v(G): snmp_complete_outbound_frame 106&gt;10</t>
  </si>
  <si>
    <t>HIS Metrics - Cyclomatic v(G): snmp_vb_enumerator_get_next 109&gt;10</t>
  </si>
  <si>
    <t>HIS Metrics - Number of paths PATH: snmp_process_varbind 186.00008&gt;80</t>
  </si>
  <si>
    <t>HIS Metrics - Number of paths PATH: snmp_process_getbulk_request 6944.0083&gt;80</t>
  </si>
  <si>
    <t>HIS Metrics - Number of paths PATH: snmp_process_set_request 1152.00012&gt;80</t>
  </si>
  <si>
    <t>HIS Metrics - Number of paths PATH: snmp_parse_inbound_frame 9211.00098&gt;80</t>
  </si>
  <si>
    <t>HIS Metrics - Number of paths PATH: snmp_prepare_outbound_frame 6225.00244&gt;80</t>
  </si>
  <si>
    <t>HIS Metrics - Number of paths PATH: snmp_append_outbound_varbind 617.99969&gt;80</t>
  </si>
  <si>
    <t>HIS Metrics - Number of paths PATH: snmp_complete_outbound_frame 79000.03125&gt;80</t>
  </si>
  <si>
    <t>HIS Metrics - Number of paths PATH: snmp_vb_enumerator_get_next 132.99997&gt;80</t>
  </si>
  <si>
    <t>/kwbuilds/release_area/mcu_plus_sdk/source/networking/lwip/lwip-stack/src/apps/snmp/snmp_scalar.c</t>
  </si>
  <si>
    <t>HIS Metrics - Max nesting level LEVEL: snmp_scalar_array_get_next_instance 6&gt;4</t>
  </si>
  <si>
    <t>snmp_scalar_array_get_next_instance</t>
  </si>
  <si>
    <t>HIS Metrics - Cyclomatic v(G): snmp_scalar_array_get_next_instance 12&gt;10</t>
  </si>
  <si>
    <t>HIS Metrics - Max nesting level LEVEL: snmp_table_get_next_instance 5&gt;4</t>
  </si>
  <si>
    <t>HIS Metrics - Max nesting level LEVEL: snmp_table_simple_get_instance 9&gt;4</t>
  </si>
  <si>
    <t>HIS Metrics - Max nesting level LEVEL: snmp_table_simple_get_next_instance 6&gt;4</t>
  </si>
  <si>
    <t>HIS Metrics - Cyclomatic v(G): snmp_table_simple_get_instance 14&gt;10</t>
  </si>
  <si>
    <t>HIS Metrics - Cyclomatic v(G): snmp_table_simple_get_next_instance 18&gt;10</t>
  </si>
  <si>
    <t>HIS Metrics - Number of paths PATH: snmp_table_simple_get_next_instance 413.00015&gt;80</t>
  </si>
  <si>
    <t>/kwbuilds/release_area/mcu_plus_sdk/source/networking/lwip/lwip-stack/src/apps/snmp/snmp_threadsync.c</t>
  </si>
  <si>
    <t>HIS Metrics - Max nesting level LEVEL: do_sync 6&gt;4</t>
  </si>
  <si>
    <t>do_sync</t>
  </si>
  <si>
    <t>HIS Metrics - Cyclomatic v(G): do_sync 11&gt;10</t>
  </si>
  <si>
    <t>HIS Metrics - Max nesting level LEVEL: snmp_send_trap 5&gt;4</t>
  </si>
  <si>
    <t>HIS Metrics - Max nesting level LEVEL: snmp_trap_varbind_enc 7&gt;4</t>
  </si>
  <si>
    <t>snmp_trap_varbind_enc</t>
  </si>
  <si>
    <t>HIS Metrics - Max nesting level LEVEL: snmp_trap_header_enc 7&gt;4</t>
  </si>
  <si>
    <t>snmp_trap_header_enc</t>
  </si>
  <si>
    <t>HIS Metrics - Cyclomatic v(G): snmp_trap_varbind_enc 15&gt;10</t>
  </si>
  <si>
    <t>HIS Metrics - Cyclomatic v(G): snmp_trap_header_enc 107&gt;10</t>
  </si>
  <si>
    <t>HIS Metrics - Number of paths PATH: snmp_trap_header_enc 24144&gt;80</t>
  </si>
  <si>
    <t>HIS Metrics - Max nesting level LEVEL: sntp_process 5&gt;4</t>
  </si>
  <si>
    <t>sntp_process</t>
  </si>
  <si>
    <t>HIS Metrics - Max nesting level LEVEL: sntp_retry 5&gt;4</t>
  </si>
  <si>
    <t>sntp_retry</t>
  </si>
  <si>
    <t>HIS Metrics - Max nesting level LEVEL: sntp_recv 8&gt;4</t>
  </si>
  <si>
    <t>HIS Metrics - Max nesting level LEVEL: sntp_send_request 6&gt;4</t>
  </si>
  <si>
    <t>sntp_send_request</t>
  </si>
  <si>
    <t>HIS Metrics - Max nesting level LEVEL: sntp_request 6&gt;4</t>
  </si>
  <si>
    <t>sntp_request</t>
  </si>
  <si>
    <t>HIS Metrics - Max nesting level LEVEL: sntp_init 5&gt;4</t>
  </si>
  <si>
    <t>sntp_init</t>
  </si>
  <si>
    <t>HIS Metrics - Cyclomatic v(G): sntp_recv 28&gt;10</t>
  </si>
  <si>
    <t>HIS Metrics - Cyclomatic v(G): sntp_send_request 15&gt;10</t>
  </si>
  <si>
    <t>HIS Metrics - Cyclomatic v(G): sntp_request 13&gt;10</t>
  </si>
  <si>
    <t>HIS Metrics - Number of paths PATH: sntp_recv 300.00018&gt;80</t>
  </si>
  <si>
    <t>HIS Metrics - Cyclomatic v(G): SOC_virtToPhy 20&gt;10</t>
  </si>
  <si>
    <t>HIS Metrics - Cyclomatic v(G): SOC_phyToVirt 20&gt;10</t>
  </si>
  <si>
    <t>SOC_phyToVirt</t>
  </si>
  <si>
    <t>HIS Metrics - Number of paths PATH: SOC_virtToPhy 384.00018&gt;80</t>
  </si>
  <si>
    <t>HIS Metrics - Number of paths PATH: SOC_phyToVirt 384.00018&gt;80</t>
  </si>
  <si>
    <t>HIS Metrics - Cyclomatic v(G): SOC_rcmGetClkSrcAndDivReg 31&gt;10</t>
  </si>
  <si>
    <t>SOC_rcmGetClkSrcAndDivReg</t>
  </si>
  <si>
    <t>HIS Metrics - Cyclomatic v(G): SOC_rcmEnablePeripheralClock 91&gt;10</t>
  </si>
  <si>
    <t>SOC_rcmEnablePeripheralClock</t>
  </si>
  <si>
    <t>HIS Metrics - Number of parameters PARAM: SOC_rcmADPLLJGetFOut 6&gt;5</t>
  </si>
  <si>
    <t>SOC_rcmADPLLJGetFOut</t>
  </si>
  <si>
    <t>HIS Metrics - Number of paths PATH: SOC_rcmEnablePeripheralClock 91.00004&gt;80</t>
  </si>
  <si>
    <t>/kwbuilds/release_area/mcu_plus_sdk/source/drivers/soc/am263x/soc_xbar.h</t>
  </si>
  <si>
    <t>HIS Metrics - Number of parameters PARAM: SOC_xbarSelectPWMXBarInputSource 11&gt;5</t>
  </si>
  <si>
    <t>SOC_xbarSelectPWMXBarInputSource</t>
  </si>
  <si>
    <t>HIS Metrics - Number of parameters PARAM: SOC_xbarSelectInterruptXBarInputSource 9&gt;5</t>
  </si>
  <si>
    <t>SOC_xbarSelectInterruptXBarInputSource</t>
  </si>
  <si>
    <t>HIS Metrics - Number of parameters PARAM: SOC_xbarSelectDMAXBarInputSource 9&gt;5</t>
  </si>
  <si>
    <t>SOC_xbarSelectDMAXBarInputSource</t>
  </si>
  <si>
    <t>HIS Metrics - Number of parameters PARAM: SOC_xbarSelectOutputXBarInputSource 13&gt;5</t>
  </si>
  <si>
    <t>SOC_xbarSelectOutputXBarInputSource</t>
  </si>
  <si>
    <t>HIS Metrics - Max nesting level LEVEL: sockex_nonblocking_connect 5&gt;4</t>
  </si>
  <si>
    <t>sockex_nonblocking_connect</t>
  </si>
  <si>
    <t>HIS Metrics - Max nesting level LEVEL: sockex_testrecv 5&gt;4</t>
  </si>
  <si>
    <t>sockex_testrecv</t>
  </si>
  <si>
    <t>HIS Metrics - Max nesting level LEVEL: sockex_select_waiter 5&gt;4</t>
  </si>
  <si>
    <t>HIS Metrics - Cyclomatic v(G): sockex_nonblocking_connect 256&gt;10</t>
  </si>
  <si>
    <t>HIS Metrics - Cyclomatic v(G): sockex_testrecv 57&gt;10</t>
  </si>
  <si>
    <t>HIS Metrics - Cyclomatic v(G): sockex_select_waiter 41&gt;10</t>
  </si>
  <si>
    <t>HIS Metrics - Cyclomatic v(G): sockex_testtwoselects 37&gt;10</t>
  </si>
  <si>
    <t>sockex_testtwoselects</t>
  </si>
  <si>
    <t>HIS Metrics - Number of paths PATH: sockex_nonblocking_connect 2147482752&gt;80</t>
  </si>
  <si>
    <t>HIS Metrics - Number of paths PATH: sockex_testrecv 2147482752&gt;80</t>
  </si>
  <si>
    <t>HIS Metrics - Number of paths PATH: sockex_select_waiter 3538944.25&gt;80</t>
  </si>
  <si>
    <t>HIS Metrics - Number of paths PATH: sockex_testtwoselects 16777216&gt;80</t>
  </si>
  <si>
    <t>HIS Metrics - Max nesting level LEVEL: tryget_socket_unconn_nouse 6&gt;4</t>
  </si>
  <si>
    <t>tryget_socket_unconn_nouse</t>
  </si>
  <si>
    <t>HIS Metrics - Max nesting level LEVEL: get_socket 7&gt;4</t>
  </si>
  <si>
    <t>get_socket</t>
  </si>
  <si>
    <t>HIS Metrics - Max nesting level LEVEL: alloc_socket 6&gt;4</t>
  </si>
  <si>
    <t>alloc_socket</t>
  </si>
  <si>
    <t>HIS Metrics - Max nesting level LEVEL: lwip_accept 7&gt;4</t>
  </si>
  <si>
    <t>HIS Metrics - Max nesting level LEVEL: lwip_bind 6&gt;4</t>
  </si>
  <si>
    <t>HIS Metrics - Max nesting level LEVEL: lwip_close 5&gt;4</t>
  </si>
  <si>
    <t>lwip_close</t>
  </si>
  <si>
    <t>HIS Metrics - Max nesting level LEVEL: lwip_connect 7&gt;4</t>
  </si>
  <si>
    <t>HIS Metrics - Max nesting level LEVEL: lwip_listen 6&gt;4</t>
  </si>
  <si>
    <t>lwip_listen</t>
  </si>
  <si>
    <t>HIS Metrics - Max nesting level LEVEL: lwip_recv_tcp 8&gt;4</t>
  </si>
  <si>
    <t>HIS Metrics - Max nesting level LEVEL: lwip_recv_tcp_from 6&gt;4</t>
  </si>
  <si>
    <t>HIS Metrics - Max nesting level LEVEL: lwip_recvfrom_udp_raw 6&gt;4</t>
  </si>
  <si>
    <t>HIS Metrics - Max nesting level LEVEL: lwip_recvfrom 7&gt;4</t>
  </si>
  <si>
    <t>lwip_recvfrom</t>
  </si>
  <si>
    <t>HIS Metrics - Max nesting level LEVEL: lwip_recvmsg 6&gt;4</t>
  </si>
  <si>
    <t>lwip_recvmsg</t>
  </si>
  <si>
    <t>HIS Metrics - Max nesting level LEVEL: lwip_send 5&gt;4</t>
  </si>
  <si>
    <t>lwip_send</t>
  </si>
  <si>
    <t>HIS Metrics - Max nesting level LEVEL: lwip_sendmsg 6&gt;4</t>
  </si>
  <si>
    <t>lwip_sendmsg</t>
  </si>
  <si>
    <t>HIS Metrics - Max nesting level LEVEL: lwip_sendto 6&gt;4</t>
  </si>
  <si>
    <t>lwip_sendto</t>
  </si>
  <si>
    <t>HIS Metrics - Max nesting level LEVEL: lwip_socket 6&gt;4</t>
  </si>
  <si>
    <t>HIS Metrics - Max nesting level LEVEL: lwip_unlink_select_cb 5&gt;4</t>
  </si>
  <si>
    <t>HIS Metrics - Max nesting level LEVEL: lwip_selscan 9&gt;4</t>
  </si>
  <si>
    <t>lwip_selscan</t>
  </si>
  <si>
    <t>HIS Metrics - Max nesting level LEVEL: lwip_select 10&gt;4</t>
  </si>
  <si>
    <t>HIS Metrics - Max nesting level LEVEL: lwip_pollscan 9&gt;4</t>
  </si>
  <si>
    <t>HIS Metrics - Max nesting level LEVEL: lwip_poll 7&gt;4</t>
  </si>
  <si>
    <t>lwip_poll</t>
  </si>
  <si>
    <t>HIS Metrics - Max nesting level LEVEL: event_callback 5&gt;4</t>
  </si>
  <si>
    <t>HIS Metrics - Max nesting level LEVEL: select_check_waiters 6&gt;4</t>
  </si>
  <si>
    <t>select_check_waiters</t>
  </si>
  <si>
    <t>HIS Metrics - Max nesting level LEVEL: lwip_shutdown 7&gt;4</t>
  </si>
  <si>
    <t>lwip_shutdown</t>
  </si>
  <si>
    <t>HIS Metrics - Max nesting level LEVEL: lwip_getaddrname 5&gt;4</t>
  </si>
  <si>
    <t>lwip_getaddrname</t>
  </si>
  <si>
    <t>HIS Metrics - Max nesting level LEVEL: lwip_getsockopt 5&gt;4</t>
  </si>
  <si>
    <t>lwip_getsockopt</t>
  </si>
  <si>
    <t>HIS Metrics - Max nesting level LEVEL: lwip_sockopt_to_ipopt 5&gt;4</t>
  </si>
  <si>
    <t>lwip_sockopt_to_ipopt</t>
  </si>
  <si>
    <t>HIS Metrics - Max nesting level LEVEL: lwip_getsockopt_impl 8&gt;4</t>
  </si>
  <si>
    <t>HIS Metrics - Max nesting level LEVEL: lwip_setsockopt 5&gt;4</t>
  </si>
  <si>
    <t>lwip_setsockopt</t>
  </si>
  <si>
    <t>HIS Metrics - Max nesting level LEVEL: lwip_setsockopt_impl 7&gt;4</t>
  </si>
  <si>
    <t>HIS Metrics - Max nesting level LEVEL: lwip_ioctl 6&gt;4</t>
  </si>
  <si>
    <t>lwip_ioctl</t>
  </si>
  <si>
    <t>HIS Metrics - Max nesting level LEVEL: lwip_fcntl 6&gt;4</t>
  </si>
  <si>
    <t>lwip_fcntl</t>
  </si>
  <si>
    <t>HIS Metrics - Max nesting level LEVEL: lwip_inet_ntop 5&gt;4</t>
  </si>
  <si>
    <t>lwip_inet_ntop</t>
  </si>
  <si>
    <t>HIS Metrics - Cyclomatic v(G): lwip_accept 71&gt;10</t>
  </si>
  <si>
    <t>HIS Metrics - Cyclomatic v(G): lwip_bind 45&gt;10</t>
  </si>
  <si>
    <t>HIS Metrics - Cyclomatic v(G): lwip_close 17&gt;10</t>
  </si>
  <si>
    <t>HIS Metrics - Cyclomatic v(G): lwip_connect 51&gt;10</t>
  </si>
  <si>
    <t>HIS Metrics - Cyclomatic v(G): lwip_listen 26&gt;10</t>
  </si>
  <si>
    <t>HIS Metrics - Cyclomatic v(G): lwip_recv_tcp 64&gt;10</t>
  </si>
  <si>
    <t>HIS Metrics - Cyclomatic v(G): lwip_sock_make_addr 13&gt;10</t>
  </si>
  <si>
    <t>HIS Metrics - Cyclomatic v(G): lwip_recv_tcp_from 19&gt;10</t>
  </si>
  <si>
    <t>HIS Metrics - Cyclomatic v(G): lwip_recvfrom_udp_raw 48&gt;10</t>
  </si>
  <si>
    <t>HIS Metrics - Cyclomatic v(G): lwip_recvfrom 25&gt;10</t>
  </si>
  <si>
    <t>HIS Metrics - Cyclomatic v(G): lwip_recvmsg 45&gt;10</t>
  </si>
  <si>
    <t>HIS Metrics - Cyclomatic v(G): lwip_send 19&gt;10</t>
  </si>
  <si>
    <t>HIS Metrics - Cyclomatic v(G): lwip_sendmsg 55&gt;10</t>
  </si>
  <si>
    <t>HIS Metrics - Cyclomatic v(G): lwip_sendto 36&gt;10</t>
  </si>
  <si>
    <t>HIS Metrics - Cyclomatic v(G): lwip_socket 48&gt;10</t>
  </si>
  <si>
    <t>HIS Metrics - Cyclomatic v(G): lwip_selscan 31&gt;10</t>
  </si>
  <si>
    <t>HIS Metrics - Cyclomatic v(G): lwip_select 67&gt;10</t>
  </si>
  <si>
    <t>HIS Metrics - Cyclomatic v(G): lwip_pollscan 34&gt;10</t>
  </si>
  <si>
    <t>HIS Metrics - Cyclomatic v(G): lwip_poll 41&gt;10</t>
  </si>
  <si>
    <t>HIS Metrics - Cyclomatic v(G): event_callback 17&gt;10</t>
  </si>
  <si>
    <t>HIS Metrics - Cyclomatic v(G): select_check_waiters 11&gt;10</t>
  </si>
  <si>
    <t>HIS Metrics - Cyclomatic v(G): lwip_shutdown 25&gt;10</t>
  </si>
  <si>
    <t>HIS Metrics - Cyclomatic v(G): lwip_getaddrname 26&gt;10</t>
  </si>
  <si>
    <t>HIS Metrics - Cyclomatic v(G): lwip_getsockopt_impl 192&gt;10</t>
  </si>
  <si>
    <t>HIS Metrics - Cyclomatic v(G): lwip_setsockopt_impl 181&gt;10</t>
  </si>
  <si>
    <t>HIS Metrics - Cyclomatic v(G): lwip_ioctl 41&gt;10</t>
  </si>
  <si>
    <t>HIS Metrics - Cyclomatic v(G): lwip_fcntl 32&gt;10</t>
  </si>
  <si>
    <t>HIS Metrics - Number of paths PATH: lwip_accept 3171209.25&gt;80</t>
  </si>
  <si>
    <t>HIS Metrics - Number of paths PATH: lwip_bind 131084.9375&gt;80</t>
  </si>
  <si>
    <t>HIS Metrics - Number of paths PATH: lwip_close 288.00015&gt;80</t>
  </si>
  <si>
    <t>HIS Metrics - Number of paths PATH: lwip_connect 131596.98438&gt;80</t>
  </si>
  <si>
    <t>HIS Metrics - Number of paths PATH: lwip_listen 552&gt;80</t>
  </si>
  <si>
    <t>HIS Metrics - Number of paths PATH: lwip_recv_tcp 562561088&gt;80</t>
  </si>
  <si>
    <t>HIS Metrics - Number of paths PATH: lwip_sock_make_addr 384.00018&gt;80</t>
  </si>
  <si>
    <t>HIS Metrics - Number of paths PATH: lwip_recv_tcp_from 1026&gt;80</t>
  </si>
  <si>
    <t>HIS Metrics - Number of paths PATH: lwip_recvfrom_udp_raw 311731712&gt;80</t>
  </si>
  <si>
    <t>HIS Metrics - Number of paths PATH: lwip_recvfrom 335.99994&gt;80</t>
  </si>
  <si>
    <t>HIS Metrics - Number of paths PATH: lwip_recvmsg 5168.00732&gt;80</t>
  </si>
  <si>
    <t>HIS Metrics - Number of paths PATH: lwip_send 272&gt;80</t>
  </si>
  <si>
    <t>HIS Metrics - Number of paths PATH: lwip_sendmsg 14137.00293&gt;80</t>
  </si>
  <si>
    <t>HIS Metrics - Number of paths PATH: lwip_sendto 24589.99805&gt;80</t>
  </si>
  <si>
    <t>HIS Metrics - Number of paths PATH: lwip_socket 1248.00085&gt;80</t>
  </si>
  <si>
    <t>HIS Metrics - Number of paths PATH: lwip_selscan 78975.02344&gt;80</t>
  </si>
  <si>
    <t>HIS Metrics - Number of paths PATH: lwip_select 1804944.125&gt;80</t>
  </si>
  <si>
    <t>HIS Metrics - Number of paths PATH: lwip_pollscan 116670&gt;80</t>
  </si>
  <si>
    <t>HIS Metrics - Number of paths PATH: lwip_poll 188368.125&gt;80</t>
  </si>
  <si>
    <t>HIS Metrics - Number of paths PATH: lwip_shutdown 199.99992&gt;80</t>
  </si>
  <si>
    <t>HIS Metrics - Number of paths PATH: lwip_getaddrname 8196.99805&gt;80</t>
  </si>
  <si>
    <t>HIS Metrics - Number of paths PATH: lwip_getsockopt_impl 735.00049&gt;80</t>
  </si>
  <si>
    <t>HIS Metrics - Number of paths PATH: lwip_setsockopt_impl 628&gt;80</t>
  </si>
  <si>
    <t>HIS Metrics - Number of paths PATH: lwip_ioctl 741.00043&gt;80</t>
  </si>
  <si>
    <t>HIS Metrics - Number of paths PATH: lwip_fcntl 81.00001&gt;80</t>
  </si>
  <si>
    <t>HIS Metrics - Number of parameters PARAM: lwip_recv_tcp_from 6&gt;5</t>
  </si>
  <si>
    <t>HIS Metrics - Number of parameters PARAM: lwip_recvfrom 6&gt;5</t>
  </si>
  <si>
    <t>HIS Metrics - Number of parameters PARAM: lwip_sendto 6&gt;5</t>
  </si>
  <si>
    <t>HIS Metrics - Number of parameters PARAM: lwip_selscan 7&gt;5</t>
  </si>
  <si>
    <t>/kwbuilds/release_area/mcu_plus_sdk/source/networking/lwip/lwip-stack/src/core/stats.c</t>
  </si>
  <si>
    <t>HIS Metrics - Cyclomatic v(G): stats_display_proto 14&gt;10</t>
  </si>
  <si>
    <t>stats_display_proto</t>
  </si>
  <si>
    <t>HIS Metrics - Cyclomatic v(G): stats_display_igmp 16&gt;10</t>
  </si>
  <si>
    <t>stats_display_igmp</t>
  </si>
  <si>
    <t>HIS Metrics - Cyclomatic v(G): stats_display_sys 11&gt;10</t>
  </si>
  <si>
    <t>stats_display_sys</t>
  </si>
  <si>
    <t>HIS Metrics - Number of paths PATH: stats_display_proto 8191.99609&gt;80</t>
  </si>
  <si>
    <t>HIS Metrics - Number of paths PATH: stats_display_igmp 32767.98438&gt;80</t>
  </si>
  <si>
    <t>HIS Metrics - Number of paths PATH: stats_display_sys 1024&gt;80</t>
  </si>
  <si>
    <t>HIS Metrics - Max nesting level LEVEL: sys_sem_new 5&gt;4</t>
  </si>
  <si>
    <t>HIS Metrics - Max nesting level LEVEL: sys_arch_sem_wait 5&gt;4</t>
  </si>
  <si>
    <t>HIS Metrics - Max nesting level LEVEL: sys_mbox_trypost 5&gt;4</t>
  </si>
  <si>
    <t>HIS Metrics - Max nesting level LEVEL: sys_mbox_trypost_fromisr 5&gt;4</t>
  </si>
  <si>
    <t>HIS Metrics - Max nesting level LEVEL: sys_arch_mbox_fetch 5&gt;4</t>
  </si>
  <si>
    <t>HIS Metrics - Max nesting level LEVEL: sys_check_core_locking 5&gt;4</t>
  </si>
  <si>
    <t>sys_check_core_locking</t>
  </si>
  <si>
    <t>HIS Metrics - Cyclomatic v(G): sys_arch_unprotect 13&gt;10</t>
  </si>
  <si>
    <t>HIS Metrics - Cyclomatic v(G): sys_sem_new 14&gt;10</t>
  </si>
  <si>
    <t>HIS Metrics - Cyclomatic v(G): sys_arch_sem_wait 15&gt;10</t>
  </si>
  <si>
    <t>HIS Metrics - Cyclomatic v(G): sys_mbox_trypost 11&gt;10</t>
  </si>
  <si>
    <t>HIS Metrics - Cyclomatic v(G): sys_mbox_trypost_fromisr 12&gt;10</t>
  </si>
  <si>
    <t>HIS Metrics - Cyclomatic v(G): sys_arch_mbox_fetch 16&gt;10</t>
  </si>
  <si>
    <t>HIS Metrics - Cyclomatic v(G): sys_arch_mbox_tryfetch 12&gt;10</t>
  </si>
  <si>
    <t>HIS Metrics - Cyclomatic v(G): sys_mbox_free 11&gt;10</t>
  </si>
  <si>
    <t>HIS Metrics - Number of paths PATH: sys_arch_unprotect 255.99988&gt;80</t>
  </si>
  <si>
    <t>HIS Metrics - Number of paths PATH: sys_sem_new 255.99988&gt;80</t>
  </si>
  <si>
    <t>HIS Metrics - Number of paths PATH: sys_arch_sem_wait 143.99994&gt;80</t>
  </si>
  <si>
    <t>HIS Metrics - Number of paths PATH: sys_mbox_trypost 80.00004&gt;80</t>
  </si>
  <si>
    <t>HIS Metrics - Number of paths PATH: sys_mbox_trypost_fromisr 96&gt;80</t>
  </si>
  <si>
    <t>HIS Metrics - Number of paths PATH: sys_arch_mbox_fetch 288.00015&gt;80</t>
  </si>
  <si>
    <t>HIS Metrics - Number of paths PATH: sys_arch_mbox_tryfetch 160&gt;80</t>
  </si>
  <si>
    <t>HIS Metrics - Number of paths PATH: sys_mbox_free 127.99994&gt;80</t>
  </si>
  <si>
    <t>HIS Metrics - Number of parameters PARAM: xTaskCreateStatic 7&gt;5</t>
  </si>
  <si>
    <t>xTaskCreateStatic</t>
  </si>
  <si>
    <t>HIS Metrics - Number of parameters PARAM: xTaskCreate 6&gt;5</t>
  </si>
  <si>
    <t>xTaskCreate</t>
  </si>
  <si>
    <t>HIS Metrics - Number of parameters PARAM: prvInitialiseNewTask 8&gt;5</t>
  </si>
  <si>
    <t>prvInitialiseNewTask</t>
  </si>
  <si>
    <t>HIS Metrics - Number of parameters PARAM: xTaskGenericNotifyFromISR 6&gt;5</t>
  </si>
  <si>
    <t>xTaskGenericNotifyFromISR</t>
  </si>
  <si>
    <t>HIS Metrics - Max nesting level LEVEL: eTaskGetState 7&gt;4</t>
  </si>
  <si>
    <t>HIS Metrics - Max nesting level LEVEL: vTaskResume 5&gt;4</t>
  </si>
  <si>
    <t>vTaskResume</t>
  </si>
  <si>
    <t>HIS Metrics - Max nesting level LEVEL: xTaskResumeAll 7&gt;4</t>
  </si>
  <si>
    <t>xTaskResumeAll</t>
  </si>
  <si>
    <t>HIS Metrics - Max nesting level LEVEL: xTaskIncrementTick 6&gt;4</t>
  </si>
  <si>
    <t>HIS Metrics - Max nesting level LEVEL: vTaskGetInfo 5&gt;4</t>
  </si>
  <si>
    <t>vTaskGetInfo</t>
  </si>
  <si>
    <t>HIS Metrics - Max nesting level LEVEL: prvListTasksWithinSingleList 5&gt;4</t>
  </si>
  <si>
    <t>prvListTasksWithinSingleList</t>
  </si>
  <si>
    <t>HIS Metrics - Max nesting level LEVEL: xTaskPriorityInherit 5&gt;4</t>
  </si>
  <si>
    <t>xTaskPriorityInherit</t>
  </si>
  <si>
    <t>HIS Metrics - Max nesting level LEVEL: xTaskPriorityDisinherit 5&gt;4</t>
  </si>
  <si>
    <t>xTaskPriorityDisinherit</t>
  </si>
  <si>
    <t>HIS Metrics - Max nesting level LEVEL: vTaskPriorityDisinheritAfterTimeout 6&gt;4</t>
  </si>
  <si>
    <t>vTaskPriorityDisinheritAfterTimeout</t>
  </si>
  <si>
    <t>HIS Metrics - Max nesting level LEVEL: vTaskGetRunTimeStats 5&gt;4</t>
  </si>
  <si>
    <t>vTaskGetRunTimeStats</t>
  </si>
  <si>
    <t>HIS Metrics - Cyclomatic v(G): xTaskResumeAll 12&gt;10</t>
  </si>
  <si>
    <t>HIS Metrics - Cyclomatic v(G): xTaskIncrementTick 13&gt;10</t>
  </si>
  <si>
    <t>HIS Metrics - Cyclomatic v(G): xTaskGenericNotify 11&gt;10</t>
  </si>
  <si>
    <t>xTaskGenericNotify</t>
  </si>
  <si>
    <t>HIS Metrics - Cyclomatic v(G): xTaskGenericNotifyFromISR 13&gt;10</t>
  </si>
  <si>
    <t>HIS Metrics - Number of paths PATH: vTaskSuspend 96&gt;80</t>
  </si>
  <si>
    <t>HIS Metrics - Number of paths PATH: xTaskResumeAll 82&gt;80</t>
  </si>
  <si>
    <t>HIS Metrics - Number of paths PATH: xTaskGenericNotifyFromISR 139.99991&gt;80</t>
  </si>
  <si>
    <t>HIS Metrics - Max nesting level LEVEL: tcp_backlog_delayed 6&gt;4</t>
  </si>
  <si>
    <t>HIS Metrics - Max nesting level LEVEL: tcp_backlog_accepted 6&gt;4</t>
  </si>
  <si>
    <t>HIS Metrics - Max nesting level LEVEL: tcp_close_shutdown 8&gt;4</t>
  </si>
  <si>
    <t>HIS Metrics - Max nesting level LEVEL: tcp_close 5&gt;4</t>
  </si>
  <si>
    <t>tcp_close</t>
  </si>
  <si>
    <t>HIS Metrics - Max nesting level LEVEL: tcp_abandon 8&gt;4</t>
  </si>
  <si>
    <t>tcp_abandon</t>
  </si>
  <si>
    <t>HIS Metrics - Max nesting level LEVEL: tcp_bind 6&gt;4</t>
  </si>
  <si>
    <t>HIS Metrics - Max nesting level LEVEL: tcp_listen_with_backlog_and_err 6&gt;4</t>
  </si>
  <si>
    <t>HIS Metrics - Max nesting level LEVEL: tcp_update_rcv_ann_wnd 6&gt;4</t>
  </si>
  <si>
    <t>HIS Metrics - Max nesting level LEVEL: tcp_recved 6&gt;4</t>
  </si>
  <si>
    <t>tcp_recved</t>
  </si>
  <si>
    <t>HIS Metrics - Max nesting level LEVEL: tcp_new_port 5&gt;4</t>
  </si>
  <si>
    <t>tcp_new_port</t>
  </si>
  <si>
    <t>HIS Metrics - Max nesting level LEVEL: tcp_connect 7&gt;4</t>
  </si>
  <si>
    <t>HIS Metrics - Max nesting level LEVEL: tcp_slowtmr 11&gt;4</t>
  </si>
  <si>
    <t>HIS Metrics - Max nesting level LEVEL: tcp_fasttmr 9&gt;4</t>
  </si>
  <si>
    <t>HIS Metrics - Max nesting level LEVEL: tcp_process_refused_data 7&gt;4</t>
  </si>
  <si>
    <t>tcp_process_refused_data</t>
  </si>
  <si>
    <t>HIS Metrics - Max nesting level LEVEL: tcp_kill_prio 6&gt;4</t>
  </si>
  <si>
    <t>tcp_kill_prio</t>
  </si>
  <si>
    <t>HIS Metrics - Max nesting level LEVEL: tcp_kill_state 6&gt;4</t>
  </si>
  <si>
    <t>tcp_kill_state</t>
  </si>
  <si>
    <t>HIS Metrics - Max nesting level LEVEL: tcp_kill_timewait 6&gt;4</t>
  </si>
  <si>
    <t>tcp_kill_timewait</t>
  </si>
  <si>
    <t>HIS Metrics - Max nesting level LEVEL: tcp_handle_closepend 7&gt;4</t>
  </si>
  <si>
    <t>tcp_handle_closepend</t>
  </si>
  <si>
    <t>HIS Metrics - Max nesting level LEVEL: tcp_alloc 9&gt;4</t>
  </si>
  <si>
    <t>tcp_alloc</t>
  </si>
  <si>
    <t>HIS Metrics - Max nesting level LEVEL: tcp_recv 5&gt;4</t>
  </si>
  <si>
    <t>tcp_recv</t>
  </si>
  <si>
    <t>HIS Metrics - Max nesting level LEVEL: tcp_sent 5&gt;4</t>
  </si>
  <si>
    <t>tcp_sent</t>
  </si>
  <si>
    <t>HIS Metrics - Max nesting level LEVEL: tcp_err 5&gt;4</t>
  </si>
  <si>
    <t>tcp_err</t>
  </si>
  <si>
    <t>HIS Metrics - Max nesting level LEVEL: tcp_pcb_purge 7&gt;4</t>
  </si>
  <si>
    <t>tcp_pcb_purge</t>
  </si>
  <si>
    <t>HIS Metrics - Max nesting level LEVEL: tcp_pcb_remove 5&gt;4</t>
  </si>
  <si>
    <t>HIS Metrics - Max nesting level LEVEL: tcp_netif_ip_addr_changed_pcblist 7&gt;4</t>
  </si>
  <si>
    <t>HIS Metrics - Max nesting level LEVEL: tcp_netif_ip_addr_changed 5&gt;4</t>
  </si>
  <si>
    <t>tcp_netif_ip_addr_changed</t>
  </si>
  <si>
    <t>HIS Metrics - Max nesting level LEVEL: tcp_tcp_get_tcp_addrinfo 5&gt;4</t>
  </si>
  <si>
    <t>tcp_tcp_get_tcp_addrinfo</t>
  </si>
  <si>
    <t>HIS Metrics - Cyclomatic v(G): tcp_close_shutdown 24&gt;10</t>
  </si>
  <si>
    <t>HIS Metrics - Cyclomatic v(G): tcp_close_shutdown_fin 13&gt;10</t>
  </si>
  <si>
    <t>HIS Metrics - Cyclomatic v(G): tcp_close 11&gt;10</t>
  </si>
  <si>
    <t>HIS Metrics - Cyclomatic v(G): tcp_shutdown 11&gt;10</t>
  </si>
  <si>
    <t>tcp_shutdown</t>
  </si>
  <si>
    <t>HIS Metrics - Cyclomatic v(G): tcp_abandon 26&gt;10</t>
  </si>
  <si>
    <t>HIS Metrics - Cyclomatic v(G): tcp_bind 22&gt;10</t>
  </si>
  <si>
    <t>HIS Metrics - Cyclomatic v(G): tcp_listen_with_backlog_and_err 21&gt;10</t>
  </si>
  <si>
    <t>HIS Metrics - Cyclomatic v(G): tcp_recved 21&gt;10</t>
  </si>
  <si>
    <t>HIS Metrics - Cyclomatic v(G): tcp_connect 31&gt;10</t>
  </si>
  <si>
    <t>HIS Metrics - Cyclomatic v(G): tcp_slowtmr 151&gt;10</t>
  </si>
  <si>
    <t>HIS Metrics - Cyclomatic v(G): tcp_fasttmr 20&gt;10</t>
  </si>
  <si>
    <t>HIS Metrics - Cyclomatic v(G): tcp_process_refused_data 23&gt;10</t>
  </si>
  <si>
    <t>HIS Metrics - Cyclomatic v(G): tcp_kill_prio 11&gt;10</t>
  </si>
  <si>
    <t>HIS Metrics - Cyclomatic v(G): tcp_kill_state 13&gt;10</t>
  </si>
  <si>
    <t>HIS Metrics - Cyclomatic v(G): tcp_alloc 30&gt;10</t>
  </si>
  <si>
    <t>HIS Metrics - Cyclomatic v(G): tcp_pcb_purge 34&gt;10</t>
  </si>
  <si>
    <t>HIS Metrics - Cyclomatic v(G): tcp_pcb_remove 26&gt;10</t>
  </si>
  <si>
    <t>HIS Metrics - Cyclomatic v(G): tcp_netif_ip_addr_changed_pcblist 11&gt;10</t>
  </si>
  <si>
    <t>HIS Metrics - Number of paths PATH: tcp_close_shutdown 272&gt;80</t>
  </si>
  <si>
    <t>HIS Metrics - Number of paths PATH: tcp_close_shutdown_fin 99.99996&gt;80</t>
  </si>
  <si>
    <t>HIS Metrics - Number of paths PATH: tcp_abandon 13833.99805&gt;80</t>
  </si>
  <si>
    <t>HIS Metrics - Number of paths PATH: tcp_bind 1308.00085&gt;80</t>
  </si>
  <si>
    <t>HIS Metrics - Number of paths PATH: tcp_listen_with_backlog_and_err 7680.00049&gt;80</t>
  </si>
  <si>
    <t>HIS Metrics - Number of paths PATH: tcp_recved 1730.00024&gt;80</t>
  </si>
  <si>
    <t>HIS Metrics - Number of paths PATH: tcp_connect 10253.99902&gt;80</t>
  </si>
  <si>
    <t>HIS Metrics - Number of paths PATH: tcp_slowtmr 2147482752&gt;80</t>
  </si>
  <si>
    <t>HIS Metrics - Number of paths PATH: tcp_fasttmr 1685.00037&gt;80</t>
  </si>
  <si>
    <t>HIS Metrics - Number of paths PATH: tcp_process_refused_data 1058.00049&gt;80</t>
  </si>
  <si>
    <t>HIS Metrics - Number of paths PATH: tcp_kill_state 143.99994&gt;80</t>
  </si>
  <si>
    <t>HIS Metrics - Number of paths PATH: tcp_alloc 139810&gt;80</t>
  </si>
  <si>
    <t>HIS Metrics - Number of paths PATH: tcp_pcb_purge 104980.02344&gt;80</t>
  </si>
  <si>
    <t>HIS Metrics - Number of paths PATH: tcp_pcb_remove 62400.01563&gt;80</t>
  </si>
  <si>
    <t>HIS Metrics - Max nesting level LEVEL: tcp_input 11&gt;4</t>
  </si>
  <si>
    <t>HIS Metrics - Max nesting level LEVEL: tcp_input_delayed_close 5&gt;4</t>
  </si>
  <si>
    <t>HIS Metrics - Max nesting level LEVEL: tcp_listen_input 8&gt;4</t>
  </si>
  <si>
    <t>HIS Metrics - Max nesting level LEVEL: tcp_process 9&gt;4</t>
  </si>
  <si>
    <t>HIS Metrics - Max nesting level LEVEL: tcp_free_acked_segments 6&gt;4</t>
  </si>
  <si>
    <t>tcp_free_acked_segments</t>
  </si>
  <si>
    <t>HIS Metrics - Max nesting level LEVEL: tcp_receive 11&gt;4</t>
  </si>
  <si>
    <t>HIS Metrics - Max nesting level LEVEL: tcp_parseopt 9&gt;4</t>
  </si>
  <si>
    <t>HIS Metrics - Cyclomatic v(G): tcp_input 137&gt;10</t>
  </si>
  <si>
    <t>HIS Metrics - Cyclomatic v(G): tcp_listen_input 35&gt;10</t>
  </si>
  <si>
    <t>HIS Metrics - Cyclomatic v(G): tcp_process 149&gt;10</t>
  </si>
  <si>
    <t>HIS Metrics - Cyclomatic v(G): tcp_free_acked_segments 26&gt;10</t>
  </si>
  <si>
    <t>HIS Metrics - Cyclomatic v(G): tcp_receive 194&gt;10</t>
  </si>
  <si>
    <t>HIS Metrics - Cyclomatic v(G): tcp_parseopt 42&gt;10</t>
  </si>
  <si>
    <t>HIS Metrics - Number of paths PATH: tcp_input 2147482752&gt;80</t>
  </si>
  <si>
    <t>HIS Metrics - Number of paths PATH: tcp_listen_input 1445.00073&gt;80</t>
  </si>
  <si>
    <t>HIS Metrics - Number of paths PATH: tcp_process 1523447.5&gt;80</t>
  </si>
  <si>
    <t>HIS Metrics - Number of paths PATH: tcp_free_acked_segments 10241.00195&gt;80</t>
  </si>
  <si>
    <t>HIS Metrics - Number of paths PATH: tcp_receive 2147482752&gt;80</t>
  </si>
  <si>
    <t>HIS Metrics - Number of paths PATH: tcp_parseopt 648.00006&gt;80</t>
  </si>
  <si>
    <t>HIS Metrics - Max nesting level LEVEL: tcp_create_segment 6&gt;4</t>
  </si>
  <si>
    <t>HIS Metrics - Max nesting level LEVEL: tcp_write_checks 6&gt;4</t>
  </si>
  <si>
    <t>HIS Metrics - Max nesting level LEVEL: tcp_write 11&gt;4</t>
  </si>
  <si>
    <t>HIS Metrics - Max nesting level LEVEL: tcp_split_unsent_seg 6&gt;4</t>
  </si>
  <si>
    <t>HIS Metrics - Max nesting level LEVEL: tcp_enqueue_flags 5&gt;4</t>
  </si>
  <si>
    <t>HIS Metrics - Max nesting level LEVEL: tcp_output 7&gt;4</t>
  </si>
  <si>
    <t>HIS Metrics - Max nesting level LEVEL: tcp_output_segment 6&gt;4</t>
  </si>
  <si>
    <t>HIS Metrics - Max nesting level LEVEL: tcp_rexmit_rto_prepare 7&gt;4</t>
  </si>
  <si>
    <t>HIS Metrics - Max nesting level LEVEL: tcp_rexmit 6&gt;4</t>
  </si>
  <si>
    <t>HIS Metrics - Max nesting level LEVEL: tcp_rexmit_fast 8&gt;4</t>
  </si>
  <si>
    <t>HIS Metrics - Max nesting level LEVEL: tcp_output_alloc_header_common 5&gt;4</t>
  </si>
  <si>
    <t>tcp_output_alloc_header_common</t>
  </si>
  <si>
    <t>HIS Metrics - Max nesting level LEVEL: tcp_rst 6&gt;4</t>
  </si>
  <si>
    <t>HIS Metrics - Max nesting level LEVEL: tcp_send_empty_ack 6&gt;4</t>
  </si>
  <si>
    <t>HIS Metrics - Max nesting level LEVEL: tcp_keepalive 6&gt;4</t>
  </si>
  <si>
    <t>HIS Metrics - Max nesting level LEVEL: tcp_zero_window_probe 6&gt;4</t>
  </si>
  <si>
    <t>HIS Metrics - Cyclomatic v(G): tcp_create_segment 26&gt;10</t>
  </si>
  <si>
    <t>HIS Metrics - Cyclomatic v(G): tcp_pbuf_prealloc 14&gt;10</t>
  </si>
  <si>
    <t>HIS Metrics - Cyclomatic v(G): tcp_write_checks 38&gt;10</t>
  </si>
  <si>
    <t>HIS Metrics - Cyclomatic v(G): tcp_write 148&gt;10</t>
  </si>
  <si>
    <t>HIS Metrics - Cyclomatic v(G): tcp_split_unsent_seg 50&gt;10</t>
  </si>
  <si>
    <t>HIS Metrics - Cyclomatic v(G): tcp_enqueue_flags 51&gt;10</t>
  </si>
  <si>
    <t>HIS Metrics - Cyclomatic v(G): tcp_output 55&gt;10</t>
  </si>
  <si>
    <t>HIS Metrics - Cyclomatic v(G): tcp_output_segment 38&gt;10</t>
  </si>
  <si>
    <t>HIS Metrics - Cyclomatic v(G): tcp_rexmit_rto_prepare 21&gt;10</t>
  </si>
  <si>
    <t>HIS Metrics - Cyclomatic v(G): tcp_rexmit 14&gt;10</t>
  </si>
  <si>
    <t>HIS Metrics - Cyclomatic v(G): tcp_rexmit_fast 19&gt;10</t>
  </si>
  <si>
    <t>HIS Metrics - Cyclomatic v(G): tcp_output_fill_options 11&gt;10</t>
  </si>
  <si>
    <t>HIS Metrics - Cyclomatic v(G): tcp_rst 22&gt;10</t>
  </si>
  <si>
    <t>HIS Metrics - Cyclomatic v(G): tcp_send_empty_ack 23&gt;10</t>
  </si>
  <si>
    <t>HIS Metrics - Cyclomatic v(G): tcp_keepalive 39&gt;10</t>
  </si>
  <si>
    <t>HIS Metrics - Cyclomatic v(G): tcp_zero_window_probe 44&gt;10</t>
  </si>
  <si>
    <t>HIS Metrics - Number of paths PATH: tcp_create_segment 703.99969&gt;80</t>
  </si>
  <si>
    <t>HIS Metrics - Number of paths PATH: tcp_pbuf_prealloc 240.00002&gt;80</t>
  </si>
  <si>
    <t>HIS Metrics - Number of paths PATH: tcp_write_checks 868.00018&gt;80</t>
  </si>
  <si>
    <t>HIS Metrics - Number of paths PATH: tcp_write 2147482752&gt;80</t>
  </si>
  <si>
    <t>HIS Metrics - Number of paths PATH: tcp_split_unsent_seg 2986007.25&gt;80</t>
  </si>
  <si>
    <t>HIS Metrics - Number of paths PATH: tcp_enqueue_flags 94374328&gt;80</t>
  </si>
  <si>
    <t>HIS Metrics - Number of paths PATH: tcp_output 20661024&gt;80</t>
  </si>
  <si>
    <t>HIS Metrics - Number of paths PATH: tcp_output_segment 295423.90625&gt;80</t>
  </si>
  <si>
    <t>HIS Metrics - Number of paths PATH: tcp_rexmit_rto_prepare 132.00002&gt;80</t>
  </si>
  <si>
    <t>HIS Metrics - Number of paths PATH: tcp_rexmit_fast 611.99976&gt;80</t>
  </si>
  <si>
    <t>HIS Metrics - Number of paths PATH: tcp_rst 255.99988&gt;80</t>
  </si>
  <si>
    <t>HIS Metrics - Number of paths PATH: tcp_send_empty_ack 191.99991&gt;80</t>
  </si>
  <si>
    <t>HIS Metrics - Number of paths PATH: tcp_keepalive 262144&gt;80</t>
  </si>
  <si>
    <t>HIS Metrics - Number of paths PATH: tcp_zero_window_probe 1327104.125&gt;80</t>
  </si>
  <si>
    <t>HIS Metrics - Number of parameters PARAM: tcp_pbuf_prealloc 7&gt;5</t>
  </si>
  <si>
    <t>HIS Metrics - Number of parameters PARAM: tcp_output_alloc_header_common 8&gt;5</t>
  </si>
  <si>
    <t>HIS Metrics - Number of parameters PARAM: tcp_rst 7&gt;5</t>
  </si>
  <si>
    <t>HIS Metrics - Max nesting level LEVEL: tcpecho_thread 5&gt;4</t>
  </si>
  <si>
    <t>HIS Metrics - Max nesting level LEVEL: tcpecho_raw_recv 5&gt;4</t>
  </si>
  <si>
    <t>HIS Metrics - Cyclomatic v(G): tcpecho_raw_recv 11&gt;10</t>
  </si>
  <si>
    <t>HIS Metrics - Max nesting level LEVEL: tcpip_thread 7&gt;4</t>
  </si>
  <si>
    <t>HIS Metrics - Max nesting level LEVEL: tcpip_thread_handle_msg 6&gt;4</t>
  </si>
  <si>
    <t>HIS Metrics - Max nesting level LEVEL: tcpip_init 5&gt;4</t>
  </si>
  <si>
    <t>tcpip_init</t>
  </si>
  <si>
    <t>HIS Metrics - Cyclomatic v(G): tcpip_thread 12&gt;10</t>
  </si>
  <si>
    <t>HIS Metrics - Cyclomatic v(G): tcpip_thread_handle_msg 28&gt;10</t>
  </si>
  <si>
    <t>HIS Metrics - Max nesting level LEVEL: close_handle 6&gt;4</t>
  </si>
  <si>
    <t>close_handle</t>
  </si>
  <si>
    <t>HIS Metrics - Max nesting level LEVEL: recv 6&gt;4</t>
  </si>
  <si>
    <t>HIS Metrics - Max nesting level LEVEL: tftp_tmr 7&gt;4</t>
  </si>
  <si>
    <t>tftp_tmr</t>
  </si>
  <si>
    <t>HIS Metrics - Cyclomatic v(G): recv 41&gt;10</t>
  </si>
  <si>
    <t>HIS Metrics - Cyclomatic v(G): tftp_tmr 14&gt;10</t>
  </si>
  <si>
    <t>HIS Metrics - Number of paths PATH: recv 1045&gt;80</t>
  </si>
  <si>
    <t>/kwbuilds/release_area/mcu_plus_sdk/source/mathlib/trig/ti_arm_trig.c</t>
  </si>
  <si>
    <t>HIS Metrics - Number of paths PATH: ti_arm_atan2 96&gt;80</t>
  </si>
  <si>
    <t>ti_arm_atan2</t>
  </si>
  <si>
    <t>HIS Metrics - Max nesting level LEVEL: bsp_eeprom_emulation_init 5&gt;4</t>
  </si>
  <si>
    <t>HIS Metrics - Max nesting level LEVEL: bsp_pdi_post_read_indication 10&gt;4</t>
  </si>
  <si>
    <t>bsp_pdi_post_read_indication</t>
  </si>
  <si>
    <t>HIS Metrics - Max nesting level LEVEL: bsp_pdi_write_indication 5&gt;4</t>
  </si>
  <si>
    <t>bsp_pdi_write_indication</t>
  </si>
  <si>
    <t>HIS Metrics - Cyclomatic v(G): bsp_esc_reg_perm_init 18&gt;10</t>
  </si>
  <si>
    <t>bsp_esc_reg_perm_init</t>
  </si>
  <si>
    <t>HIS Metrics - Cyclomatic v(G): bsp_init 31&gt;10</t>
  </si>
  <si>
    <t>bsp_init</t>
  </si>
  <si>
    <t>HIS Metrics - Cyclomatic v(G): bsp_pdi_post_read_indication 11&gt;10</t>
  </si>
  <si>
    <t>HIS Metrics - Number of paths PATH: bsp_esc_reg_perm_init 131071.94531&gt;80</t>
  </si>
  <si>
    <t>HIS Metrics - Number of paths PATH: bsp_init 24564370&gt;80</t>
  </si>
  <si>
    <t>HIS Metrics - Max nesting level LEVEL: sys_timeout_abs 5&gt;4</t>
  </si>
  <si>
    <t>sys_timeout_abs</t>
  </si>
  <si>
    <t>HIS Metrics - Max nesting level LEVEL: sys_timeouts_sleeptime 5&gt;4</t>
  </si>
  <si>
    <t>sys_timeouts_sleeptime</t>
  </si>
  <si>
    <t>HIS Metrics - Cyclomatic v(G): sys_timeout_abs 11&gt;10</t>
  </si>
  <si>
    <t>HIS Metrics - Number of parameters PARAM: xTimerCreateStatic 6&gt;5</t>
  </si>
  <si>
    <t>xTimerCreateStatic</t>
  </si>
  <si>
    <t>HIS Metrics - Number of parameters PARAM: prvInitialiseNewTimer 6&gt;5</t>
  </si>
  <si>
    <t>prvInitialiseNewTimer</t>
  </si>
  <si>
    <t>HIS Metrics - Max nesting level LEVEL: prvProcessReceivedCommands 6&gt;4</t>
  </si>
  <si>
    <t>prvProcessReceivedCommands</t>
  </si>
  <si>
    <t>HIS Metrics - Cyclomatic v(G): prvProcessReceivedCommands 13&gt;10</t>
  </si>
  <si>
    <t>HIS Metrics - Max nesting level LEVEL: UART_edmaChInit 5&gt;4</t>
  </si>
  <si>
    <t>UART_edmaChInit</t>
  </si>
  <si>
    <t>HIS Metrics - Cyclomatic v(G): UART_edmaClose 12&gt;10</t>
  </si>
  <si>
    <t>UART_edmaClose</t>
  </si>
  <si>
    <t>HIS Metrics - Number of paths PATH: UART_edmaClose 516.00018&gt;80</t>
  </si>
  <si>
    <t>HIS Metrics - Cyclomatic v(G): UART_open 16&gt;10</t>
  </si>
  <si>
    <t>HIS Metrics - Cyclomatic v(G): UART_write 14&gt;10</t>
  </si>
  <si>
    <t>UART_write</t>
  </si>
  <si>
    <t>HIS Metrics - Cyclomatic v(G): UART_read 14&gt;10</t>
  </si>
  <si>
    <t>UART_read</t>
  </si>
  <si>
    <t>HIS Metrics - Number of paths PATH: UART_open 5292.00098&gt;80</t>
  </si>
  <si>
    <t>HIS Metrics - Number of paths PATH: UART_write 377.99997&gt;80</t>
  </si>
  <si>
    <t>HIS Metrics - Number of paths PATH: UART_read 377.99997&gt;80</t>
  </si>
  <si>
    <t>HIS Metrics - Max nesting level LEVEL: UART_write 7&gt;4</t>
  </si>
  <si>
    <t>HIS Metrics - Max nesting level LEVEL: UART_read 7&gt;4</t>
  </si>
  <si>
    <t>HIS Metrics - Max nesting level LEVEL: UART_procLineStatusErr 6&gt;4</t>
  </si>
  <si>
    <t>UART_procLineStatusErr</t>
  </si>
  <si>
    <t>HIS Metrics - Max nesting level LEVEL: udp_input 8&gt;4</t>
  </si>
  <si>
    <t>HIS Metrics - Max nesting level LEVEL: udp_sendto 6&gt;4</t>
  </si>
  <si>
    <t>HIS Metrics - Max nesting level LEVEL: udp_sendto_if_src 9&gt;4</t>
  </si>
  <si>
    <t>HIS Metrics - Max nesting level LEVEL: udp_bind 9&gt;4</t>
  </si>
  <si>
    <t>udp_bind</t>
  </si>
  <si>
    <t>HIS Metrics - Max nesting level LEVEL: udp_connect 5&gt;4</t>
  </si>
  <si>
    <t>udp_connect</t>
  </si>
  <si>
    <t>HIS Metrics - Cyclomatic v(G): udp_input_local_match 13&gt;10</t>
  </si>
  <si>
    <t>HIS Metrics - Cyclomatic v(G): udp_input 110&gt;10</t>
  </si>
  <si>
    <t>HIS Metrics - Cyclomatic v(G): udp_sendto 41&gt;10</t>
  </si>
  <si>
    <t>HIS Metrics - Cyclomatic v(G): udp_sendto_if 16&gt;10</t>
  </si>
  <si>
    <t>HIS Metrics - Cyclomatic v(G): udp_sendto_if_src 92&gt;10</t>
  </si>
  <si>
    <t>HIS Metrics - Cyclomatic v(G): udp_bind 58&gt;10</t>
  </si>
  <si>
    <t>HIS Metrics - Cyclomatic v(G): udp_connect 27&gt;10</t>
  </si>
  <si>
    <t>HIS Metrics - Number of paths PATH: udp_input_local_match 112.00004&gt;80</t>
  </si>
  <si>
    <t>HIS Metrics - Number of paths PATH: udp_input 2147482752&gt;80</t>
  </si>
  <si>
    <t>HIS Metrics - Number of paths PATH: udp_sendto 295510.15625&gt;80</t>
  </si>
  <si>
    <t>HIS Metrics - Number of paths PATH: udp_sendto_if 94.00002&gt;80</t>
  </si>
  <si>
    <t>HIS Metrics - Number of paths PATH: udp_sendto_if_src 2147482752&gt;80</t>
  </si>
  <si>
    <t>HIS Metrics - Number of paths PATH: udp_bind 25264154&gt;80</t>
  </si>
  <si>
    <t>HIS Metrics - Number of paths PATH: udp_connect 12298.00684&gt;80</t>
  </si>
  <si>
    <t>HIS Metrics - Number of parameters PARAM: udp_sendto_if_src 6&gt;5</t>
  </si>
  <si>
    <t>HIS Metrics - Max nesting level LEVEL: udpecho_thread 9&gt;4</t>
  </si>
  <si>
    <t>HIS Metrics - Cyclomatic v(G): udpecho_thread 23&gt;10</t>
  </si>
  <si>
    <t>HIS Metrics - Number of parameters PARAM: Vsc8514_rmwExtReg 6&gt;5</t>
  </si>
  <si>
    <t>Vsc8514_rmwExtReg</t>
  </si>
  <si>
    <t>HIS Metrics - Max nesting level LEVEL: xmodemReceive 6&gt;4</t>
  </si>
  <si>
    <t>HIS Metrics - Max nesting level LEVEL: xmodemTransmit 8&gt;4</t>
  </si>
  <si>
    <t>xmodemTransmit</t>
  </si>
  <si>
    <t>HIS Metrics - Cyclomatic v(G): xmodemReceive 20&gt;10</t>
  </si>
  <si>
    <t>HIS Metrics - Cyclomatic v(G): xmodemTransmit 25&gt;10</t>
  </si>
  <si>
    <t>HIS Metrics - Cyclomatic v(G): EnetUtils_delayNs 13&gt;10</t>
  </si>
  <si>
    <t>EnetUtils_delayNs</t>
  </si>
  <si>
    <t>HIS Metrics - Number of paths PATH: EnetUtils_delayNs 2048.99927&gt;80</t>
  </si>
  <si>
    <t>HIS Metrics - Max nesting level LEVEL: SDL_ECC_init 6&gt;4</t>
  </si>
  <si>
    <t>Permitted by MISRAC-51,MISRAC-75</t>
  </si>
  <si>
    <t>Expression 'sdlResult' used in the condition always yields the same result, and causes an unreachable code</t>
  </si>
  <si>
    <t>/kwbuilds/release_area/mcu_plus_sdk/source/sdl/ecc_bus_safety/v0/soc/am263x/sdl_ecc_bus_safety.c</t>
  </si>
  <si>
    <t>HIS Metrics - Cyclomatic v(G): SDL_ECC_BUS_SAFETY_MSS_getRegOffset 40&gt;10</t>
  </si>
  <si>
    <t>SDL_ECC_BUS_SAFETY_MSS_getRegOffset</t>
  </si>
  <si>
    <t>/kwbuilds/release_area/mcu_plus_sdk/source/sdl/r5/v0/am263x/sdl_ccm.c</t>
  </si>
  <si>
    <t>HIS Metrics - Number of parameters PARAM: SDL_CCM_ESM_callBackFunction 6&gt;5</t>
  </si>
  <si>
    <t>SDL_CCM_ESM_callBackFunction</t>
  </si>
  <si>
    <t>HIS Metrics - Cyclomatic v(G): SDL_CCM_ESM_callBackFunction 12&gt;10</t>
  </si>
  <si>
    <t>HIS Metrics - Cyclomatic v(G): SDL_CCM_selfTest 22&gt;10</t>
  </si>
  <si>
    <t>SDL_CCM_selfTest</t>
  </si>
  <si>
    <t>HIS Metrics - Number of paths PATH: SDL_CCM_ESM_callBackFunction 360.00003&gt;80</t>
  </si>
  <si>
    <t>HIS Metrics - Number of paths PATH: SDL_CCM_selfTest 51839.98047&gt;80</t>
  </si>
  <si>
    <t>/kwbuilds/release_area/mcu_plus_sdk/source/sdl/r5/v0/sdl_mcu_armss_ccmr5.c</t>
  </si>
  <si>
    <t>HIS Metrics - Cyclomatic v(G): SDL_armR5CCMSetOperationModeKey 11&gt;10</t>
  </si>
  <si>
    <t>SDL_armR5CCMSetOperationModeKey</t>
  </si>
  <si>
    <t>HIS Metrics - Cyclomatic v(G): SDL_armR5CCMGetOperationModeKey 11&gt;10</t>
  </si>
  <si>
    <t>SDL_armR5CCMGetOperationModeKey</t>
  </si>
  <si>
    <t>HIS Metrics - Number of paths PATH: SDL_armR5CCMSetOperationModeKey 99.99996&gt;80</t>
  </si>
  <si>
    <t>HIS Metrics - Number of paths PATH: SDL_armR5CCMGetOperationModeKey 99.99996&gt;80</t>
  </si>
  <si>
    <t>/kwbuilds/release_area/mcu_plus_sdk/source/sdl/stc/v0/soc/am263x/sdl_stc_soc.c</t>
  </si>
  <si>
    <t>HIS Metrics - Max nesting level LEVEL: SDL_STC_getStatus 5&gt;4</t>
  </si>
  <si>
    <t>SDL_STC_getStatus</t>
  </si>
  <si>
    <t>HIS Metrics - Max nesting level LEVEL: MCSPI_edmaIsrTx 5&gt;4</t>
  </si>
  <si>
    <t>MCSPI_edmaIsrTx</t>
  </si>
  <si>
    <t>HIS Metrics - Max nesting level LEVEL: MCSPI_edmaIsrRx 5&gt;4</t>
  </si>
  <si>
    <t>MCSPI_edmaIsrRx</t>
  </si>
  <si>
    <t>HIS Metrics - Max nesting level LEVEL: EnetPhy_linkWaitState 5&gt;4</t>
  </si>
  <si>
    <t>EnetPhy_linkWaitState</t>
  </si>
  <si>
    <t>HIS Metrics - Max nesting level LEVEL: SDL_ECC_BUS_SAFETY_MSS_secExecute 5&gt;4</t>
  </si>
  <si>
    <t>SDL_ECC_BUS_SAFETY_MSS_secExecute</t>
  </si>
  <si>
    <t>HIS Metrics - Max nesting level LEVEL: SDL_ECC_BUS_SAFETY_MSS_dedExecute 5&gt;4</t>
  </si>
  <si>
    <t>SDL_ECC_BUS_SAFETY_MSS_dedExecute</t>
  </si>
  <si>
    <t>EFFECT</t>
  </si>
  <si>
    <t>Statement has no effect</t>
  </si>
  <si>
    <t>/kwbuilds/release_area/mcu_plus_sdk/source/networking/mbedtls_library/mbedtls/library/ecp.c</t>
  </si>
  <si>
    <t>Memory pointed by 'grp-&gt;P.p' is freed at this point, but this memory is not freed upon function exits at line(s) 348.</t>
  </si>
  <si>
    <t>mbedtls_ecp_group_free</t>
  </si>
  <si>
    <t>Memory pointed by 'grp-&gt;A.p' is freed at this point, but this memory is not freed upon function exits at line(s) 348.</t>
  </si>
  <si>
    <t>Memory pointed by 'grp-&gt;B.p' is freed at this point, but this memory is not freed upon function exits at line(s) 348.</t>
  </si>
  <si>
    <t>Memory pointed by 'grp-&gt;G.X.p' is freed at this point, but this memory is not freed upon function exits at line(s) 348.</t>
  </si>
  <si>
    <t>Memory pointed by 'grp-&gt;G.Y.p' is freed at this point, but this memory is not freed upon function exits at line(s) 348.</t>
  </si>
  <si>
    <t>Memory pointed by 'grp-&gt;G.Z.p' is freed at this point, but this memory is not freed upon function exits at line(s) 348.</t>
  </si>
  <si>
    <t>Memory pointed by 'grp-&gt;N.p' is freed at this point, but this memory is not freed upon function exits at line(s) 348.</t>
  </si>
  <si>
    <t>Memory pointed by 'R-&gt;Y.p' is freed at this point, but this memory is not freed upon function exits at line(s) 1670.</t>
  </si>
  <si>
    <t>ecp_mul_mxz</t>
  </si>
  <si>
    <t>HIS Metrics - Number of parameters PARAM: mbedtls_ecp_point_write_binary 6&gt;5</t>
  </si>
  <si>
    <t>mbedtls_ecp_point_write_binary</t>
  </si>
  <si>
    <t>HIS Metrics - Number of parameters PARAM: mbedtls_ecp_tls_write_point 6&gt;5</t>
  </si>
  <si>
    <t>mbedtls_ecp_tls_write_point</t>
  </si>
  <si>
    <t>HIS Metrics - Number of parameters PARAM: ecp_mul_comb_core 8&gt;5</t>
  </si>
  <si>
    <t>ecp_mul_comb_core</t>
  </si>
  <si>
    <t>HIS Metrics - Number of parameters PARAM: ecp_mul_comb 6&gt;5</t>
  </si>
  <si>
    <t>ecp_mul_comb</t>
  </si>
  <si>
    <t>HIS Metrics - Number of parameters PARAM: ecp_double_add_mxz 6&gt;5</t>
  </si>
  <si>
    <t>ecp_double_add_mxz</t>
  </si>
  <si>
    <t>HIS Metrics - Number of parameters PARAM: ecp_mul_mxz 6&gt;5</t>
  </si>
  <si>
    <t>HIS Metrics - Number of parameters PARAM: mbedtls_ecp_mul 6&gt;5</t>
  </si>
  <si>
    <t>mbedtls_ecp_mul</t>
  </si>
  <si>
    <t>HIS Metrics - Number of parameters PARAM: mbedtls_ecp_muladd 6&gt;5</t>
  </si>
  <si>
    <t>mbedtls_ecp_muladd</t>
  </si>
  <si>
    <t>HIS Metrics - Number of parameters PARAM: mbedtls_ecp_gen_keypair_base 6&gt;5</t>
  </si>
  <si>
    <t>mbedtls_ecp_gen_keypair_base</t>
  </si>
  <si>
    <t>HIS Metrics - Max nesting level LEVEL: mbedtls_ecp_point_write_binary 5&gt;4</t>
  </si>
  <si>
    <t>HIS Metrics - Max nesting level LEVEL: ecp_normalize_jac_many 6&gt;4</t>
  </si>
  <si>
    <t>ecp_normalize_jac_many</t>
  </si>
  <si>
    <t>HIS Metrics - Max nesting level LEVEL: ecp_double_jac 6&gt;4</t>
  </si>
  <si>
    <t>ecp_double_jac</t>
  </si>
  <si>
    <t>HIS Metrics - Max nesting level LEVEL: ecp_randomize_jac 5&gt;4</t>
  </si>
  <si>
    <t>ecp_randomize_jac</t>
  </si>
  <si>
    <t>HIS Metrics - Max nesting level LEVEL: ecp_precompute_comb 5&gt;4</t>
  </si>
  <si>
    <t>ecp_precompute_comb</t>
  </si>
  <si>
    <t>HIS Metrics - Max nesting level LEVEL: ecp_randomize_mxz 5&gt;4</t>
  </si>
  <si>
    <t>ecp_randomize_mxz</t>
  </si>
  <si>
    <t>HIS Metrics - Max nesting level LEVEL: ecp_check_pubkey_sw 6&gt;4</t>
  </si>
  <si>
    <t>ecp_check_pubkey_sw</t>
  </si>
  <si>
    <t>HIS Metrics - Max nesting level LEVEL: mbedtls_ecp_mul_shortcuts 7&gt;4</t>
  </si>
  <si>
    <t>mbedtls_ecp_mul_shortcuts</t>
  </si>
  <si>
    <t>HIS Metrics - Max nesting level LEVEL: mbedtls_ecp_gen_keypair_base 7&gt;4</t>
  </si>
  <si>
    <t>HIS Metrics - Cyclomatic v(G): mbedtls_ecp_point_write_binary 14&gt;10</t>
  </si>
  <si>
    <t>HIS Metrics - Cyclomatic v(G): mbedtls_ecp_point_read_binary 12&gt;10</t>
  </si>
  <si>
    <t>mbedtls_ecp_point_read_binary</t>
  </si>
  <si>
    <t>HIS Metrics - Cyclomatic v(G): ecp_modp 11&gt;10</t>
  </si>
  <si>
    <t>ecp_modp</t>
  </si>
  <si>
    <t>HIS Metrics - Cyclomatic v(G): ecp_normalize_jac 26&gt;10</t>
  </si>
  <si>
    <t>ecp_normalize_jac</t>
  </si>
  <si>
    <t>HIS Metrics - Cyclomatic v(G): ecp_normalize_jac_many 53&gt;10</t>
  </si>
  <si>
    <t>HIS Metrics - Cyclomatic v(G): ecp_double_jac 134&gt;10</t>
  </si>
  <si>
    <t>HIS Metrics - Cyclomatic v(G): ecp_add_mixed 102&gt;10</t>
  </si>
  <si>
    <t>ecp_add_mixed</t>
  </si>
  <si>
    <t>HIS Metrics - Cyclomatic v(G): ecp_randomize_jac 33&gt;10</t>
  </si>
  <si>
    <t>HIS Metrics - Cyclomatic v(G): ecp_precompute_comb 17&gt;10</t>
  </si>
  <si>
    <t>HIS Metrics - Cyclomatic v(G): ecp_mul_comb_core 15&gt;10</t>
  </si>
  <si>
    <t>HIS Metrics - Cyclomatic v(G): ecp_mul_comb 27&gt;10</t>
  </si>
  <si>
    <t>HIS Metrics - Cyclomatic v(G): ecp_randomize_mxz 18&gt;10</t>
  </si>
  <si>
    <t>HIS Metrics - Cyclomatic v(G): ecp_double_add_mxz 91&gt;10</t>
  </si>
  <si>
    <t>HIS Metrics - Cyclomatic v(G): ecp_mul_mxz 28&gt;10</t>
  </si>
  <si>
    <t>HIS Metrics - Cyclomatic v(G): ecp_check_pubkey_sw 34&gt;10</t>
  </si>
  <si>
    <t>HIS Metrics - Cyclomatic v(G): mbedtls_ecp_mul_shortcuts 12&gt;10</t>
  </si>
  <si>
    <t>HIS Metrics - Cyclomatic v(G): mbedtls_ecp_gen_keypair_base 25&gt;10</t>
  </si>
  <si>
    <t>Expression 'format==1' used in the condition always yields the same result</t>
  </si>
  <si>
    <t>mbedtls_ecp_tls_read_group</t>
  </si>
  <si>
    <t>HIS Metrics - Number of paths PATH: ecp_normalize_jac 186624.92188&gt;80</t>
  </si>
  <si>
    <t>HIS Metrics - Number of paths PATH: ecp_normalize_jac_many 231.99986&gt;80</t>
  </si>
  <si>
    <t>HIS Metrics - Number of paths PATH: ecp_double_jac 2147482752&gt;80</t>
  </si>
  <si>
    <t>HIS Metrics - Number of paths PATH: ecp_add_mixed 2147482752&gt;80</t>
  </si>
  <si>
    <t>HIS Metrics - Number of paths PATH: ecp_randomize_jac 3234829.25&gt;80</t>
  </si>
  <si>
    <t>HIS Metrics - Number of paths PATH: ecp_precompute_comb 1754.99963&gt;80</t>
  </si>
  <si>
    <t>HIS Metrics - Number of paths PATH: ecp_mul_comb_core 1007.99939&gt;80</t>
  </si>
  <si>
    <t>HIS Metrics - Number of paths PATH: ecp_mul_comb 454897&gt;80</t>
  </si>
  <si>
    <t>HIS Metrics - Number of paths PATH: ecp_normalize_mxz 107.99995&gt;80</t>
  </si>
  <si>
    <t>ecp_normalize_mxz</t>
  </si>
  <si>
    <t>HIS Metrics - Number of paths PATH: ecp_randomize_mxz 1884.00098&gt;80</t>
  </si>
  <si>
    <t>HIS Metrics - Number of paths PATH: ecp_double_add_mxz 2147482752&gt;80</t>
  </si>
  <si>
    <t>HIS Metrics - Number of paths PATH: ecp_mul_mxz 948671.9375&gt;80</t>
  </si>
  <si>
    <t>HIS Metrics - Number of paths PATH: ecp_check_pubkey_sw 995328.625&gt;80</t>
  </si>
  <si>
    <t>HIS Metrics - Number of paths PATH: mbedtls_ecp_muladd 82&gt;80</t>
  </si>
  <si>
    <t>HIS Metrics - Number of paths PATH: mbedtls_ecp_gen_keypair_base 1757.99976&gt;80</t>
  </si>
  <si>
    <t>Variable 'pt-&gt;X' used twice in one expression where one usage is subject to side-effects</t>
  </si>
  <si>
    <t>Variable 'pt-&gt;Y' used twice in one expression where one usage is subject to side-effects</t>
  </si>
  <si>
    <t>Variable 'u' used twice in one expression where one usage is subject to side-effects</t>
  </si>
  <si>
    <t>Variable 'T' used twice in one expression where one usage is subject to side-effects</t>
  </si>
  <si>
    <t>Variable 'U' used twice in one expression where one usage is subject to side-effects</t>
  </si>
  <si>
    <t>Variable 'M' used twice in one expression where one usage is subject to side-effects</t>
  </si>
  <si>
    <t>Variable 'S' used twice in one expression where one usage is subject to side-effects</t>
  </si>
  <si>
    <t>Variable 'T1' used twice in one expression where one usage is subject to side-effects</t>
  </si>
  <si>
    <t>Variable 'T2' used twice in one expression where one usage is subject to side-effects</t>
  </si>
  <si>
    <t>Variable 'T3' used twice in one expression where one usage is subject to side-effects</t>
  </si>
  <si>
    <t>Variable 'X' used twice in one expression where one usage is subject to side-effects</t>
  </si>
  <si>
    <t>Variable 'T4' used twice in one expression where one usage is subject to side-effects</t>
  </si>
  <si>
    <t>Variable 'Y' used twice in one expression where one usage is subject to side-effects</t>
  </si>
  <si>
    <t>Variable 'pt-&gt;Z' used twice in one expression where one usage is subject to side-effects</t>
  </si>
  <si>
    <t>Variable 'll' used twice in one expression where one usage is subject to side-effects</t>
  </si>
  <si>
    <t>Variable 'P-&gt;Z' used twice in one expression where one usage is subject to side-effects</t>
  </si>
  <si>
    <t>Variable 'P-&gt;X' used twice in one expression where one usage is subject to side-effects</t>
  </si>
  <si>
    <t>Variable 'A' used twice in one expression where one usage is subject to side-effects</t>
  </si>
  <si>
    <t>Variable 'B' used twice in one expression where one usage is subject to side-effects</t>
  </si>
  <si>
    <t>Variable 'E' used twice in one expression where one usage is subject to side-effects</t>
  </si>
  <si>
    <t>Variable 'C' used twice in one expression where one usage is subject to side-effects</t>
  </si>
  <si>
    <t>Variable 'D' used twice in one expression where one usage is subject to side-effects</t>
  </si>
  <si>
    <t>Variable 'S-&gt;X' used twice in one expression where one usage is subject to side-effects</t>
  </si>
  <si>
    <t>Variable 'S-&gt;Z' used twice in one expression where one usage is subject to side-effects</t>
  </si>
  <si>
    <t>Variable 'R-&gt;Z' used twice in one expression where one usage is subject to side-effects</t>
  </si>
  <si>
    <t>Variable 'RP.X' used twice in one expression where one usage is subject to side-effects</t>
  </si>
  <si>
    <t>Variable 'RP' used twice in one expression where one usage is subject to side-effects</t>
  </si>
  <si>
    <t>Variable 'RHS' used twice in one expression where one usage is subject to side-effects</t>
  </si>
  <si>
    <t>Variable 'R-&gt;Y' used twice in one expression where one usage is subject to side-effects</t>
  </si>
  <si>
    <t>Expression 'w&gt;6' used in the condition always yields the same result, and causes an unreachable code</t>
  </si>
  <si>
    <t>/kwbuilds/release_area/mcu_plus_sdk/source/networking/mbedtls_library/mbedtls/library/md5.c</t>
  </si>
  <si>
    <t>Expression '(ret) != 0' used in the condition always yields the same result, and causes an unreachable code</t>
  </si>
  <si>
    <t>mbedtls_md5_update_ret</t>
  </si>
  <si>
    <t>mbedtls_md5_finish_ret</t>
  </si>
  <si>
    <t>Expression '(ret=mbedtls_md5_starts_ret( &amp;ctx) ) !=0' used in the condition always yields the same result, and causes an unreachable code</t>
  </si>
  <si>
    <t>mbedtls_md5_ret</t>
  </si>
  <si>
    <t>Expression '(ret=mbedtls_md5_update_ret( &amp;ctx, in...' used in the condition always yields the same result, and causes an unreachable code</t>
  </si>
  <si>
    <t>Expression '(ret=mbedtls_md5_finish_ret( &amp;ctx, ou...' used in the condition always yields the same result, and causes an unreachable code</t>
  </si>
  <si>
    <t>/kwbuilds/release_area/mcu_plus_sdk/source/networking/mbedtls_library/mbedtls/library/sha1.c</t>
  </si>
  <si>
    <t>Expression '(ret=mbedtls_sha1_starts_ret( &amp;ctx) )...' used in the condition always yields the same result, and causes an unreachable code</t>
  </si>
  <si>
    <t>mbedtls_sha1_ret</t>
  </si>
  <si>
    <t>/kwbuilds/release_area/mcu_plus_sdk/source/networking/mbedtls_library/mbedtls/library/aes.c</t>
  </si>
  <si>
    <t>HIS Metrics - Cyclomatic v(G): aes_gen_tables 12&gt;10</t>
  </si>
  <si>
    <t>aes_gen_tables</t>
  </si>
  <si>
    <t>HIS Metrics - Cyclomatic v(G): mbedtls_aes_setkey_enc 12&gt;10</t>
  </si>
  <si>
    <t>mbedtls_aes_setkey_enc</t>
  </si>
  <si>
    <t>HIS Metrics - Cyclomatic v(G): mbedtls_aes_crypt_xts 15&gt;10</t>
  </si>
  <si>
    <t>mbedtls_aes_crypt_xts</t>
  </si>
  <si>
    <t>HIS Metrics - Number of paths PATH: mbedtls_aes_setkey_enc 85.99998&gt;80</t>
  </si>
  <si>
    <t>HIS Metrics - Number of paths PATH: mbedtls_aes_crypt_xts 124.00005&gt;80</t>
  </si>
  <si>
    <t>Value of 'RK' is never used after assignment</t>
  </si>
  <si>
    <t>mbedtls_aes_setkey_dec</t>
  </si>
  <si>
    <t>Value of 'SK' is never used after assignment</t>
  </si>
  <si>
    <t>mbedtls_internal_aes_encrypt</t>
  </si>
  <si>
    <t>mbedtls_internal_aes_decrypt</t>
  </si>
  <si>
    <t>HIS Metrics - Number of parameters PARAM: mbedtls_aes_xts_decode_keys 6&gt;5</t>
  </si>
  <si>
    <t>mbedtls_aes_xts_decode_keys</t>
  </si>
  <si>
    <t>HIS Metrics - Number of parameters PARAM: mbedtls_aes_crypt_cbc 6&gt;5</t>
  </si>
  <si>
    <t>mbedtls_aes_crypt_cbc</t>
  </si>
  <si>
    <t>HIS Metrics - Number of parameters PARAM: mbedtls_aes_crypt_xts 6&gt;5</t>
  </si>
  <si>
    <t>HIS Metrics - Number of parameters PARAM: mbedtls_aes_crypt_cfb128 7&gt;5</t>
  </si>
  <si>
    <t>mbedtls_aes_crypt_cfb128</t>
  </si>
  <si>
    <t>HIS Metrics - Number of parameters PARAM: mbedtls_aes_crypt_cfb8 6&gt;5</t>
  </si>
  <si>
    <t>mbedtls_aes_crypt_cfb8</t>
  </si>
  <si>
    <t>HIS Metrics - Number of parameters PARAM: mbedtls_aes_crypt_ofb 6&gt;5</t>
  </si>
  <si>
    <t>mbedtls_aes_crypt_ofb</t>
  </si>
  <si>
    <t>HIS Metrics - Number of parameters PARAM: mbedtls_aes_crypt_ctr 7&gt;5</t>
  </si>
  <si>
    <t>mbedtls_aes_crypt_ctr</t>
  </si>
  <si>
    <t>Expression 'ret != 0' used in the condition always yields the same result, and causes an unreachable code</t>
  </si>
  <si>
    <t>Expression 'ret!=0' used in the condition always yields the same result, and causes an unreachable code</t>
  </si>
  <si>
    <t>HIS Metrics - Max nesting level LEVEL: mbedtls_aes_crypt_ctr 5&gt;4</t>
  </si>
  <si>
    <t>/kwbuilds/release_area/mcu_plus_sdk/source/networking/mbedtls_library/mbedtls/library/asn1parse.c</t>
  </si>
  <si>
    <t>HIS Metrics - Cyclomatic v(G): mbedtls_asn1_get_len 12&gt;10</t>
  </si>
  <si>
    <t>mbedtls_asn1_get_len</t>
  </si>
  <si>
    <t>/kwbuilds/release_area/mcu_plus_sdk/source/networking/mbedtls_library/mbedtls/library/base64.c</t>
  </si>
  <si>
    <t>Value of 'src' is never used after assignment</t>
  </si>
  <si>
    <t>mbedtls_base64_encode</t>
  </si>
  <si>
    <t>HIS Metrics - Cyclomatic v(G): mbedtls_base64_decode 18&gt;10</t>
  </si>
  <si>
    <t>mbedtls_base64_decode</t>
  </si>
  <si>
    <t>HIS Metrics - Number of paths PATH: mbedtls_base64_decode 125.00001&gt;80</t>
  </si>
  <si>
    <t>/kwbuilds/release_area/mcu_plus_sdk/source/networking/mbedtls_library/mbedtls/library/bignum.c</t>
  </si>
  <si>
    <t>Memory pointed by 'X-&gt;p' is freed at this point, but this memory is not freed upon function exits at line(s) 121, 126, 139.</t>
  </si>
  <si>
    <t>mbedtls_mpi_grow</t>
  </si>
  <si>
    <t>Memory pointed by 'X-&gt;p' is freed at this point, but this memory is not freed upon function exits at line(s) 188, 216.</t>
  </si>
  <si>
    <t>mbedtls_mpi_copy</t>
  </si>
  <si>
    <t>HIS Metrics - Max nesting level LEVEL: mbedtls_mpi_read_string 6&gt;4</t>
  </si>
  <si>
    <t>mbedtls_mpi_read_string</t>
  </si>
  <si>
    <t>HIS Metrics - Max nesting level LEVEL: mbedtls_mpi_write_string 5&gt;4</t>
  </si>
  <si>
    <t>mbedtls_mpi_write_string</t>
  </si>
  <si>
    <t>HIS Metrics - Max nesting level LEVEL: mbedtls_mpi_add_abs 5&gt;4</t>
  </si>
  <si>
    <t>mbedtls_mpi_add_abs</t>
  </si>
  <si>
    <t>HIS Metrics - Max nesting level LEVEL: mbedtls_mpi_add_mpi 5&gt;4</t>
  </si>
  <si>
    <t>mbedtls_mpi_add_mpi</t>
  </si>
  <si>
    <t>HIS Metrics - Max nesting level LEVEL: mbedtls_mpi_sub_mpi 5&gt;4</t>
  </si>
  <si>
    <t>mbedtls_mpi_sub_mpi</t>
  </si>
  <si>
    <t>HIS Metrics - Max nesting level LEVEL: mbedtls_mpi_div_mpi 5&gt;4</t>
  </si>
  <si>
    <t>mbedtls_mpi_div_mpi</t>
  </si>
  <si>
    <t>HIS Metrics - Max nesting level LEVEL: mbedtls_mpi_exp_mod 6&gt;4</t>
  </si>
  <si>
    <t>mbedtls_mpi_exp_mod</t>
  </si>
  <si>
    <t>HIS Metrics - Max nesting level LEVEL: mbedtls_mpi_gcd 6&gt;4</t>
  </si>
  <si>
    <t>mbedtls_mpi_gcd</t>
  </si>
  <si>
    <t>HIS Metrics - Max nesting level LEVEL: mbedtls_mpi_inv_mod 6&gt;4</t>
  </si>
  <si>
    <t>mbedtls_mpi_inv_mod</t>
  </si>
  <si>
    <t>HIS Metrics - Max nesting level LEVEL: mpi_miller_rabin 6&gt;4</t>
  </si>
  <si>
    <t>mpi_miller_rabin</t>
  </si>
  <si>
    <t>HIS Metrics - Max nesting level LEVEL: mbedtls_mpi_gen_prime 7&gt;4</t>
  </si>
  <si>
    <t>mbedtls_mpi_gen_prime</t>
  </si>
  <si>
    <t>HIS Metrics - Cyclomatic v(G): mbedtls_mpi_read_string 25&gt;10</t>
  </si>
  <si>
    <t>HIS Metrics - Cyclomatic v(G): mbedtls_mpi_write_string 15&gt;10</t>
  </si>
  <si>
    <t>HIS Metrics - Cyclomatic v(G): mbedtls_mpi_cmp_abs 11&gt;10</t>
  </si>
  <si>
    <t>mbedtls_mpi_cmp_abs</t>
  </si>
  <si>
    <t>HIS Metrics - Cyclomatic v(G): mbedtls_mpi_cmp_mpi 13&gt;10</t>
  </si>
  <si>
    <t>mbedtls_mpi_cmp_mpi</t>
  </si>
  <si>
    <t>HIS Metrics - Cyclomatic v(G): mbedtls_mpi_add_abs 14&gt;10</t>
  </si>
  <si>
    <t>HIS Metrics - Cyclomatic v(G): mbedtls_mpi_mul_mpi 16&gt;10</t>
  </si>
  <si>
    <t>mbedtls_mpi_mul_mpi</t>
  </si>
  <si>
    <t>HIS Metrics - Cyclomatic v(G): mbedtls_mpi_div_mpi 67&gt;10</t>
  </si>
  <si>
    <t>HIS Metrics - Cyclomatic v(G): mbedtls_mpi_exp_mod 77&gt;10</t>
  </si>
  <si>
    <t>HIS Metrics - Cyclomatic v(G): mbedtls_mpi_gcd 28&gt;10</t>
  </si>
  <si>
    <t>HIS Metrics - Cyclomatic v(G): mbedtls_mpi_inv_mod 67&gt;10</t>
  </si>
  <si>
    <t>HIS Metrics - Cyclomatic v(G): mpi_miller_rabin 36&gt;10</t>
  </si>
  <si>
    <t>HIS Metrics - Cyclomatic v(G): mbedtls_mpi_gen_prime 30&gt;10</t>
  </si>
  <si>
    <t>HIS Metrics - Number of paths PATH: mbedtls_mpi_read_string 214.99997&gt;80</t>
  </si>
  <si>
    <t>HIS Metrics - Number of paths PATH: mbedtls_mpi_write_string 180.99995&gt;80</t>
  </si>
  <si>
    <t>HIS Metrics - Number of paths PATH: mbedtls_mpi_cmp_mpi 81.00001&gt;80</t>
  </si>
  <si>
    <t>HIS Metrics - Number of paths PATH: mbedtls_mpi_add_abs 719.99969&gt;80</t>
  </si>
  <si>
    <t>HIS Metrics - Number of paths PATH: mbedtls_mpi_mul_mpi 2592.00024&gt;80</t>
  </si>
  <si>
    <t>HIS Metrics - Number of paths PATH: mbedtls_mpi_div_mpi 2147482752&gt;80</t>
  </si>
  <si>
    <t>HIS Metrics - Number of paths PATH: mbedtls_mpi_exp_mod 2147482752&gt;80</t>
  </si>
  <si>
    <t>HIS Metrics - Number of paths PATH: mbedtls_mpi_gcd 237654.32813&gt;80</t>
  </si>
  <si>
    <t>HIS Metrics - Number of paths PATH: mbedtls_mpi_inv_mod 2147482752&gt;80</t>
  </si>
  <si>
    <t>HIS Metrics - Number of paths PATH: mpi_miller_rabin 496719.0625&gt;80</t>
  </si>
  <si>
    <t>HIS Metrics - Number of paths PATH: mbedtls_mpi_gen_prime 83945.01563&gt;80</t>
  </si>
  <si>
    <t>Expression 'i&gt;=8' used in the condition always yields the same result</t>
  </si>
  <si>
    <t>mpi_mul_hlp</t>
  </si>
  <si>
    <t>Value of 't' is never used after assignment</t>
  </si>
  <si>
    <t>Variable 'RR' used twice in one expression where one usage is subject to side-effects</t>
  </si>
  <si>
    <t>Variable 'TA' used twice in one expression where one usage is subject to side-effects</t>
  </si>
  <si>
    <t>Variable 'TB' used twice in one expression where one usage is subject to side-effects</t>
  </si>
  <si>
    <t>Variable 'U1' used twice in one expression where one usage is subject to side-effects</t>
  </si>
  <si>
    <t>Variable 'U2' used twice in one expression where one usage is subject to side-effects</t>
  </si>
  <si>
    <t>Variable 'V1' used twice in one expression where one usage is subject to side-effects</t>
  </si>
  <si>
    <t>Variable 'V2' used twice in one expression where one usage is subject to side-effects</t>
  </si>
  <si>
    <t>Variable 'TU' used twice in one expression where one usage is subject to side-effects</t>
  </si>
  <si>
    <t>Variable 'TV' used twice in one expression where one usage is subject to side-effects</t>
  </si>
  <si>
    <t>Expression 'wsize&gt;6' used in the condition always yields the same result, and causes an unreachable code</t>
  </si>
  <si>
    <t>/kwbuilds/release_area/mcu_plus_sdk/source/networking/mbedtls_library/mbedtls/library/ccm.c</t>
  </si>
  <si>
    <t>HIS Metrics - Number of parameters PARAM: ccm_auth_crypt 11&gt;5</t>
  </si>
  <si>
    <t>ccm_auth_crypt</t>
  </si>
  <si>
    <t>HIS Metrics - Number of parameters PARAM: mbedtls_ccm_star_encrypt_and_tag 10&gt;5</t>
  </si>
  <si>
    <t>mbedtls_ccm_star_encrypt_and_tag</t>
  </si>
  <si>
    <t>HIS Metrics - Number of parameters PARAM: mbedtls_ccm_encrypt_and_tag 10&gt;5</t>
  </si>
  <si>
    <t>mbedtls_ccm_encrypt_and_tag</t>
  </si>
  <si>
    <t>HIS Metrics - Number of parameters PARAM: mbedtls_ccm_star_auth_decrypt 10&gt;5</t>
  </si>
  <si>
    <t>mbedtls_ccm_star_auth_decrypt</t>
  </si>
  <si>
    <t>HIS Metrics - Number of parameters PARAM: mbedtls_ccm_auth_decrypt 10&gt;5</t>
  </si>
  <si>
    <t>mbedtls_ccm_auth_decrypt</t>
  </si>
  <si>
    <t>HIS Metrics - Cyclomatic v(G): ccm_auth_crypt 31&gt;10</t>
  </si>
  <si>
    <t>HIS Metrics - Number of paths PATH: ccm_auth_crypt 9749.00293&gt;80</t>
  </si>
  <si>
    <t>/kwbuilds/release_area/mcu_plus_sdk/source/networking/mbedtls_library/mbedtls/library/cipher.c</t>
  </si>
  <si>
    <t>HIS Metrics - Cyclomatic v(G): mbedtls_cipher_update 26&gt;10</t>
  </si>
  <si>
    <t>mbedtls_cipher_update</t>
  </si>
  <si>
    <t>HIS Metrics - Cyclomatic v(G): mbedtls_cipher_finish 14&gt;10</t>
  </si>
  <si>
    <t>mbedtls_cipher_finish</t>
  </si>
  <si>
    <t>Expression '0 == block_size' used in the condition always yields the same result, and causes an unreachable code</t>
  </si>
  <si>
    <t>mbedtls_cipher_crypt</t>
  </si>
  <si>
    <t>HIS Metrics - Max nesting level LEVEL: mbedtls_cipher_finish 5&gt;4</t>
  </si>
  <si>
    <t>HIS Metrics - Number of parameters PARAM: mbedtls_cipher_crypt 7&gt;5</t>
  </si>
  <si>
    <t>HIS Metrics - Number of parameters PARAM: mbedtls_cipher_auth_encrypt 11&gt;5</t>
  </si>
  <si>
    <t>mbedtls_cipher_auth_encrypt</t>
  </si>
  <si>
    <t>HIS Metrics - Number of parameters PARAM: mbedtls_cipher_auth_decrypt 11&gt;5</t>
  </si>
  <si>
    <t>mbedtls_cipher_auth_decrypt</t>
  </si>
  <si>
    <t>/kwbuilds/release_area/mcu_plus_sdk/source/networking/mbedtls_library/mbedtls/library/cipher_wrap.c</t>
  </si>
  <si>
    <t>HIS Metrics - Number of parameters PARAM: aes_crypt_cbc_wrap 6&gt;5</t>
  </si>
  <si>
    <t>aes_crypt_cbc_wrap</t>
  </si>
  <si>
    <t>HIS Metrics - Number of parameters PARAM: aes_crypt_cfb128_wrap 7&gt;5</t>
  </si>
  <si>
    <t>aes_crypt_cfb128_wrap</t>
  </si>
  <si>
    <t>HIS Metrics - Number of parameters PARAM: aes_crypt_ofb_wrap 6&gt;5</t>
  </si>
  <si>
    <t>aes_crypt_ofb_wrap</t>
  </si>
  <si>
    <t>HIS Metrics - Number of parameters PARAM: aes_crypt_ctr_wrap 7&gt;5</t>
  </si>
  <si>
    <t>aes_crypt_ctr_wrap</t>
  </si>
  <si>
    <t>HIS Metrics - Number of parameters PARAM: aes_crypt_xts_wrap 6&gt;5</t>
  </si>
  <si>
    <t>aes_crypt_xts_wrap</t>
  </si>
  <si>
    <t>/kwbuilds/release_area/mcu_plus_sdk/source/networking/mbedtls_library/mbedtls/library/ctr_drbg.c</t>
  </si>
  <si>
    <t>HIS Metrics - Number of parameters PARAM: mbedtls_ctr_drbg_seed_entropy_len 6&gt;5</t>
  </si>
  <si>
    <t>mbedtls_ctr_drbg_seed_entropy_len</t>
  </si>
  <si>
    <t>HIS Metrics - Cyclomatic v(G): block_cipher_df 13&gt;10</t>
  </si>
  <si>
    <t>block_cipher_df</t>
  </si>
  <si>
    <t>HIS Metrics - Cyclomatic v(G): mbedtls_ctr_drbg_random_with_add 14&gt;10</t>
  </si>
  <si>
    <t>mbedtls_ctr_drbg_random_with_add</t>
  </si>
  <si>
    <t>HIS Metrics - Number of paths PATH: block_cipher_df 289.00012&gt;80</t>
  </si>
  <si>
    <t>Expression '(ret=mbedtls_aes_crypt_ecb( &amp;aes_ctx,...' used in the condition always yields the same result, and causes an unreachable code</t>
  </si>
  <si>
    <t>Expression '(ret=mbedtls_aes_crypt_ecb( &amp;ctx-&gt;aes...' used in the condition always yields the same result, and causes an unreachable code</t>
  </si>
  <si>
    <t>ctr_drbg_update_internal</t>
  </si>
  <si>
    <t>/kwbuilds/release_area/mcu_plus_sdk/source/networking/mbedtls_library/mbedtls/library/debug.c</t>
  </si>
  <si>
    <t>'argp' is used uninitialized in this function.</t>
  </si>
  <si>
    <t>mbedtls_debug_print_msg</t>
  </si>
  <si>
    <t>HIS Metrics - Number of parameters PARAM: mbedtls_debug_print_ret 6&gt;5</t>
  </si>
  <si>
    <t>mbedtls_debug_print_ret</t>
  </si>
  <si>
    <t>HIS Metrics - Number of parameters PARAM: mbedtls_debug_print_buf 7&gt;5</t>
  </si>
  <si>
    <t>mbedtls_debug_print_buf</t>
  </si>
  <si>
    <t>HIS Metrics - Number of parameters PARAM: mbedtls_debug_print_ecp 6&gt;5</t>
  </si>
  <si>
    <t>mbedtls_debug_print_ecp</t>
  </si>
  <si>
    <t>HIS Metrics - Number of parameters PARAM: mbedtls_debug_print_mpi 6&gt;5</t>
  </si>
  <si>
    <t>mbedtls_debug_print_mpi</t>
  </si>
  <si>
    <t>HIS Metrics - Number of parameters PARAM: debug_print_pk 6&gt;5</t>
  </si>
  <si>
    <t>debug_print_pk</t>
  </si>
  <si>
    <t>HIS Metrics - Number of parameters PARAM: mbedtls_debug_print_crt 6&gt;5</t>
  </si>
  <si>
    <t>mbedtls_debug_print_crt</t>
  </si>
  <si>
    <t>HIS Metrics - Max nesting level LEVEL: mbedtls_debug_print_mpi 5&gt;4</t>
  </si>
  <si>
    <t>HIS Metrics - Cyclomatic v(G): mbedtls_debug_print_mpi 13&gt;10</t>
  </si>
  <si>
    <t>HIS Metrics - Number of paths PATH: mbedtls_debug_print_mpi 126.99996&gt;80</t>
  </si>
  <si>
    <t>Expression 'zeros' used in the condition always yields the same result</t>
  </si>
  <si>
    <t>/kwbuilds/release_area/mcu_plus_sdk/source/networking/mbedtls_library/mbedtls/library/dhm.c</t>
  </si>
  <si>
    <t>HIS Metrics - Number of parameters PARAM: mbedtls_dhm_make_params 6&gt;5</t>
  </si>
  <si>
    <t>mbedtls_dhm_make_params</t>
  </si>
  <si>
    <t>HIS Metrics - Number of parameters PARAM: mbedtls_dhm_make_public 6&gt;5</t>
  </si>
  <si>
    <t>mbedtls_dhm_make_public</t>
  </si>
  <si>
    <t>HIS Metrics - Number of parameters PARAM: mbedtls_dhm_calc_secret 6&gt;5</t>
  </si>
  <si>
    <t>mbedtls_dhm_calc_secret</t>
  </si>
  <si>
    <t>HIS Metrics - Max nesting level LEVEL: mbedtls_dhm_make_params 5&gt;4</t>
  </si>
  <si>
    <t>HIS Metrics - Max nesting level LEVEL: mbedtls_dhm_make_public 5&gt;4</t>
  </si>
  <si>
    <t>HIS Metrics - Max nesting level LEVEL: dhm_update_blinding 5&gt;4</t>
  </si>
  <si>
    <t>dhm_update_blinding</t>
  </si>
  <si>
    <t>HIS Metrics - Max nesting level LEVEL: mbedtls_dhm_calc_secret 5&gt;4</t>
  </si>
  <si>
    <t>HIS Metrics - Cyclomatic v(G): mbedtls_dhm_make_params 22&gt;10</t>
  </si>
  <si>
    <t>HIS Metrics - Cyclomatic v(G): mbedtls_dhm_make_public 16&gt;10</t>
  </si>
  <si>
    <t>HIS Metrics - Cyclomatic v(G): dhm_update_blinding 28&gt;10</t>
  </si>
  <si>
    <t>HIS Metrics - Cyclomatic v(G): mbedtls_dhm_calc_secret 22&gt;10</t>
  </si>
  <si>
    <t>HIS Metrics - Cyclomatic v(G): mbedtls_dhm_parse_dhm 11&gt;10</t>
  </si>
  <si>
    <t>mbedtls_dhm_parse_dhm</t>
  </si>
  <si>
    <t>HIS Metrics - Number of paths PATH: mbedtls_dhm_make_params 5043.99756&gt;80</t>
  </si>
  <si>
    <t>HIS Metrics - Number of paths PATH: mbedtls_dhm_make_public 286.99994&gt;80</t>
  </si>
  <si>
    <t>HIS Metrics - Number of paths PATH: dhm_update_blinding 236.99997&gt;80</t>
  </si>
  <si>
    <t>HIS Metrics - Number of paths PATH: mbedtls_dhm_calc_secret 5401.99902&gt;80</t>
  </si>
  <si>
    <t>HIS Metrics - Number of paths PATH: mbedtls_dhm_parse_dhm 240.00002&gt;80</t>
  </si>
  <si>
    <t>Variable 'ctx-&gt;Vi' used twice in one expression where one usage is subject to side-effects</t>
  </si>
  <si>
    <t>Variable 'ctx-&gt;Vf' used twice in one expression where one usage is subject to side-effects</t>
  </si>
  <si>
    <t>Variable 'GYb' used twice in one expression where one usage is subject to side-effects</t>
  </si>
  <si>
    <t>Variable 'ctx-&gt;K' used twice in one expression where one usage is subject to side-effects</t>
  </si>
  <si>
    <t>Memory pointed by 'dhm-&gt;pX.p' is freed at this point, but this memory is not freed upon function exits at line(s) 535.</t>
  </si>
  <si>
    <t>Memory pointed by 'dhm-&gt;Vf.p' is freed at this point, but this memory is not freed upon function exits at line(s) 535.</t>
  </si>
  <si>
    <t>Memory pointed by 'dhm-&gt;Vi.p' is freed at this point, but this memory is not freed upon function exits at line(s) 535.</t>
  </si>
  <si>
    <t>Memory pointed by 'dhm-&gt;RP.p' is freed at this point, but this memory is not freed upon function exits at line(s) 535.</t>
  </si>
  <si>
    <t>Memory pointed by 'dhm-&gt;K.p' is freed at this point, but this memory is not freed upon function exits at line(s) 535.</t>
  </si>
  <si>
    <t>Memory pointed by 'dhm-&gt;GY.p' is freed at this point, but this memory is not freed upon function exits at line(s) 535.</t>
  </si>
  <si>
    <t>Memory pointed by 'dhm-&gt;GX.p' is freed at this point, but this memory is not freed upon function exits at line(s) 535.</t>
  </si>
  <si>
    <t>Memory pointed by 'dhm-&gt;X.p' is freed at this point, but this memory is not freed upon function exits at line(s) 535.</t>
  </si>
  <si>
    <t>/kwbuilds/release_area/mcu_plus_sdk/source/networking/mbedtls_library/mbedtls/library/ecdh.c</t>
  </si>
  <si>
    <t>HIS Metrics - Number of parameters PARAM: mbedtls_ecdh_compute_shared 6&gt;5</t>
  </si>
  <si>
    <t>mbedtls_ecdh_compute_shared</t>
  </si>
  <si>
    <t>HIS Metrics - Number of parameters PARAM: mbedtls_ecdh_make_params 6&gt;5</t>
  </si>
  <si>
    <t>mbedtls_ecdh_make_params</t>
  </si>
  <si>
    <t>HIS Metrics - Number of parameters PARAM: mbedtls_ecdh_make_public 6&gt;5</t>
  </si>
  <si>
    <t>mbedtls_ecdh_make_public</t>
  </si>
  <si>
    <t>HIS Metrics - Number of parameters PARAM: mbedtls_ecdh_calc_secret 6&gt;5</t>
  </si>
  <si>
    <t>mbedtls_ecdh_calc_secret</t>
  </si>
  <si>
    <t>Expression 'side!=MBEDTLS_ECDH_OURS' used in the condition always yields the same result, and causes an unreachable code</t>
  </si>
  <si>
    <t>mbedtls_ecdh_get_params</t>
  </si>
  <si>
    <t>/kwbuilds/release_area/mcu_plus_sdk/source/networking/mbedtls_library/mbedtls/library/ecdsa.c</t>
  </si>
  <si>
    <t>HIS Metrics - Number of parameters PARAM: mbedtls_ecdsa_sign 8&gt;5</t>
  </si>
  <si>
    <t>mbedtls_ecdsa_sign</t>
  </si>
  <si>
    <t>HIS Metrics - Number of parameters PARAM: mbedtls_ecdsa_sign_det 7&gt;5</t>
  </si>
  <si>
    <t>mbedtls_ecdsa_sign_det</t>
  </si>
  <si>
    <t>HIS Metrics - Number of parameters PARAM: mbedtls_ecdsa_verify 6&gt;5</t>
  </si>
  <si>
    <t>mbedtls_ecdsa_verify</t>
  </si>
  <si>
    <t>HIS Metrics - Number of parameters PARAM: mbedtls_ecdsa_write_signature 8&gt;5</t>
  </si>
  <si>
    <t>mbedtls_ecdsa_write_signature</t>
  </si>
  <si>
    <t>HIS Metrics - Number of parameters PARAM: mbedtls_ecdsa_write_signature_det 6&gt;5</t>
  </si>
  <si>
    <t>mbedtls_ecdsa_write_signature_det</t>
  </si>
  <si>
    <t>HIS Metrics - Max nesting level LEVEL: mbedtls_ecdsa_sign 5&gt;4</t>
  </si>
  <si>
    <t>HIS Metrics - Cyclomatic v(G): mbedtls_ecdsa_sign 33&gt;10</t>
  </si>
  <si>
    <t>HIS Metrics - Cyclomatic v(G): mbedtls_ecdsa_verify 23&gt;10</t>
  </si>
  <si>
    <t>HIS Metrics - Number of paths PATH: mbedtls_ecdsa_sign 2493696.5&gt;80</t>
  </si>
  <si>
    <t>HIS Metrics - Number of paths PATH: mbedtls_ecdsa_verify 157464.9375&gt;80</t>
  </si>
  <si>
    <t>Variable 'e' used twice in one expression where one usage is subject to side-effects</t>
  </si>
  <si>
    <t>Variable 'k' used twice in one expression where one usage is subject to side-effects</t>
  </si>
  <si>
    <t>Variable 'u1' used twice in one expression where one usage is subject to side-effects</t>
  </si>
  <si>
    <t>Variable 'u2' used twice in one expression where one usage is subject to side-effects</t>
  </si>
  <si>
    <t>Variable 'R.X' used twice in one expression where one usage is subject to side-effects</t>
  </si>
  <si>
    <t>/kwbuilds/release_area/mcu_plus_sdk/source/networking/mbedtls_library/mbedtls/library/ecp_curves.c</t>
  </si>
  <si>
    <t>HIS Metrics - Number of parameters PARAM: ecp_group_load 13&gt;5</t>
  </si>
  <si>
    <t>ecp_group_load</t>
  </si>
  <si>
    <t>HIS Metrics - Number of parameters PARAM: ecp_mod_koblitz 6&gt;5</t>
  </si>
  <si>
    <t>ecp_mod_koblitz</t>
  </si>
  <si>
    <t>HIS Metrics - Cyclomatic v(G): ecp_use_curve25519 18&gt;10</t>
  </si>
  <si>
    <t>ecp_use_curve25519</t>
  </si>
  <si>
    <t>HIS Metrics - Cyclomatic v(G): ecp_use_curve448 24&gt;10</t>
  </si>
  <si>
    <t>ecp_use_curve448</t>
  </si>
  <si>
    <t>HIS Metrics - Cyclomatic v(G): mbedtls_ecp_group_load 14&gt;10</t>
  </si>
  <si>
    <t>mbedtls_ecp_group_load</t>
  </si>
  <si>
    <t>HIS Metrics - Cyclomatic v(G): ecp_mod_p224 12&gt;10</t>
  </si>
  <si>
    <t>ecp_mod_p224</t>
  </si>
  <si>
    <t>HIS Metrics - Cyclomatic v(G): ecp_mod_p256 13&gt;10</t>
  </si>
  <si>
    <t>ecp_mod_p256</t>
  </si>
  <si>
    <t>HIS Metrics - Cyclomatic v(G): ecp_mod_p384 17&gt;10</t>
  </si>
  <si>
    <t>ecp_mod_p384</t>
  </si>
  <si>
    <t>HIS Metrics - Cyclomatic v(G): ecp_mod_p255 12&gt;10</t>
  </si>
  <si>
    <t>ecp_mod_p255</t>
  </si>
  <si>
    <t>HIS Metrics - Cyclomatic v(G): ecp_mod_p448 18&gt;10</t>
  </si>
  <si>
    <t>ecp_mod_p448</t>
  </si>
  <si>
    <t>HIS Metrics - Cyclomatic v(G): ecp_mod_koblitz 22&gt;10</t>
  </si>
  <si>
    <t>HIS Metrics - Number of paths PATH: ecp_use_curve25519 13121.99609&gt;80</t>
  </si>
  <si>
    <t>HIS Metrics - Number of paths PATH: ecp_use_curve448 354294.0625&gt;80</t>
  </si>
  <si>
    <t>HIS Metrics - Number of paths PATH: ecp_mod_p224 768&gt;80</t>
  </si>
  <si>
    <t>HIS Metrics - Number of paths PATH: ecp_mod_p256 1536&gt;80</t>
  </si>
  <si>
    <t>HIS Metrics - Number of paths PATH: ecp_mod_p384 24576.00195&gt;80</t>
  </si>
  <si>
    <t>HIS Metrics - Number of paths PATH: ecp_mod_p255 163.99991&gt;80</t>
  </si>
  <si>
    <t>HIS Metrics - Number of paths PATH: ecp_mod_p448 5834.00049&gt;80</t>
  </si>
  <si>
    <t>HIS Metrics - Number of paths PATH: ecp_mod_koblitz 82945.03906&gt;80</t>
  </si>
  <si>
    <t>Variable 'grp-&gt;P' used twice in one expression where one usage is subject to side-effects</t>
  </si>
  <si>
    <t>Variable 'grp-&gt;N' used twice in one expression where one usage is subject to side-effects</t>
  </si>
  <si>
    <t>Expression 'sizeof(mbedtls_mpi_uint) &gt;4' used in the condition always yields the same result, and causes an unreachable code</t>
  </si>
  <si>
    <t>/kwbuilds/release_area/mcu_plus_sdk/source/networking/mbedtls_library/mbedtls/library/entropy.c</t>
  </si>
  <si>
    <t>Expression '(ret=mbedtls_sha512_ret(data, len, tm...' used in the condition always yields the same result, and causes an unreachable code</t>
  </si>
  <si>
    <t>entropy_update</t>
  </si>
  <si>
    <t>Expression '(ret=mbedtls_sha512_starts_ret( &amp;ctx-...' used in the condition always yields the same result, and causes an unreachable code</t>
  </si>
  <si>
    <t>Expression '(ret=mbedtls_sha512_update_ret( &amp;ctx-...' used in the condition always yields the same result, and causes an unreachable code</t>
  </si>
  <si>
    <t>Expression '(ret=entropy_update(ctx,  (unsigned c...' used in the condition always yields the same result, and causes an unreachable code</t>
  </si>
  <si>
    <t>entropy_gather_internal</t>
  </si>
  <si>
    <t>Expression '(ret=mbedtls_sha512_finish_ret( &amp;ctx-...' used in the condition always yields the same result, and causes an unreachable code</t>
  </si>
  <si>
    <t>mbedtls_entropy_func</t>
  </si>
  <si>
    <t>Expression '(ret=mbedtls_sha512_ret(buf, 64, buf,...' used in the condition always yields the same result, and causes an unreachable code</t>
  </si>
  <si>
    <t>HIS Metrics - Cyclomatic v(G): mbedtls_entropy_func 12&gt;10</t>
  </si>
  <si>
    <t>HIS Metrics - Number of paths PATH: mbedtls_entropy_func 416.99985&gt;80</t>
  </si>
  <si>
    <t>/kwbuilds/release_area/mcu_plus_sdk/source/networking/mbedtls_library/mbedtls/library/error.c</t>
  </si>
  <si>
    <t>HIS Metrics - Cyclomatic v(G): mbedtls_strerror 211&gt;10</t>
  </si>
  <si>
    <t>mbedtls_strerror</t>
  </si>
  <si>
    <t>HIS Metrics - Number of paths PATH: mbedtls_strerror 2147482752&gt;80</t>
  </si>
  <si>
    <t>/kwbuilds/release_area/mcu_plus_sdk/source/networking/mbedtls_library/mbedtls/library/gcm.c</t>
  </si>
  <si>
    <t>HIS Metrics - Number of parameters PARAM: mbedtls_gcm_starts 6&gt;5</t>
  </si>
  <si>
    <t>mbedtls_gcm_starts</t>
  </si>
  <si>
    <t>HIS Metrics - Number of parameters PARAM: mbedtls_gcm_crypt_and_tag 11&gt;5</t>
  </si>
  <si>
    <t>mbedtls_gcm_crypt_and_tag</t>
  </si>
  <si>
    <t>HIS Metrics - Number of parameters PARAM: mbedtls_gcm_auth_decrypt 10&gt;5</t>
  </si>
  <si>
    <t>mbedtls_gcm_auth_decrypt</t>
  </si>
  <si>
    <t>HIS Metrics - Cyclomatic v(G): mbedtls_gcm_starts 11&gt;10</t>
  </si>
  <si>
    <t>HIS Metrics - Cyclomatic v(G): mbedtls_gcm_update 11&gt;10</t>
  </si>
  <si>
    <t>mbedtls_gcm_update</t>
  </si>
  <si>
    <t>Expression '(add_len) &gt;&gt; 61 != 0' used in the condition always yields the same result</t>
  </si>
  <si>
    <t>/kwbuilds/release_area/mcu_plus_sdk/source/networking/mbedtls_library/mbedtls/library/hkdf.c</t>
  </si>
  <si>
    <t>HIS Metrics - Number of parameters PARAM: mbedtls_hkdf 9&gt;5</t>
  </si>
  <si>
    <t>mbedtls_hkdf</t>
  </si>
  <si>
    <t>HIS Metrics - Number of parameters PARAM: mbedtls_hkdf_extract 6&gt;5</t>
  </si>
  <si>
    <t>mbedtls_hkdf_extract</t>
  </si>
  <si>
    <t>HIS Metrics - Number of parameters PARAM: mbedtls_hkdf_expand 7&gt;5</t>
  </si>
  <si>
    <t>mbedtls_hkdf_expand</t>
  </si>
  <si>
    <t>HIS Metrics - Cyclomatic v(G): mbedtls_hkdf_expand 14&gt;10</t>
  </si>
  <si>
    <t>HIS Metrics - Number of paths PATH: mbedtls_hkdf_expand 270.00003&gt;80</t>
  </si>
  <si>
    <t>/kwbuilds/release_area/mcu_plus_sdk/source/networking/mbedtls_library/mbedtls/library/hmac_drbg.c</t>
  </si>
  <si>
    <t>HIS Metrics - Number of parameters PARAM: mbedtls_hmac_drbg_seed 6&gt;5</t>
  </si>
  <si>
    <t>mbedtls_hmac_drbg_seed</t>
  </si>
  <si>
    <t>Array 'ctx-&gt;V' of size 64 may use index value(s) 64..1023</t>
  </si>
  <si>
    <t>mbedtls_hmac_drbg_random_with_add</t>
  </si>
  <si>
    <t>/kwbuilds/release_area/mcu_plus_sdk/source/networking/mbedtls_library/mbedtls/library/md.c</t>
  </si>
  <si>
    <t>Memory pointed by 'ctx-&gt;hmac_ctx' is freed at this point, but this memory is not freed upon function exits at line(s) 185.</t>
  </si>
  <si>
    <t>mbedtls_md_free</t>
  </si>
  <si>
    <t>HIS Metrics - Number of parameters PARAM: mbedtls_md_hmac 6&gt;5</t>
  </si>
  <si>
    <t>mbedtls_md_hmac</t>
  </si>
  <si>
    <t>/kwbuilds/release_area/mcu_plus_sdk/source/networking/mbedtls_library/mbedtls/library/oid.c</t>
  </si>
  <si>
    <t>HIS Metrics - Max nesting level LEVEL: mbedtls_oid_get_numeric_string 5&gt;4</t>
  </si>
  <si>
    <t>mbedtls_oid_get_numeric_string</t>
  </si>
  <si>
    <t>/kwbuilds/release_area/mcu_plus_sdk/source/networking/mbedtls_library/mbedtls/library/pem.c</t>
  </si>
  <si>
    <t>HIS Metrics - Max nesting level LEVEL: pem_get_iv 5&gt;4</t>
  </si>
  <si>
    <t>pem_get_iv</t>
  </si>
  <si>
    <t>HIS Metrics - Max nesting level LEVEL: mbedtls_pem_read_buffer 7&gt;4</t>
  </si>
  <si>
    <t>mbedtls_pem_read_buffer</t>
  </si>
  <si>
    <t>HIS Metrics - Cyclomatic v(G): pem_pbkdf1 12&gt;10</t>
  </si>
  <si>
    <t>pem_pbkdf1</t>
  </si>
  <si>
    <t>HIS Metrics - Cyclomatic v(G): mbedtls_pem_read_buffer 33&gt;10</t>
  </si>
  <si>
    <t>HIS Metrics - Number of paths PATH: pem_pbkdf1 2048&gt;80</t>
  </si>
  <si>
    <t>HIS Metrics - Number of paths PATH: mbedtls_pem_read_buffer 10950.99512&gt;80</t>
  </si>
  <si>
    <t>Expression '(ret=mbedtls_md5_starts_ret( &amp;md5_ctx...' used in the condition always yields the same result, and causes an unreachable code</t>
  </si>
  <si>
    <t>Expression '(ret=mbedtls_md5_update_ret( &amp;md5_ctx...' used in the condition always yields the same result, and causes an unreachable code</t>
  </si>
  <si>
    <t>Expression '(ret=mbedtls_md5_finish_ret( &amp;md5_ctx...' used in the condition always yields the same result, and causes an unreachable code</t>
  </si>
  <si>
    <t>Expression '(ret=pem_pbkdf1(aes_key, keylen, aes_...' used in the condition always yields the same result, and causes an unreachable code</t>
  </si>
  <si>
    <t>pem_aes_decrypt</t>
  </si>
  <si>
    <t>HIS Metrics - Number of parameters PARAM: pem_aes_decrypt 6&gt;5</t>
  </si>
  <si>
    <t>HIS Metrics - Number of parameters PARAM: mbedtls_pem_read_buffer 7&gt;5</t>
  </si>
  <si>
    <t>HIS Metrics - Number of parameters PARAM: mbedtls_pem_write_buffer 7&gt;5</t>
  </si>
  <si>
    <t>mbedtls_pem_write_buffer</t>
  </si>
  <si>
    <t>Null pointer 'c' that comes from line 441 may be dereferenced at line 471.</t>
  </si>
  <si>
    <t>/kwbuilds/release_area/mcu_plus_sdk/source/networking/mbedtls_library/mbedtls/library/pk.c</t>
  </si>
  <si>
    <t>HIS Metrics - Number of parameters PARAM: mbedtls_pk_verify 6&gt;5</t>
  </si>
  <si>
    <t>mbedtls_pk_verify</t>
  </si>
  <si>
    <t>HIS Metrics - Number of parameters PARAM: mbedtls_pk_verify_ext 8&gt;5</t>
  </si>
  <si>
    <t>mbedtls_pk_verify_ext</t>
  </si>
  <si>
    <t>HIS Metrics - Number of parameters PARAM: mbedtls_pk_sign 8&gt;5</t>
  </si>
  <si>
    <t>mbedtls_pk_sign</t>
  </si>
  <si>
    <t>HIS Metrics - Number of parameters PARAM: mbedtls_pk_decrypt 8&gt;5</t>
  </si>
  <si>
    <t>mbedtls_pk_decrypt</t>
  </si>
  <si>
    <t>HIS Metrics - Number of parameters PARAM: mbedtls_pk_encrypt 8&gt;5</t>
  </si>
  <si>
    <t>mbedtls_pk_encrypt</t>
  </si>
  <si>
    <t>/kwbuilds/release_area/mcu_plus_sdk/source/networking/mbedtls_library/mbedtls/library/pk_wrap.c</t>
  </si>
  <si>
    <t>HIS Metrics - Number of parameters PARAM: rsa_verify_wrap 6&gt;5</t>
  </si>
  <si>
    <t>rsa_verify_wrap</t>
  </si>
  <si>
    <t>HIS Metrics - Number of parameters PARAM: rsa_sign_wrap 8&gt;5</t>
  </si>
  <si>
    <t>rsa_sign_wrap</t>
  </si>
  <si>
    <t>HIS Metrics - Number of parameters PARAM: rsa_decrypt_wrap 8&gt;5</t>
  </si>
  <si>
    <t>rsa_decrypt_wrap</t>
  </si>
  <si>
    <t>HIS Metrics - Number of parameters PARAM: rsa_encrypt_wrap 8&gt;5</t>
  </si>
  <si>
    <t>rsa_encrypt_wrap</t>
  </si>
  <si>
    <t>HIS Metrics - Number of parameters PARAM: eckey_verify_wrap 6&gt;5</t>
  </si>
  <si>
    <t>eckey_verify_wrap</t>
  </si>
  <si>
    <t>HIS Metrics - Number of parameters PARAM: eckey_sign_wrap 8&gt;5</t>
  </si>
  <si>
    <t>eckey_sign_wrap</t>
  </si>
  <si>
    <t>HIS Metrics - Number of parameters PARAM: ecdsa_verify_wrap 6&gt;5</t>
  </si>
  <si>
    <t>ecdsa_verify_wrap</t>
  </si>
  <si>
    <t>HIS Metrics - Number of parameters PARAM: ecdsa_sign_wrap 8&gt;5</t>
  </si>
  <si>
    <t>ecdsa_sign_wrap</t>
  </si>
  <si>
    <t>HIS Metrics - Number of parameters PARAM: rsa_alt_sign_wrap 8&gt;5</t>
  </si>
  <si>
    <t>rsa_alt_sign_wrap</t>
  </si>
  <si>
    <t>HIS Metrics - Number of parameters PARAM: rsa_alt_decrypt_wrap 8&gt;5</t>
  </si>
  <si>
    <t>rsa_alt_decrypt_wrap</t>
  </si>
  <si>
    <t>/kwbuilds/release_area/mcu_plus_sdk/source/networking/mbedtls_library/mbedtls/library/pkcs12.c</t>
  </si>
  <si>
    <t>HIS Metrics - Number of parameters PARAM: pkcs12_pbe_derive_key_iv 8&gt;5</t>
  </si>
  <si>
    <t>pkcs12_pbe_derive_key_iv</t>
  </si>
  <si>
    <t>HIS Metrics - Number of parameters PARAM: mbedtls_pkcs12_pbe_sha1_rc4_128 7&gt;5</t>
  </si>
  <si>
    <t>mbedtls_pkcs12_pbe_sha1_rc4_128</t>
  </si>
  <si>
    <t>HIS Metrics - Number of parameters PARAM: mbedtls_pkcs12_pbe 9&gt;5</t>
  </si>
  <si>
    <t>mbedtls_pkcs12_pbe</t>
  </si>
  <si>
    <t>HIS Metrics - Number of parameters PARAM: mbedtls_pkcs12_derivation 9&gt;5</t>
  </si>
  <si>
    <t>mbedtls_pkcs12_derivation</t>
  </si>
  <si>
    <t>Expression '(ret=mbedtls_cipher_reset( &amp;cipher_ct...' used in the condition always yields the same result, and causes an unreachable code</t>
  </si>
  <si>
    <t>HIS Metrics - Cyclomatic v(G): mbedtls_pkcs12_derivation 19&gt;10</t>
  </si>
  <si>
    <t>HIS Metrics - Number of paths PATH: mbedtls_pkcs12_derivation 2501.00073&gt;80</t>
  </si>
  <si>
    <t>Array 'hash_output' of size 64 may use index value(s) 64..127</t>
  </si>
  <si>
    <t>/kwbuilds/release_area/mcu_plus_sdk/source/networking/mbedtls_library/mbedtls/library/pkcs5.c</t>
  </si>
  <si>
    <t>HIS Metrics - Cyclomatic v(G): pkcs5_parse_pbkdf2_params 11&gt;10</t>
  </si>
  <si>
    <t>pkcs5_parse_pbkdf2_params</t>
  </si>
  <si>
    <t>HIS Metrics - Cyclomatic v(G): mbedtls_pkcs5_pbes2 15&gt;10</t>
  </si>
  <si>
    <t>mbedtls_pkcs5_pbes2</t>
  </si>
  <si>
    <t>HIS Metrics - Cyclomatic v(G): mbedtls_pkcs5_pbkdf2_hmac 14&gt;10</t>
  </si>
  <si>
    <t>mbedtls_pkcs5_pbkdf2_hmac</t>
  </si>
  <si>
    <t>HIS Metrics - Number of parameters PARAM: mbedtls_pkcs5_pbes2 7&gt;5</t>
  </si>
  <si>
    <t>HIS Metrics - Number of parameters PARAM: mbedtls_pkcs5_pbkdf2_hmac 8&gt;5</t>
  </si>
  <si>
    <t>/kwbuilds/release_area/mcu_plus_sdk/source/networking/mbedtls_library/mbedtls/library/pkparse.c</t>
  </si>
  <si>
    <t>HIS Metrics - Cyclomatic v(G): pk_group_from_specified 17&gt;10</t>
  </si>
  <si>
    <t>pk_group_from_specified</t>
  </si>
  <si>
    <t>HIS Metrics - Cyclomatic v(G): mbedtls_pk_parse_subpubkey 12&gt;10</t>
  </si>
  <si>
    <t>mbedtls_pk_parse_subpubkey</t>
  </si>
  <si>
    <t>HIS Metrics - Cyclomatic v(G): pk_parse_key_pkcs1_der 14&gt;10</t>
  </si>
  <si>
    <t>pk_parse_key_pkcs1_der</t>
  </si>
  <si>
    <t>HIS Metrics - Cyclomatic v(G): pk_parse_key_sec1_der 19&gt;10</t>
  </si>
  <si>
    <t>pk_parse_key_sec1_der</t>
  </si>
  <si>
    <t>HIS Metrics - Cyclomatic v(G): pk_parse_key_pkcs8_unencrypted_der 13&gt;10</t>
  </si>
  <si>
    <t>pk_parse_key_pkcs8_unencrypted_der</t>
  </si>
  <si>
    <t>HIS Metrics - Cyclomatic v(G): pk_parse_key_pkcs8_encrypted_der 15&gt;10</t>
  </si>
  <si>
    <t>pk_parse_key_pkcs8_encrypted_der</t>
  </si>
  <si>
    <t>HIS Metrics - Cyclomatic v(G): mbedtls_pk_parse_key 28&gt;10</t>
  </si>
  <si>
    <t>mbedtls_pk_parse_key</t>
  </si>
  <si>
    <t>HIS Metrics - Cyclomatic v(G): mbedtls_pk_parse_public_key 14&gt;10</t>
  </si>
  <si>
    <t>mbedtls_pk_parse_public_key</t>
  </si>
  <si>
    <t>HIS Metrics - Number of paths PATH: pk_parse_key_pkcs1_der 770.99963&gt;80</t>
  </si>
  <si>
    <t>HIS Metrics - Number of paths PATH: mbedtls_pk_parse_key 229.99991&gt;80</t>
  </si>
  <si>
    <t>Expression 'ret&amp;65408' used in the condition always yields the same result, and causes an unreachable code</t>
  </si>
  <si>
    <t>Expression '(ret=mbedtls_pkcs12_pbe_sha1_rc4_128(...' used in the condition always yields the same result, and causes an unreachable code</t>
  </si>
  <si>
    <t>Expression 'pk_info' used in the condition always yields the same result, and causes an unreachable code</t>
  </si>
  <si>
    <t>Memory pointed by 'rsa-&gt;Vi.p' is freed at this point, but this memory is not freed upon function exits at line(s) 695, 702, 707, 781.</t>
  </si>
  <si>
    <t>Memory pointed by 'rsa-&gt;Vf.p' is freed at this point, but this memory is not freed upon function exits at line(s) 695, 702, 707, 781.</t>
  </si>
  <si>
    <t>Memory pointed by 'rsa-&gt;RN.p' is freed at this point, but this memory is not freed upon function exits at line(s) 695, 702, 707, 781.</t>
  </si>
  <si>
    <t>Memory pointed by 'rsa-&gt;RQ.p' is freed at this point, but this memory is not freed upon function exits at line(s) 695, 702, 707, 781.</t>
  </si>
  <si>
    <t>Memory pointed by 'rsa-&gt;RP.p' is freed at this point, but this memory is not freed upon function exits at line(s) 695, 702, 707, 781.</t>
  </si>
  <si>
    <t>Memory pointed by 'eck-&gt;Q.X.p' is freed at this point, but this memory is not freed upon function exits at line(s) 814, 820, 823, 826, 849, 855, 871, 874, 892.</t>
  </si>
  <si>
    <t>Memory pointed by 'eck-&gt;Q.Y.p' is freed at this point, but this memory is not freed upon function exits at line(s) 814, 820, 823, 826, 849, 855, 871, 874, 892.</t>
  </si>
  <si>
    <t>Memory pointed by 'eck-&gt;Q.Z.p' is freed at this point, but this memory is not freed upon function exits at line(s) 814, 820, 823, 826, 849, 855, 871, 874, 892.</t>
  </si>
  <si>
    <t>Memory pointed by 'eck-&gt;Q.X.p' is freed at this point, but this memory is not freed upon function exits at line(s) 814, 820, 823, 826, 831, 855, 871, 874, 892.</t>
  </si>
  <si>
    <t>Memory pointed by 'eck-&gt;Q.Y.p' is freed at this point, but this memory is not freed upon function exits at line(s) 814, 820, 823, 826, 831, 855, 871, 874, 892.</t>
  </si>
  <si>
    <t>Memory pointed by 'eck-&gt;Q.Z.p' is freed at this point, but this memory is not freed upon function exits at line(s) 814, 820, 823, 826, 831, 855, 871, 874, 892.</t>
  </si>
  <si>
    <t>Memory pointed by 'eck-&gt;Q.X.p' is freed at this point, but this memory is not freed upon function exits at line(s) 814, 820, 823, 826, 831, 849, 871, 874, 892.</t>
  </si>
  <si>
    <t>Memory pointed by 'eck-&gt;Q.Y.p' is freed at this point, but this memory is not freed upon function exits at line(s) 814, 820, 823, 826, 831, 849, 871, 874, 892.</t>
  </si>
  <si>
    <t>Memory pointed by 'eck-&gt;Q.Z.p' is freed at this point, but this memory is not freed upon function exits at line(s) 814, 820, 823, 826, 831, 849, 871, 874, 892.</t>
  </si>
  <si>
    <t>Memory pointed by 'eck-&gt;Q.X.p' is freed at this point, but this memory is not freed upon function exits at line(s) 814, 820, 823, 826, 831, 849, 855, 871, 874.</t>
  </si>
  <si>
    <t>Memory pointed by 'eck-&gt;Q.Y.p' is freed at this point, but this memory is not freed upon function exits at line(s) 814, 820, 823, 826, 831, 849, 855, 871, 874.</t>
  </si>
  <si>
    <t>Memory pointed by 'eck-&gt;Q.Z.p' is freed at this point, but this memory is not freed upon function exits at line(s) 814, 820, 823, 826, 831, 849, 855, 871, 874.</t>
  </si>
  <si>
    <t>HIS Metrics - Max nesting level LEVEL: pk_parse_key_sec1_der 6&gt;4</t>
  </si>
  <si>
    <t>HIS Metrics - Max nesting level LEVEL: pk_parse_key_pkcs8_encrypted_der 6&gt;4</t>
  </si>
  <si>
    <t>HIS Metrics - Max nesting level LEVEL: mbedtls_pk_parse_key 5&gt;4</t>
  </si>
  <si>
    <t>Variable 'p' used twice in one expression where one usage is subject to side-effects</t>
  </si>
  <si>
    <t>/kwbuilds/release_area/mcu_plus_sdk/source/networking/mbedtls_library/mbedtls/library/pkwrite.c</t>
  </si>
  <si>
    <t>HIS Metrics - Cyclomatic v(G): mbedtls_pk_write_pubkey_der 18&gt;10</t>
  </si>
  <si>
    <t>mbedtls_pk_write_pubkey_der</t>
  </si>
  <si>
    <t>HIS Metrics - Cyclomatic v(G): mbedtls_pk_write_key_der 43&gt;10</t>
  </si>
  <si>
    <t>mbedtls_pk_write_key_der</t>
  </si>
  <si>
    <t>HIS Metrics - Number of paths PATH: mbedtls_pk_write_pubkey_der 384.99979&gt;80</t>
  </si>
  <si>
    <t>HIS Metrics - Number of paths PATH: mbedtls_pk_write_key_der 12289.99902&gt;80</t>
  </si>
  <si>
    <t>HIS Metrics - Max nesting level LEVEL: mbedtls_pk_write_key_der 5&gt;4</t>
  </si>
  <si>
    <t>/kwbuilds/release_area/mcu_plus_sdk/source/networking/mbedtls_library/mbedtls/library/rsa.c</t>
  </si>
  <si>
    <t>HIS Metrics - Number of parameters PARAM: mbedtls_rsa_import 6&gt;5</t>
  </si>
  <si>
    <t>mbedtls_rsa_import</t>
  </si>
  <si>
    <t>HIS Metrics - Number of parameters PARAM: mbedtls_rsa_import_raw 11&gt;5</t>
  </si>
  <si>
    <t>mbedtls_rsa_import_raw</t>
  </si>
  <si>
    <t>HIS Metrics - Number of parameters PARAM: mbedtls_rsa_export_raw 11&gt;5</t>
  </si>
  <si>
    <t>mbedtls_rsa_export_raw</t>
  </si>
  <si>
    <t>HIS Metrics - Number of parameters PARAM: mbedtls_rsa_export 6&gt;5</t>
  </si>
  <si>
    <t>mbedtls_rsa_export</t>
  </si>
  <si>
    <t>HIS Metrics - Number of parameters PARAM: mbedtls_rsa_rsaes_oaep_encrypt 9&gt;5</t>
  </si>
  <si>
    <t>mbedtls_rsa_rsaes_oaep_encrypt</t>
  </si>
  <si>
    <t>HIS Metrics - Number of parameters PARAM: mbedtls_rsa_rsaes_pkcs1_v15_encrypt 7&gt;5</t>
  </si>
  <si>
    <t>mbedtls_rsa_rsaes_pkcs1_v15_encrypt</t>
  </si>
  <si>
    <t>HIS Metrics - Number of parameters PARAM: mbedtls_rsa_pkcs1_encrypt 7&gt;5</t>
  </si>
  <si>
    <t>mbedtls_rsa_pkcs1_encrypt</t>
  </si>
  <si>
    <t>HIS Metrics - Number of parameters PARAM: mbedtls_rsa_rsaes_oaep_decrypt 10&gt;5</t>
  </si>
  <si>
    <t>mbedtls_rsa_rsaes_oaep_decrypt</t>
  </si>
  <si>
    <t>HIS Metrics - Number of parameters PARAM: mbedtls_rsa_rsaes_pkcs1_v15_decrypt 8&gt;5</t>
  </si>
  <si>
    <t>mbedtls_rsa_rsaes_pkcs1_v15_decrypt</t>
  </si>
  <si>
    <t>HIS Metrics - Number of parameters PARAM: mbedtls_rsa_pkcs1_decrypt 8&gt;5</t>
  </si>
  <si>
    <t>mbedtls_rsa_pkcs1_decrypt</t>
  </si>
  <si>
    <t>HIS Metrics - Number of parameters PARAM: mbedtls_rsa_rsassa_pss_sign 8&gt;5</t>
  </si>
  <si>
    <t>mbedtls_rsa_rsassa_pss_sign</t>
  </si>
  <si>
    <t>HIS Metrics - Number of parameters PARAM: mbedtls_rsa_rsassa_pkcs1_v15_sign 8&gt;5</t>
  </si>
  <si>
    <t>mbedtls_rsa_rsassa_pkcs1_v15_sign</t>
  </si>
  <si>
    <t>HIS Metrics - Number of parameters PARAM: mbedtls_rsa_pkcs1_sign 8&gt;5</t>
  </si>
  <si>
    <t>mbedtls_rsa_pkcs1_sign</t>
  </si>
  <si>
    <t>HIS Metrics - Number of parameters PARAM: mbedtls_rsa_rsassa_pss_verify_ext 10&gt;5</t>
  </si>
  <si>
    <t>mbedtls_rsa_rsassa_pss_verify_ext</t>
  </si>
  <si>
    <t>HIS Metrics - Number of parameters PARAM: mbedtls_rsa_rsassa_pss_verify 8&gt;5</t>
  </si>
  <si>
    <t>mbedtls_rsa_rsassa_pss_verify</t>
  </si>
  <si>
    <t>HIS Metrics - Number of parameters PARAM: mbedtls_rsa_rsassa_pkcs1_v15_verify 8&gt;5</t>
  </si>
  <si>
    <t>mbedtls_rsa_rsassa_pkcs1_v15_verify</t>
  </si>
  <si>
    <t>HIS Metrics - Number of parameters PARAM: mbedtls_rsa_pkcs1_verify 8&gt;5</t>
  </si>
  <si>
    <t>mbedtls_rsa_pkcs1_verify</t>
  </si>
  <si>
    <t>HIS Metrics - Cyclomatic v(G): mbedtls_rsa_import_raw 17&gt;10</t>
  </si>
  <si>
    <t>HIS Metrics - Cyclomatic v(G): mbedtls_rsa_export_raw 18&gt;10</t>
  </si>
  <si>
    <t>HIS Metrics - Cyclomatic v(G): mbedtls_rsa_gen_key 42&gt;10</t>
  </si>
  <si>
    <t>mbedtls_rsa_gen_key</t>
  </si>
  <si>
    <t>HIS Metrics - Cyclomatic v(G): rsa_prepare_blinding 20&gt;10</t>
  </si>
  <si>
    <t>rsa_prepare_blinding</t>
  </si>
  <si>
    <t>HIS Metrics - Cyclomatic v(G): mbedtls_rsa_private 57&gt;10</t>
  </si>
  <si>
    <t>mbedtls_rsa_private</t>
  </si>
  <si>
    <t>HIS Metrics - Cyclomatic v(G): mbedtls_rsa_rsaes_oaep_encrypt 12&gt;10</t>
  </si>
  <si>
    <t>HIS Metrics - Cyclomatic v(G): mbedtls_rsa_rsaes_oaep_decrypt 14&gt;10</t>
  </si>
  <si>
    <t>HIS Metrics - Cyclomatic v(G): mbedtls_rsa_rsassa_pss_sign 18&gt;10</t>
  </si>
  <si>
    <t>HIS Metrics - Cyclomatic v(G): mbedtls_rsa_rsassa_pkcs1_v15_sign 11&gt;10</t>
  </si>
  <si>
    <t>HIS Metrics - Cyclomatic v(G): mbedtls_rsa_rsassa_pss_verify_ext 23&gt;10</t>
  </si>
  <si>
    <t>HIS Metrics - Cyclomatic v(G): mbedtls_rsa_copy 28&gt;10</t>
  </si>
  <si>
    <t>mbedtls_rsa_copy</t>
  </si>
  <si>
    <t>HIS Metrics - Number of paths PATH: mbedtls_rsa_import_raw 2048&gt;80</t>
  </si>
  <si>
    <t>HIS Metrics - Number of paths PATH: mbedtls_rsa_export_raw 2048.99927&gt;80</t>
  </si>
  <si>
    <t>HIS Metrics - Number of paths PATH: mbedtls_rsa_gen_key 350791648&gt;80</t>
  </si>
  <si>
    <t>HIS Metrics - Number of paths PATH: mbedtls_rsa_public 109.00002&gt;80</t>
  </si>
  <si>
    <t>mbedtls_rsa_public</t>
  </si>
  <si>
    <t>HIS Metrics - Number of paths PATH: rsa_prepare_blinding 7461.99951&gt;80</t>
  </si>
  <si>
    <t>HIS Metrics - Number of paths PATH: mbedtls_rsa_private 2147482752&gt;80</t>
  </si>
  <si>
    <t>HIS Metrics - Number of paths PATH: mbedtls_rsa_rsaes_oaep_decrypt 260.00006&gt;80</t>
  </si>
  <si>
    <t>HIS Metrics - Number of paths PATH: mbedtls_rsa_rsassa_pss_sign 1032.99927&gt;80</t>
  </si>
  <si>
    <t>HIS Metrics - Number of paths PATH: mbedtls_rsa_rsassa_pss_verify_ext 8204.99902&gt;80</t>
  </si>
  <si>
    <t>HIS Metrics - Number of paths PATH: mbedtls_rsa_copy 3188646.75&gt;80</t>
  </si>
  <si>
    <t>Variable 'ctx-&gt;P' used twice in one expression where one usage is subject to side-effects</t>
  </si>
  <si>
    <t>Variable 'ctx-&gt;Q' used twice in one expression where one usage is subject to side-effects</t>
  </si>
  <si>
    <t>Variable 'DP_blind' used twice in one expression where one usage is subject to side-effects</t>
  </si>
  <si>
    <t>Variable 'DQ_blind' used twice in one expression where one usage is subject to side-effects</t>
  </si>
  <si>
    <t>Memory pointed by 'ctx-&gt;Vi.p' is freed at this point, but this memory is not freed upon function exits at line(s) 507, 510, 596.</t>
  </si>
  <si>
    <t>Memory pointed by 'ctx-&gt;Vf.p' is freed at this point, but this memory is not freed upon function exits at line(s) 507, 510, 596.</t>
  </si>
  <si>
    <t>Memory pointed by 'ctx-&gt;RN.p' is freed at this point, but this memory is not freed upon function exits at line(s) 507, 510, 596.</t>
  </si>
  <si>
    <t>Memory pointed by 'ctx-&gt;RQ.p' is freed at this point, but this memory is not freed upon function exits at line(s) 507, 510, 596.</t>
  </si>
  <si>
    <t>Memory pointed by 'ctx-&gt;RP.p' is freed at this point, but this memory is not freed upon function exits at line(s) 507, 510, 596.</t>
  </si>
  <si>
    <t>/kwbuilds/release_area/mcu_plus_sdk/source/networking/mbedtls_library/mbedtls/library/rsa_internal.c</t>
  </si>
  <si>
    <t>HIS Metrics - Max nesting level LEVEL: mbedtls_rsa_deduce_primes 6&gt;4</t>
  </si>
  <si>
    <t>mbedtls_rsa_deduce_primes</t>
  </si>
  <si>
    <t>HIS Metrics - Cyclomatic v(G): mbedtls_rsa_deduce_primes 33&gt;10</t>
  </si>
  <si>
    <t>HIS Metrics - Cyclomatic v(G): mbedtls_rsa_deduce_private_exponent 15&gt;10</t>
  </si>
  <si>
    <t>mbedtls_rsa_deduce_private_exponent</t>
  </si>
  <si>
    <t>HIS Metrics - Cyclomatic v(G): mbedtls_rsa_validate_crt 29&gt;10</t>
  </si>
  <si>
    <t>mbedtls_rsa_validate_crt</t>
  </si>
  <si>
    <t>HIS Metrics - Cyclomatic v(G): mbedtls_rsa_validate_params 30&gt;10</t>
  </si>
  <si>
    <t>mbedtls_rsa_validate_params</t>
  </si>
  <si>
    <t>HIS Metrics - Cyclomatic v(G): mbedtls_rsa_deduce_crt 14&gt;10</t>
  </si>
  <si>
    <t>mbedtls_rsa_deduce_crt</t>
  </si>
  <si>
    <t>HIS Metrics - Number of paths PATH: mbedtls_rsa_deduce_primes 1893890.125&gt;80</t>
  </si>
  <si>
    <t>HIS Metrics - Number of paths PATH: mbedtls_rsa_deduce_private_exponent 730.99951&gt;80</t>
  </si>
  <si>
    <t>HIS Metrics - Number of paths PATH: mbedtls_rsa_validate_crt 2590058.25&gt;80</t>
  </si>
  <si>
    <t>HIS Metrics - Number of paths PATH: mbedtls_rsa_validate_params 8818152&gt;80</t>
  </si>
  <si>
    <t>HIS Metrics - Number of paths PATH: mbedtls_rsa_deduce_crt 400.00021&gt;80</t>
  </si>
  <si>
    <t>Variable 'K' used twice in one expression where one usage is subject to side-effects</t>
  </si>
  <si>
    <t>Variable 'L' used twice in one expression where one usage is subject to side-effects</t>
  </si>
  <si>
    <t>HIS Metrics - Number of parameters PARAM: mbedtls_rsa_validate_crt 6&gt;5</t>
  </si>
  <si>
    <t>HIS Metrics - Number of parameters PARAM: mbedtls_rsa_validate_params 7&gt;5</t>
  </si>
  <si>
    <t>HIS Metrics - Number of parameters PARAM: mbedtls_rsa_deduce_crt 6&gt;5</t>
  </si>
  <si>
    <t>/kwbuilds/release_area/mcu_plus_sdk/source/networking/mbedtls_library/mbedtls/library/sha256.c</t>
  </si>
  <si>
    <t>HIS Metrics - Cyclomatic v(G): mbedtls_sha256_finish_ret 15&gt;10</t>
  </si>
  <si>
    <t>mbedtls_sha256_finish_ret</t>
  </si>
  <si>
    <t>HIS Metrics - Number of paths PATH: mbedtls_sha256_finish_ret 3081&gt;80</t>
  </si>
  <si>
    <t>Expression '(ret=mbedtls_sha256_starts_ret( &amp;ctx,...' used in the condition always yields the same result, and causes an unreachable code</t>
  </si>
  <si>
    <t>mbedtls_sha256_ret</t>
  </si>
  <si>
    <t>/kwbuilds/release_area/mcu_plus_sdk/source/networking/mbedtls_library/mbedtls/library/sha512.c</t>
  </si>
  <si>
    <t>mbedtls_sha512_update_ret</t>
  </si>
  <si>
    <t>mbedtls_sha512_finish_ret</t>
  </si>
  <si>
    <t>Expression '(ret=mbedtls_sha512_starts_ret( &amp;ctx,...' used in the condition always yields the same result, and causes an unreachable code</t>
  </si>
  <si>
    <t>mbedtls_sha512_ret</t>
  </si>
  <si>
    <t>Expression '(ret=mbedtls_sha512_update_ret( &amp;ctx,...' used in the condition always yields the same result, and causes an unreachable code</t>
  </si>
  <si>
    <t>Expression '(ret=mbedtls_sha512_finish_ret( &amp;ctx,...' used in the condition always yields the same result, and causes an unreachable code</t>
  </si>
  <si>
    <t>/kwbuilds/release_area/mcu_plus_sdk/source/networking/mbedtls_library/mbedtls/library/ssl_cache.c</t>
  </si>
  <si>
    <t>Value of 'entry' is never used after assignment</t>
  </si>
  <si>
    <t>mbedtls_ssl_cache_get</t>
  </si>
  <si>
    <t>HIS Metrics - Cyclomatic v(G): mbedtls_ssl_cache_set 13&gt;10</t>
  </si>
  <si>
    <t>mbedtls_ssl_cache_set</t>
  </si>
  <si>
    <t>HIS Metrics - Number of paths PATH: mbedtls_ssl_cache_set 209.99988&gt;80</t>
  </si>
  <si>
    <t>/kwbuilds/release_area/mcu_plus_sdk/source/networking/mbedtls_library/mbedtls/library/ssl_cli.c</t>
  </si>
  <si>
    <t>ssl_write_signature_algorithms_ext</t>
  </si>
  <si>
    <t>ssl_write_supported_elliptic_curves_ext</t>
  </si>
  <si>
    <t>ssl_write_supported_point_formats_ext</t>
  </si>
  <si>
    <t>ssl_write_max_fragment_length_ext</t>
  </si>
  <si>
    <t>ssl_write_truncated_hmac_ext</t>
  </si>
  <si>
    <t>ssl_write_encrypt_then_mac_ext</t>
  </si>
  <si>
    <t>ssl_write_extended_ms_ext</t>
  </si>
  <si>
    <t>ssl_write_client_hello</t>
  </si>
  <si>
    <t>HIS Metrics - Cyclomatic v(G): ssl_write_client_hello 23&gt;10</t>
  </si>
  <si>
    <t>HIS Metrics - Cyclomatic v(G): ssl_parse_server_hello 47&gt;10</t>
  </si>
  <si>
    <t>ssl_parse_server_hello</t>
  </si>
  <si>
    <t>HIS Metrics - Cyclomatic v(G): ssl_parse_server_key_exchange 30&gt;10</t>
  </si>
  <si>
    <t>ssl_parse_server_key_exchange</t>
  </si>
  <si>
    <t>HIS Metrics - Cyclomatic v(G): ssl_parse_certificate_request 12&gt;10</t>
  </si>
  <si>
    <t>ssl_parse_certificate_request</t>
  </si>
  <si>
    <t>HIS Metrics - Cyclomatic v(G): ssl_write_client_key_exchange 22&gt;10</t>
  </si>
  <si>
    <t>ssl_write_client_key_exchange</t>
  </si>
  <si>
    <t>HIS Metrics - Cyclomatic v(G): ssl_write_certificate_verify 11&gt;10</t>
  </si>
  <si>
    <t>ssl_write_certificate_verify</t>
  </si>
  <si>
    <t>HIS Metrics - Cyclomatic v(G): mbedtls_ssl_handshake_client_step 23&gt;10</t>
  </si>
  <si>
    <t>mbedtls_ssl_handshake_client_step</t>
  </si>
  <si>
    <t>HIS Metrics - Number of paths PATH: ssl_write_client_hello 82953.02344&gt;80</t>
  </si>
  <si>
    <t>HIS Metrics - Number of paths PATH: ssl_parse_server_hello 2914.99951&gt;80</t>
  </si>
  <si>
    <t>HIS Metrics - Number of paths PATH: ssl_parse_server_key_exchange 272&gt;80</t>
  </si>
  <si>
    <t>Expression 'offer_compress' used in the condition always yields the same result, and causes an unreachable code</t>
  </si>
  <si>
    <t>Expression 'comp!=0' used in the condition always yields the same result, and causes an unreachable code</t>
  </si>
  <si>
    <t>Expression 'md_alg!=MBEDTLS_MD_NONE' used in the condition always yields the same result, and causes an unreachable code</t>
  </si>
  <si>
    <t>Expression 'ciphersuite_info-&gt;key_exchange==MBEDT...' used in the condition always yields the same result, and causes an unreachable code</t>
  </si>
  <si>
    <t>Expression 'ssl-&gt;minor_ver==3' used in the condition always yields the same result, and causes an unreachable code</t>
  </si>
  <si>
    <t>Memory pointed by 'ssl-&gt;handshake-&gt;verify_cookie' is freed at this point, but this memory is not freed upon function exits at line(s) 1444, 1456.</t>
  </si>
  <si>
    <t>ssl_parse_hello_verify_request</t>
  </si>
  <si>
    <t>Memory pointed by 'ssl-&gt;session' is freed at this point, but this memory is not freed upon function exits at line(s) 3403, 3408, 3415, 3526, 3529.</t>
  </si>
  <si>
    <t>Memory pointed by 'ssl-&gt;session-&gt;peer_cert' is freed at this point, but this memory is not freed upon function exits at line(s) 3403, 3408, 3415, 3526, 3529.</t>
  </si>
  <si>
    <t>Memory pointed by 'ssl-&gt;session-&gt;ticket' is freed at this point, but this memory is not freed upon function exits at line(s) 3403, 3408, 3415, 3526, 3529.</t>
  </si>
  <si>
    <t>HIS Metrics - Max nesting level LEVEL: ssl_parse_server_hello 5&gt;4</t>
  </si>
  <si>
    <t>HIS Metrics - Max nesting level LEVEL: ssl_parse_server_key_exchange 5&gt;4</t>
  </si>
  <si>
    <t>HIS Metrics - Max nesting level LEVEL: ssl_write_client_key_exchange 10&gt;4</t>
  </si>
  <si>
    <t>Expression 'md_alg' used in the condition always yields the same result</t>
  </si>
  <si>
    <t>/kwbuilds/release_area/mcu_plus_sdk/source/networking/mbedtls_library/mbedtls/library/ssl_cookie.c</t>
  </si>
  <si>
    <t>HIS Metrics - Number of parameters PARAM: ssl_cookie_hmac 6&gt;5</t>
  </si>
  <si>
    <t>ssl_cookie_hmac</t>
  </si>
  <si>
    <t>mbedtls_ssl_cookie_check</t>
  </si>
  <si>
    <t>/kwbuilds/release_area/mcu_plus_sdk/source/networking/mbedtls_library/mbedtls/library/ssl_srv.c</t>
  </si>
  <si>
    <t>Memory pointed by 'ssl-&gt;cli_id' is freed at this point, but this memory is not freed upon function exits at line(s) 59.</t>
  </si>
  <si>
    <t>mbedtls_ssl_set_client_transport_id</t>
  </si>
  <si>
    <t>Memory pointed by 'ssl-&gt;session_negotiate-&gt;peer_cert' is freed at this point, but this memory is not freed upon function exits at line(s) 521, 530, 536, 555.</t>
  </si>
  <si>
    <t>ssl_parse_session_ticket_ext</t>
  </si>
  <si>
    <t>Memory pointed by 'ssl-&gt;session_negotiate-&gt;ticket' is freed at this point, but this memory is not freed upon function exits at line(s) 521, 530, 536, 555.</t>
  </si>
  <si>
    <t>Memory pointed by 'ssl-&gt;session' is freed at this point, but this memory is not freed upon function exits at line(s) 4253, 4258, 4265, 4284, 4370, 4373.</t>
  </si>
  <si>
    <t>mbedtls_ssl_handshake_server_step</t>
  </si>
  <si>
    <t>Memory pointed by 'ssl-&gt;session-&gt;peer_cert' is freed at this point, but this memory is not freed upon function exits at line(s) 4253, 4258, 4265, 4284, 4370, 4373.</t>
  </si>
  <si>
    <t>Memory pointed by 'ssl-&gt;session-&gt;ticket' is freed at this point, but this memory is not freed upon function exits at line(s) 4253, 4258, 4265, 4284, 4370, 4373.</t>
  </si>
  <si>
    <t>HIS Metrics - Cyclomatic v(G): ssl_pick_cert 12&gt;10</t>
  </si>
  <si>
    <t>ssl_pick_cert</t>
  </si>
  <si>
    <t>HIS Metrics - Cyclomatic v(G): ssl_parse_client_hello 84&gt;10</t>
  </si>
  <si>
    <t>ssl_parse_client_hello</t>
  </si>
  <si>
    <t>HIS Metrics - Cyclomatic v(G): ssl_write_server_hello 12&gt;10</t>
  </si>
  <si>
    <t>ssl_write_server_hello</t>
  </si>
  <si>
    <t>HIS Metrics - Cyclomatic v(G): ssl_prepare_server_key_exchange 24&gt;10</t>
  </si>
  <si>
    <t>ssl_prepare_server_key_exchange</t>
  </si>
  <si>
    <t>HIS Metrics - Cyclomatic v(G): ssl_parse_client_key_exchange 31&gt;10</t>
  </si>
  <si>
    <t>ssl_parse_client_key_exchange</t>
  </si>
  <si>
    <t>HIS Metrics - Cyclomatic v(G): ssl_parse_certificate_verify 15&gt;10</t>
  </si>
  <si>
    <t>ssl_parse_certificate_verify</t>
  </si>
  <si>
    <t>HIS Metrics - Cyclomatic v(G): mbedtls_ssl_handshake_server_step 23&gt;10</t>
  </si>
  <si>
    <t>HIS Metrics - Max nesting level LEVEL: ssl_parse_client_hello 5&gt;4</t>
  </si>
  <si>
    <t>HIS Metrics - Max nesting level LEVEL: ssl_prepare_server_key_exchange 5&gt;4</t>
  </si>
  <si>
    <t>HIS Metrics - Max nesting level LEVEL: ssl_parse_client_key_exchange 9&gt;4</t>
  </si>
  <si>
    <t>HIS Metrics - Max nesting level LEVEL: ssl_parse_certificate_verify 5&gt;4</t>
  </si>
  <si>
    <t>HIS Metrics - Number of paths PATH: ssl_parse_client_hello 59221392&gt;80</t>
  </si>
  <si>
    <t>HIS Metrics - Number of paths PATH: ssl_prepare_server_key_exchange 994&gt;80</t>
  </si>
  <si>
    <t>Expression 'ext_len&lt;4' used in the condition always yields the same result, and causes an unreachable code</t>
  </si>
  <si>
    <t>ssl_write_session_ticket_ext</t>
  </si>
  <si>
    <t>Pointer 'mbedtls_ssl_ciphersuite_from_id(ssl-&gt;session_negotiate-&gt;ciphersuite)' returned from call to function 'mbedtls_ssl_ciphersuite_from_id' at line 2602 may be NULL and will be dereferenced at line 2602.</t>
  </si>
  <si>
    <t>Pointer 'mbedtls_ssl_own_key(ssl)' returned from call to function 'mbedtls_ssl_own_key' at line 2857 may be NULL and will be dereferenced at line 2857.</t>
  </si>
  <si>
    <t>ssl_get_ecdh_params_from_cert</t>
  </si>
  <si>
    <t>HIS Metrics - Number of parameters PARAM: ssl_decrypt_encrypted_pms 6&gt;5</t>
  </si>
  <si>
    <t>ssl_decrypt_encrypted_pms</t>
  </si>
  <si>
    <t>Expression 'n&gt;65535' used in the condition always yields the same result</t>
  </si>
  <si>
    <t>ssl_parse_client_psk_identity</t>
  </si>
  <si>
    <t>/kwbuilds/release_area/mcu_plus_sdk/source/networking/mbedtls_library/mbedtls/library/ssl_ticket.c</t>
  </si>
  <si>
    <t>Variable 'key-&gt;ctx' used twice in one expression where one usage is subject to side-effects</t>
  </si>
  <si>
    <t>ssl_ticket_gen_key</t>
  </si>
  <si>
    <t>HIS Metrics - Number of parameters PARAM: mbedtls_ssl_ticket_write 6&gt;5</t>
  </si>
  <si>
    <t>mbedtls_ssl_ticket_write</t>
  </si>
  <si>
    <t>HIS Metrics - Cyclomatic v(G): mbedtls_ssl_ticket_parse 11&gt;10</t>
  </si>
  <si>
    <t>mbedtls_ssl_ticket_parse</t>
  </si>
  <si>
    <t>HIS Metrics - Number of paths PATH: mbedtls_ssl_ticket_parse 193.99997&gt;80</t>
  </si>
  <si>
    <t>/kwbuilds/release_area/mcu_plus_sdk/source/networking/mbedtls_library/mbedtls/library/ssl_tls.c</t>
  </si>
  <si>
    <t>HIS Metrics - Number of parameters PARAM: tls1_prf 7&gt;5</t>
  </si>
  <si>
    <t>tls1_prf</t>
  </si>
  <si>
    <t>HIS Metrics - Number of parameters PARAM: tls_prf_generic 8&gt;5</t>
  </si>
  <si>
    <t>tls_prf_generic</t>
  </si>
  <si>
    <t>HIS Metrics - Number of parameters PARAM: tls_prf_sha256 7&gt;5</t>
  </si>
  <si>
    <t>tls_prf_sha256</t>
  </si>
  <si>
    <t>HIS Metrics - Number of parameters PARAM: tls_prf_sha384 7&gt;5</t>
  </si>
  <si>
    <t>tls_prf_sha384</t>
  </si>
  <si>
    <t>HIS Metrics - Number of parameters PARAM: ssl_check_dtls_clihlo_cookie 10&gt;5</t>
  </si>
  <si>
    <t>ssl_check_dtls_clihlo_cookie</t>
  </si>
  <si>
    <t>HIS Metrics - Number of parameters PARAM: mbedtls_ssl_get_key_exchange_md_tls1_2 6&gt;5</t>
  </si>
  <si>
    <t>mbedtls_ssl_get_key_exchange_md_tls1_2</t>
  </si>
  <si>
    <t>HIS Metrics - Cyclomatic v(G): tls1_prf 12&gt;10</t>
  </si>
  <si>
    <t>HIS Metrics - Cyclomatic v(G): mbedtls_ssl_derive_keys 36&gt;10</t>
  </si>
  <si>
    <t>mbedtls_ssl_derive_keys</t>
  </si>
  <si>
    <t>HIS Metrics - Cyclomatic v(G): mbedtls_ssl_psk_derive_premaster 13&gt;10</t>
  </si>
  <si>
    <t>mbedtls_ssl_psk_derive_premaster</t>
  </si>
  <si>
    <t>HIS Metrics - Cyclomatic v(G): ssl_encrypt_buf 21&gt;10</t>
  </si>
  <si>
    <t>ssl_encrypt_buf</t>
  </si>
  <si>
    <t>HIS Metrics - Cyclomatic v(G): ssl_decrypt_buf 42&gt;10</t>
  </si>
  <si>
    <t>ssl_decrypt_buf</t>
  </si>
  <si>
    <t>HIS Metrics - Cyclomatic v(G): mbedtls_ssl_fetch_input 27&gt;10</t>
  </si>
  <si>
    <t>mbedtls_ssl_fetch_input</t>
  </si>
  <si>
    <t>HIS Metrics - Cyclomatic v(G): mbedtls_ssl_flight_transmit 19&gt;10</t>
  </si>
  <si>
    <t>mbedtls_ssl_flight_transmit</t>
  </si>
  <si>
    <t>HIS Metrics - Cyclomatic v(G): mbedtls_ssl_write_handshake_msg 13&gt;10</t>
  </si>
  <si>
    <t>mbedtls_ssl_write_handshake_msg</t>
  </si>
  <si>
    <t>HIS Metrics - Cyclomatic v(G): mbedtls_ssl_write_record 14&gt;10</t>
  </si>
  <si>
    <t>mbedtls_ssl_write_record</t>
  </si>
  <si>
    <t>HIS Metrics - Cyclomatic v(G): ssl_parse_record_header 16&gt;10</t>
  </si>
  <si>
    <t>ssl_parse_record_header</t>
  </si>
  <si>
    <t>HIS Metrics - Cyclomatic v(G): mbedtls_ssl_read_record 14&gt;10</t>
  </si>
  <si>
    <t>mbedtls_ssl_read_record</t>
  </si>
  <si>
    <t>HIS Metrics - Cyclomatic v(G): ssl_buffer_message 17&gt;10</t>
  </si>
  <si>
    <t>ssl_buffer_message</t>
  </si>
  <si>
    <t>HIS Metrics - Cyclomatic v(G): ssl_get_next_record 18&gt;10</t>
  </si>
  <si>
    <t>ssl_get_next_record</t>
  </si>
  <si>
    <t>HIS Metrics - Cyclomatic v(G): mbedtls_ssl_handle_message_type 14&gt;10</t>
  </si>
  <si>
    <t>mbedtls_ssl_handle_message_type</t>
  </si>
  <si>
    <t>HIS Metrics - Cyclomatic v(G): mbedtls_ssl_parse_certificate 45&gt;10</t>
  </si>
  <si>
    <t>mbedtls_ssl_parse_certificate</t>
  </si>
  <si>
    <t>HIS Metrics - Cyclomatic v(G): mbedtls_ssl_write_finished 12&gt;10</t>
  </si>
  <si>
    <t>mbedtls_ssl_write_finished</t>
  </si>
  <si>
    <t>HIS Metrics - Cyclomatic v(G): mbedtls_ssl_read 36&gt;10</t>
  </si>
  <si>
    <t>mbedtls_ssl_read</t>
  </si>
  <si>
    <t>Expression 'md_info' used in the condition always yields the same result, and causes an unreachable code</t>
  </si>
  <si>
    <t>Expression 'ssl-&gt;minor_ver&gt;0' used in the condition always yields the same result, and causes an unreachable code</t>
  </si>
  <si>
    <t>Expression 'auth_done!=1' used in the condition always yields the same result, and causes an unreachable code</t>
  </si>
  <si>
    <t>Expression 'max_frag_len' used in the condition always yields the same result, and causes an unreachable code</t>
  </si>
  <si>
    <t>Expression 'max_frag_len&lt;12' used in the condition always yields the same result, and causes an unreachable code</t>
  </si>
  <si>
    <t>Expression 'remaining' used in the condition always yields the same result, and causes an unreachable code</t>
  </si>
  <si>
    <t>Expression '(ret=mbedtls_ssl_write_handshake_msg(...' used in the condition always yields the same result, and causes an unreachable code</t>
  </si>
  <si>
    <t>mbedtls_ssl_write_change_cipher_spec</t>
  </si>
  <si>
    <t>Expression '++ssl-&gt;in_epoch' used in the condition always yields the same result, and causes an unreachable code</t>
  </si>
  <si>
    <t>mbedtls_ssl_parse_change_cipher_spec</t>
  </si>
  <si>
    <t>Expression 'ciphersuite_info-&gt;mac != MBEDTLS_MD_S...' used in the condition always yields the same result, and causes an unreachable code</t>
  </si>
  <si>
    <t>mbedtls_ssl_optimize_checksum</t>
  </si>
  <si>
    <t>Expression '(ret=mbedtls_md5_starts_ret( &amp;mbedtls...' used in the condition always yields the same result, and causes an unreachable code</t>
  </si>
  <si>
    <t>mbedtls_ssl_get_key_exchange_md_ssl_tls</t>
  </si>
  <si>
    <t>Expression '(ret=mbedtls_md5_update_ret( &amp;mbedtls...' used in the condition always yields the same result, and causes an unreachable code</t>
  </si>
  <si>
    <t>Expression '(ret=mbedtls_md5_finish_ret( &amp;mbedtls...' used in the condition always yields the same result, and causes an unreachable code</t>
  </si>
  <si>
    <t>Expression '(ret=mbedtls_sha1_starts_ret( &amp;mbedtl...' used in the condition always yields the same result, and causes an unreachable code</t>
  </si>
  <si>
    <t>HIS Metrics - Max nesting level LEVEL: mbedtls_ssl_derive_keys 5&gt;4</t>
  </si>
  <si>
    <t>HIS Metrics - Max nesting level LEVEL: mbedtls_ssl_psk_derive_premaster 6&gt;4</t>
  </si>
  <si>
    <t>HIS Metrics - Max nesting level LEVEL: ssl_encrypt_buf 5&gt;4</t>
  </si>
  <si>
    <t>HIS Metrics - Max nesting level LEVEL: ssl_decrypt_buf 6&gt;4</t>
  </si>
  <si>
    <t>HIS Metrics - Max nesting level LEVEL: mbedtls_ssl_fetch_input 7&gt;4</t>
  </si>
  <si>
    <t>HIS Metrics - Max nesting level LEVEL: mbedtls_ssl_flight_transmit 5&gt;4</t>
  </si>
  <si>
    <t>HIS Metrics - Max nesting level LEVEL: mbedtls_ssl_prepare_handshake_record 6&gt;4</t>
  </si>
  <si>
    <t>mbedtls_ssl_prepare_handshake_record</t>
  </si>
  <si>
    <t>HIS Metrics - Max nesting level LEVEL: ssl_parse_record_header 5&gt;4</t>
  </si>
  <si>
    <t>HIS Metrics - Max nesting level LEVEL: mbedtls_ssl_read_record 7&gt;4</t>
  </si>
  <si>
    <t>HIS Metrics - Max nesting level LEVEL: ssl_buffer_message 6&gt;4</t>
  </si>
  <si>
    <t>HIS Metrics - Max nesting level LEVEL: ssl_get_next_record 6&gt;4</t>
  </si>
  <si>
    <t>HIS Metrics - Max nesting level LEVEL: mbedtls_ssl_parse_certificate 13&gt;4</t>
  </si>
  <si>
    <t>HIS Metrics - Max nesting level LEVEL: mbedtls_ssl_read 7&gt;4</t>
  </si>
  <si>
    <t>HIS Metrics - Number of paths PATH: mbedtls_ssl_derive_keys 12173.99902&gt;80</t>
  </si>
  <si>
    <t>HIS Metrics - Number of paths PATH: ssl_encrypt_buf 198.00002&gt;80</t>
  </si>
  <si>
    <t>HIS Metrics - Number of paths PATH: ssl_decrypt_buf 16231.00098&gt;80</t>
  </si>
  <si>
    <t>HIS Metrics - Number of paths PATH: mbedtls_ssl_fetch_input 169.99992&gt;80</t>
  </si>
  <si>
    <t>HIS Metrics - Number of paths PATH: mbedtls_ssl_flight_transmit 202.00008&gt;80</t>
  </si>
  <si>
    <t>HIS Metrics - Number of paths PATH: mbedtls_ssl_write_record 107.99995&gt;80</t>
  </si>
  <si>
    <t>HIS Metrics - Number of paths PATH: ssl_buffer_message 139.99991&gt;80</t>
  </si>
  <si>
    <t>HIS Metrics - Number of paths PATH: mbedtls_ssl_parse_certificate 110734.00781&gt;80</t>
  </si>
  <si>
    <t>HIS Metrics - Number of paths PATH: mbedtls_ssl_write_finished 135.00002&gt;80</t>
  </si>
  <si>
    <t>HIS Metrics - Number of paths PATH: ssl_handshake_init 255.99988&gt;80</t>
  </si>
  <si>
    <t>ssl_handshake_init</t>
  </si>
  <si>
    <t>HIS Metrics - Number of paths PATH: mbedtls_ssl_read 1341&gt;80</t>
  </si>
  <si>
    <t>HIS Metrics - Number of paths PATH: mbedtls_ssl_get_key_exchange_md_ssl_tls 512.00024&gt;80</t>
  </si>
  <si>
    <t>Expression '2147483647&gt; (4294967295)' used in the condition always yields the same result</t>
  </si>
  <si>
    <t>Expression '2147483647 &gt; 4294967295' used in the condition always yields the same result</t>
  </si>
  <si>
    <t>mbedtls_ssl_flush_output</t>
  </si>
  <si>
    <t>Expression 'done' used in the condition always yields the same result</t>
  </si>
  <si>
    <t>ssl_prepare_record_content</t>
  </si>
  <si>
    <t>Expression 'ssl_mfl_code_to_length(mfl_code) &gt; (1...' used in the condition always yields the same result</t>
  </si>
  <si>
    <t>mbedtls_ssl_conf_max_frag_len</t>
  </si>
  <si>
    <t>VA_UNUSED.INIT</t>
  </si>
  <si>
    <t>Value of 'force_flush' is never used after initialization</t>
  </si>
  <si>
    <t>Value of 'rem_len' is never used after initialization</t>
  </si>
  <si>
    <t>Memory pointed by 'ssl-&gt;transform' is freed at this point, but this memory is not freed upon function exits at line(s) 3999, 4014.</t>
  </si>
  <si>
    <t>ssl_handle_possible_reconnect</t>
  </si>
  <si>
    <t>Memory pointed by 'ssl-&gt;session' is freed at this point, but this memory is not freed upon function exits at line(s) 3999, 4014.</t>
  </si>
  <si>
    <t>Memory pointed by 'ssl-&gt;session-&gt;peer_cert' is freed at this point, but this memory is not freed upon function exits at line(s) 3999, 4014.</t>
  </si>
  <si>
    <t>Memory pointed by 'ssl-&gt;session-&gt;ticket' is freed at this point, but this memory is not freed upon function exits at line(s) 3999, 4014.</t>
  </si>
  <si>
    <t>Memory pointed by 'ssl-&gt;session_negotiate-&gt;peer_cert' is freed at this point, but this memory is not freed upon function exits at line(s) 3999, 4014.</t>
  </si>
  <si>
    <t>Memory pointed by 'ssl-&gt;session_negotiate-&gt;ticket' is freed at this point, but this memory is not freed upon function exits at line(s) 3999, 4014.</t>
  </si>
  <si>
    <t>Memory pointed by 'ssl-&gt;handshake-&gt;psk' is freed at this point, but this memory is not freed upon function exits at line(s) 3999, 4014.</t>
  </si>
  <si>
    <t>Memory pointed by 'ssl-&gt;handshake-&gt;curves' is freed at this point, but this memory is not freed upon function exits at line(s) 3999, 4014.</t>
  </si>
  <si>
    <t>Memory pointed by 'ssl-&gt;handshake-&gt;verify_cookie' is freed at this point, but this memory is not freed upon function exits at line(s) 3999, 4014.</t>
  </si>
  <si>
    <t>Memory pointed by 'ssl-&gt;handshake' is freed at this point, but this memory is not freed upon function exits at line(s) 5114, 5124, 5131, 5146, 5160, 5173, 5180, 5189, 5206, 5218.</t>
  </si>
  <si>
    <t>Memory pointed by 'ssl-&gt;handshake-&gt;psk' is freed at this point, but this memory is not freed upon function exits at line(s) 5114, 5124, 5131, 5146, 5160, 5173, 5180, 5189, 5206, 5218.</t>
  </si>
  <si>
    <t>Memory pointed by 'ssl-&gt;transform' is freed at this point, but this memory is not freed upon function exits at line(s) 5114, 5124, 5131, 5142, 5146, 5160, 5173, 5180, 5189, 5206, 5218.</t>
  </si>
  <si>
    <t>Memory pointed by 'ssl-&gt;handshake-&gt;curves' is freed at this point, but this memory is not freed upon function exits at line(s) 5114, 5124, 5131, 5146, 5160, 5173, 5180, 5189, 5206, 5218.</t>
  </si>
  <si>
    <t>Memory pointed by 'ssl-&gt;handshake-&gt;verify_cookie' is freed at this point, but this memory is not freed upon function exits at line(s) 5114, 5124, 5131, 5146, 5160, 5173, 5180, 5189, 5206, 5218.</t>
  </si>
  <si>
    <t>Memory pointed by 'ssl-&gt;handshake' is freed at this point, but this memory is not freed upon function exits at line(s) 6339.</t>
  </si>
  <si>
    <t>mbedtls_ssl_handshake_wrapup</t>
  </si>
  <si>
    <t>Memory pointed by 'ssl-&gt;handshake-&gt;psk' is freed at this point, but this memory is not freed upon function exits at line(s) 6339.</t>
  </si>
  <si>
    <t>Memory pointed by 'ssl-&gt;transform' is freed at this point, but this memory is not freed upon function exits at line(s) 6339.</t>
  </si>
  <si>
    <t>Memory pointed by 'ssl-&gt;handshake-&gt;curves' is freed at this point, but this memory is not freed upon function exits at line(s) 6339.</t>
  </si>
  <si>
    <t>Memory pointed by 'ssl-&gt;handshake-&gt;verify_cookie' is freed at this point, but this memory is not freed upon function exits at line(s) 6339.</t>
  </si>
  <si>
    <t>Memory pointed by 'ssl-&gt;session_negotiate-&gt;peer_cert' is freed at this point, but this memory is not freed upon function exits at line(s) 6869.</t>
  </si>
  <si>
    <t>mbedtls_ssl_setup</t>
  </si>
  <si>
    <t>Memory pointed by 'ssl-&gt;session_negotiate-&gt;ticket' is freed at this point, but this memory is not freed upon function exits at line(s) 6869.</t>
  </si>
  <si>
    <t>Memory pointed by 'ssl-&gt;handshake-&gt;psk' is freed at this point, but this memory is not freed upon function exits at line(s) 6869.</t>
  </si>
  <si>
    <t>Memory pointed by 'ssl-&gt;handshake-&gt;curves' is freed at this point, but this memory is not freed upon function exits at line(s) 6869.</t>
  </si>
  <si>
    <t>Memory pointed by 'ssl-&gt;handshake-&gt;verify_cookie' is freed at this point, but this memory is not freed upon function exits at line(s) 6869.</t>
  </si>
  <si>
    <t>Memory pointed by 'ssl-&gt;cli_id' is freed at this point, but this memory is not freed upon function exits at line(s) 6989, 6991.</t>
  </si>
  <si>
    <t>ssl_session_reset_int</t>
  </si>
  <si>
    <t>Memory pointed by 'ssl-&gt;session_negotiate-&gt;peer_cert' is freed at this point, but this memory is not freed upon function exits at line(s) 7136.</t>
  </si>
  <si>
    <t>mbedtls_ssl_set_session</t>
  </si>
  <si>
    <t>Memory pointed by 'ssl-&gt;session_negotiate-&gt;ticket' is freed at this point, but this memory is not freed upon function exits at line(s) 7136.</t>
  </si>
  <si>
    <t>Memory pointed by 'conf-&gt;psk' is freed at this point, but this memory is not freed upon function exits at line(s) 7280, 7283, 7289.</t>
  </si>
  <si>
    <t>mbedtls_ssl_conf_psk</t>
  </si>
  <si>
    <t>Memory pointed by 'conf-&gt;psk_identity' is freed at this point, but this memory is not freed upon function exits at line(s) 7280, 7283, 7289.</t>
  </si>
  <si>
    <t>Memory pointed by 'ssl-&gt;handshake-&gt;psk' is freed at this point, but this memory is not freed upon function exits at line(s) 7330, 7333.</t>
  </si>
  <si>
    <t>mbedtls_ssl_set_hs_psk</t>
  </si>
  <si>
    <t>Memory pointed by 'ssl-&gt;hostname' is freed at this point, but this memory is not freed upon function exits at line(s) 7460.</t>
  </si>
  <si>
    <t>mbedtls_ssl_set_hostname</t>
  </si>
  <si>
    <t>Memory pointed by 'dst-&gt;peer_cert' is freed at this point, but this memory is not freed upon function exits at line(s) 7982.</t>
  </si>
  <si>
    <t>mbedtls_ssl_get_session</t>
  </si>
  <si>
    <t>Memory pointed by 'dst-&gt;ticket' is freed at this point, but this memory is not freed upon function exits at line(s) 7982.</t>
  </si>
  <si>
    <t>Memory pointed by 'ssl-&gt;handshake-&gt;verify_cookie' is freed at this point, but this memory is not freed upon function exits at line(s) 8117, 8124, 8130, 8132, 8144.</t>
  </si>
  <si>
    <t>mbedtls_ssl_renegotiate</t>
  </si>
  <si>
    <t>Memory pointed by 'ssl-&gt;session_negotiate-&gt;ticket' is freed at this point, but this memory is not freed upon function exits at line(s) 8117, 8124, 8130, 8132, 8144.</t>
  </si>
  <si>
    <t>Memory pointed by 'ssl-&gt;session_negotiate-&gt;peer_cert' is freed at this point, but this memory is not freed upon function exits at line(s) 8117, 8124, 8130, 8132, 8144.</t>
  </si>
  <si>
    <t>Memory pointed by 'ssl-&gt;handshake-&gt;psk' is freed at this point, but this memory is not freed upon function exits at line(s) 8117, 8124, 8130, 8132, 8144.</t>
  </si>
  <si>
    <t>Memory pointed by 'ssl-&gt;handshake-&gt;curves' is freed at this point, but this memory is not freed upon function exits at line(s) 8117, 8124, 8130, 8132, 8144.</t>
  </si>
  <si>
    <t>Memory pointed by 'ssl-&gt;session_negotiate-&gt;peer_cert' is freed at this point, but this memory is not freed upon function exits at line(s) 8935.</t>
  </si>
  <si>
    <t>mbedtls_ssl_free</t>
  </si>
  <si>
    <t>Memory pointed by 'ssl-&gt;session_negotiate-&gt;ticket' is freed at this point, but this memory is not freed upon function exits at line(s) 8935.</t>
  </si>
  <si>
    <t>Memory pointed by 'ssl-&gt;transform_negotiate' is freed at this point, but this memory is not freed upon function exits at line(s) 8935.</t>
  </si>
  <si>
    <t>Memory pointed by 'ssl-&gt;session_negotiate' is freed at this point, but this memory is not freed upon function exits at line(s) 8935.</t>
  </si>
  <si>
    <t>Pointer 'hs-&gt;buffering.future_record.data' returned from call to function 'calloc' at line 4932 may be NULL and may be dereferenced at line 4941.</t>
  </si>
  <si>
    <t>ssl_buffer_future_record</t>
  </si>
  <si>
    <t>Array 'ssl-&gt;own_verify_data' of size 12 may use index value(s) 12..35</t>
  </si>
  <si>
    <t>/kwbuilds/release_area/mcu_plus_sdk/source/networking/mbedtls_library/mbedtls/library/x509.c</t>
  </si>
  <si>
    <t>HIS Metrics - Cyclomatic v(G): mbedtls_x509_get_rsassa_pss_params 27&gt;10</t>
  </si>
  <si>
    <t>mbedtls_x509_get_rsassa_pss_params</t>
  </si>
  <si>
    <t>HIS Metrics - Cyclomatic v(G): x509_parse_time 14&gt;10</t>
  </si>
  <si>
    <t>x509_parse_time</t>
  </si>
  <si>
    <t>HIS Metrics - Cyclomatic v(G): mbedtls_x509_dn_gets 15&gt;10</t>
  </si>
  <si>
    <t>mbedtls_x509_dn_gets</t>
  </si>
  <si>
    <t>HIS Metrics - Number of paths PATH: mbedtls_x509_get_rsassa_pss_params 105.99997&gt;80</t>
  </si>
  <si>
    <t>HIS Metrics - Number of paths PATH: mbedtls_x509_dn_gets 153&gt;80</t>
  </si>
  <si>
    <t>HIS Metrics - Max nesting level LEVEL: mbedtls_x509_dn_gets 5&gt;4</t>
  </si>
  <si>
    <t>HIS Metrics - Number of parameters PARAM: mbedtls_x509_sig_alg_gets 6&gt;5</t>
  </si>
  <si>
    <t>mbedtls_x509_sig_alg_gets</t>
  </si>
  <si>
    <t>/kwbuilds/release_area/mcu_plus_sdk/source/networking/mbedtls_library/mbedtls/library/x509_create.c</t>
  </si>
  <si>
    <t>HIS Metrics - Max nesting level LEVEL: mbedtls_x509_string_to_names 5&gt;4</t>
  </si>
  <si>
    <t>mbedtls_x509_string_to_names</t>
  </si>
  <si>
    <t>HIS Metrics - Cyclomatic v(G): mbedtls_x509_string_to_names 11&gt;10</t>
  </si>
  <si>
    <t>HIS Metrics - Cyclomatic v(G): x509_write_name 16&gt;10</t>
  </si>
  <si>
    <t>x509_write_name</t>
  </si>
  <si>
    <t>HIS Metrics - Cyclomatic v(G): x509_write_extension 20&gt;10</t>
  </si>
  <si>
    <t>x509_write_extension</t>
  </si>
  <si>
    <t>HIS Metrics - Number of parameters PARAM: mbedtls_x509_set_extension 6&gt;5</t>
  </si>
  <si>
    <t>mbedtls_x509_set_extension</t>
  </si>
  <si>
    <t>HIS Metrics - Number of parameters PARAM: x509_write_name 6&gt;5</t>
  </si>
  <si>
    <t>HIS Metrics - Number of parameters PARAM: mbedtls_x509_write_sig 6&gt;5</t>
  </si>
  <si>
    <t>mbedtls_x509_write_sig</t>
  </si>
  <si>
    <t>HIS Metrics - Number of paths PATH: x509_write_name 253.99992&gt;80</t>
  </si>
  <si>
    <t>HIS Metrics - Number of paths PATH: x509_write_extension 1526.99939&gt;80</t>
  </si>
  <si>
    <t>/kwbuilds/release_area/mcu_plus_sdk/source/networking/mbedtls_library/mbedtls/library/x509_crl.c</t>
  </si>
  <si>
    <t>HIS Metrics - Cyclomatic v(G): x509_get_crl_ext 11&gt;10</t>
  </si>
  <si>
    <t>x509_get_crl_ext</t>
  </si>
  <si>
    <t>HIS Metrics - Cyclomatic v(G): x509_get_entries 11&gt;10</t>
  </si>
  <si>
    <t>x509_get_entries</t>
  </si>
  <si>
    <t>HIS Metrics - Cyclomatic v(G): mbedtls_x509_crl_parse_der 26&gt;10</t>
  </si>
  <si>
    <t>mbedtls_x509_crl_parse_der</t>
  </si>
  <si>
    <t>HIS Metrics - Cyclomatic v(G): mbedtls_x509_crl_info 26&gt;10</t>
  </si>
  <si>
    <t>mbedtls_x509_crl_info</t>
  </si>
  <si>
    <t>HIS Metrics - Number of paths PATH: mbedtls_x509_crl_parse_der 162.99997&gt;80</t>
  </si>
  <si>
    <t>HIS Metrics - Number of paths PATH: mbedtls_x509_crl_info 9150.99805&gt;80</t>
  </si>
  <si>
    <t>/kwbuilds/release_area/mcu_plus_sdk/source/networking/mbedtls_library/mbedtls/library/x509_crt.c</t>
  </si>
  <si>
    <t>HIS Metrics - Cyclomatic v(G): x509_get_subject_alt_name 12&gt;10</t>
  </si>
  <si>
    <t>x509_get_subject_alt_name</t>
  </si>
  <si>
    <t>HIS Metrics - Cyclomatic v(G): x509_get_crt_ext 23&gt;10</t>
  </si>
  <si>
    <t>x509_get_crt_ext</t>
  </si>
  <si>
    <t>HIS Metrics - Cyclomatic v(G): x509_crt_parse_der_core 26&gt;10</t>
  </si>
  <si>
    <t>x509_crt_parse_der_core</t>
  </si>
  <si>
    <t>HIS Metrics - Cyclomatic v(G): mbedtls_x509_crt_parse 15&gt;10</t>
  </si>
  <si>
    <t>mbedtls_x509_crt_parse</t>
  </si>
  <si>
    <t>HIS Metrics - Cyclomatic v(G): x509_info_cert_type 25&gt;10</t>
  </si>
  <si>
    <t>x509_info_cert_type</t>
  </si>
  <si>
    <t>HIS Metrics - Cyclomatic v(G): x509_info_key_usage 28&gt;10</t>
  </si>
  <si>
    <t>x509_info_key_usage</t>
  </si>
  <si>
    <t>HIS Metrics - Cyclomatic v(G): mbedtls_x509_crt_info 54&gt;10</t>
  </si>
  <si>
    <t>mbedtls_x509_crt_info</t>
  </si>
  <si>
    <t>HIS Metrics - Cyclomatic v(G): x509_crt_verifycrl 13&gt;10</t>
  </si>
  <si>
    <t>x509_crt_verifycrl</t>
  </si>
  <si>
    <t>HIS Metrics - Cyclomatic v(G): x509_crt_verify_chain 13&gt;10</t>
  </si>
  <si>
    <t>x509_crt_verify_chain</t>
  </si>
  <si>
    <t>HIS Metrics - Max nesting level LEVEL: mbedtls_x509_crt_parse 7&gt;4</t>
  </si>
  <si>
    <t>HIS Metrics - Max nesting level LEVEL: mbedtls_x509_crt_info 5&gt;4</t>
  </si>
  <si>
    <t>Expression 'buf_format==2' used in the condition always yields the same result</t>
  </si>
  <si>
    <t>Expression 'ret== -5248' used in the condition always yields the same result, and causes an unreachable code</t>
  </si>
  <si>
    <t>Expression 'child_is_trusted' used in the condition always yields the same result, and causes an unreachable code</t>
  </si>
  <si>
    <t>HIS Metrics - Number of paths PATH: x509_info_cert_type 9841.00391&gt;80</t>
  </si>
  <si>
    <t>HIS Metrics - Number of paths PATH: x509_info_key_usage 29524.01367&gt;80</t>
  </si>
  <si>
    <t>HIS Metrics - Number of paths PATH: mbedtls_x509_crt_info 10426375&gt;80</t>
  </si>
  <si>
    <t>HIS Metrics - Number of paths PATH: x509_crt_verifycrl 80.00004&gt;80</t>
  </si>
  <si>
    <t>HIS Metrics - Number of paths PATH: x509_crt_verify_chain 197.00008&gt;80</t>
  </si>
  <si>
    <t>HIS Metrics - Number of paths PATH: mbedtls_x509_crt_verify_with_profile 191.99991&gt;80</t>
  </si>
  <si>
    <t>mbedtls_x509_crt_verify_with_profile</t>
  </si>
  <si>
    <t>HIS Metrics - Number of paths PATH: mbedtls_x509_crt_free 99.99996&gt;80</t>
  </si>
  <si>
    <t>mbedtls_x509_crt_free</t>
  </si>
  <si>
    <t>HIS Metrics - Number of parameters PARAM: x509_crt_verify_chain 6&gt;5</t>
  </si>
  <si>
    <t>HIS Metrics - Number of parameters PARAM: mbedtls_x509_crt_verify 7&gt;5</t>
  </si>
  <si>
    <t>mbedtls_x509_crt_verify</t>
  </si>
  <si>
    <t>HIS Metrics - Number of parameters PARAM: mbedtls_x509_crt_verify_with_profile 8&gt;5</t>
  </si>
  <si>
    <t>Value of 'parent' is never used after assignment</t>
  </si>
  <si>
    <t>/kwbuilds/release_area/mcu_plus_sdk/source/networking/mbedtls_library/mbedtls/library/x509_csr.c</t>
  </si>
  <si>
    <t>HIS Metrics - Cyclomatic v(G): mbedtls_x509_csr_parse_der 16&gt;10</t>
  </si>
  <si>
    <t>mbedtls_x509_csr_parse_der</t>
  </si>
  <si>
    <t>HIS Metrics - Cyclomatic v(G): mbedtls_x509_csr_info 14&gt;10</t>
  </si>
  <si>
    <t>mbedtls_x509_csr_info</t>
  </si>
  <si>
    <t>HIS Metrics - Number of paths PATH: mbedtls_x509_csr_info 158.99995&gt;80</t>
  </si>
  <si>
    <t>/kwbuilds/release_area/mcu_plus_sdk/source/networking/mbedtls_library/mbedtls/library/x509write_crt.c</t>
  </si>
  <si>
    <t>HIS Metrics - Number of parameters PARAM: mbedtls_x509write_crt_set_extension 6&gt;5</t>
  </si>
  <si>
    <t>mbedtls_x509write_crt_set_extension</t>
  </si>
  <si>
    <t>HIS Metrics - Max nesting level LEVEL: mbedtls_x509write_crt_set_basic_constraints 5&gt;4</t>
  </si>
  <si>
    <t>mbedtls_x509write_crt_set_basic_constraints</t>
  </si>
  <si>
    <t>HIS Metrics - Cyclomatic v(G): mbedtls_x509write_crt_set_basic_constraints 12&gt;10</t>
  </si>
  <si>
    <t>HIS Metrics - Cyclomatic v(G): mbedtls_x509write_crt_set_authority_key_identifier 12&gt;10</t>
  </si>
  <si>
    <t>mbedtls_x509write_crt_set_authority_key_identifier</t>
  </si>
  <si>
    <t>HIS Metrics - Cyclomatic v(G): x509_write_time 14&gt;10</t>
  </si>
  <si>
    <t>x509_write_time</t>
  </si>
  <si>
    <t>HIS Metrics - Cyclomatic v(G): mbedtls_x509write_crt_der 53&gt;10</t>
  </si>
  <si>
    <t>mbedtls_x509write_crt_der</t>
  </si>
  <si>
    <t>HIS Metrics - Number of paths PATH: mbedtls_x509write_crt_der 24296438&gt;80</t>
  </si>
  <si>
    <t>/kwbuilds/release_area/mcu_plus_sdk/source/networking/mbedtls_library/mbedtls/library/x509write_csr.c</t>
  </si>
  <si>
    <t>HIS Metrics - Cyclomatic v(G): mbedtls_x509write_csr_der 43&gt;10</t>
  </si>
  <si>
    <t>mbedtls_x509write_csr_der</t>
  </si>
  <si>
    <t>HIS Metrics - Number of paths PATH: mbedtls_x509write_csr_der 1287933&gt;80</t>
  </si>
  <si>
    <t>/kwbuilds/release_area/mcu_plus_sdk/source/networking/mbedtls_library/mbedtls/library/xtea.c</t>
  </si>
  <si>
    <t>HIS Metrics - Number of parameters PARAM: mbedtls_xtea_crypt_cbc 6&gt;5</t>
  </si>
  <si>
    <t>mbedtls_xtea_crypt_cbc</t>
  </si>
  <si>
    <t>HIS Metrics - Cyclomatic v(G): Lwip2Enet_prepRxPktQ 14&gt;10</t>
  </si>
  <si>
    <t>HIS Metrics - Number of paths PATH: Lwip2Enet_prepRxPktQ 596.00031&gt;80</t>
  </si>
  <si>
    <t>HIS Metrics - Number of parameters PARAM: Lwip2Enet_setCustomPbuf 6&gt;5</t>
  </si>
  <si>
    <t>Lwip2Enet_setCustomPbuf</t>
  </si>
  <si>
    <t>Null pointer 'hPbufPacket' that comes from line 1103 may be dereferenced at line 1159.</t>
  </si>
  <si>
    <t>HIS Metrics - Cyclomatic v(G): EnetMem_allocEthPkt 18&gt;10</t>
  </si>
  <si>
    <t>HIS Metrics - Number of paths PATH: EnetMem_allocEthPkt 641.99994&gt;80</t>
  </si>
  <si>
    <t>Value of 'pPktInfo' is never used after assignment</t>
  </si>
  <si>
    <t>/kwbuilds/release_area/mcu_plus_sdk/source/security/crypto/rng/rng.c</t>
  </si>
  <si>
    <t>RNG_open</t>
  </si>
  <si>
    <t>RNG_close</t>
  </si>
  <si>
    <t>Value of 'config' is never used after initialization</t>
  </si>
  <si>
    <t>RNG_setup</t>
  </si>
  <si>
    <t>Memory pointed by 'ctx-&gt;cipher_ctx.cmac_ctx' is freed at this point, but this memory is not freed upon function exits at line(s) 76, 79.</t>
  </si>
  <si>
    <t>mbedtls_ccm_setkey</t>
  </si>
  <si>
    <t>/kwbuilds/release_area/mcu_plus_sdk/source/networking/mbedtls_library/mbedtls/library/cmac.c</t>
  </si>
  <si>
    <t>Expression '(ret=cmac_multiply_by_u(K2, K1, block...' used in the condition always yields the same result, and causes an unreachable code</t>
  </si>
  <si>
    <t>cmac_generate_subkeys</t>
  </si>
  <si>
    <t>HIS Metrics - Number of parameters PARAM: mbedtls_cipher_cmac 6&gt;5</t>
  </si>
  <si>
    <t>mbedtls_cipher_cmac</t>
  </si>
  <si>
    <t>Memory pointed by 'ctx-&gt;cipher_ctx.cmac_ctx' is freed at this point, but this memory is not freed upon function exits at line(s) 170, 173.</t>
  </si>
  <si>
    <t>mbedtls_gcm_setkey</t>
  </si>
  <si>
    <t>Array 'SDL_CCM_eventBitMap_param' of size 4 may use index value(s) 4..31</t>
  </si>
  <si>
    <t>SDL_CCM_init</t>
  </si>
  <si>
    <t>Memory pointed by 'ssl-&gt;transform-&gt;cipher_ctx_enc.cmac_ctx' is freed at this point, but this memory is not freed upon function exits at line(s) 3999, 4014.</t>
  </si>
  <si>
    <t>Memory pointed by 'ssl-&gt;transform-&gt;cipher_ctx_dec.cmac_ctx' is freed at this point, but this memory is not freed upon function exits at line(s) 3999, 4014.</t>
  </si>
  <si>
    <t>Memory pointed by 'ssl-&gt;transform_negotiate-&gt;cipher_ctx_enc.cmac_ctx' is freed at this point, but this memory is not freed upon function exits at line(s) 3999, 4014.</t>
  </si>
  <si>
    <t>Memory pointed by 'ssl-&gt;transform_negotiate-&gt;cipher_ctx_dec.cmac_ctx' is freed at this point, but this memory is not freed upon function exits at line(s) 3999, 4014.</t>
  </si>
  <si>
    <t>Memory pointed by 'ssl-&gt;transform-&gt;cipher_ctx_enc.cmac_ctx' is freed at this point, but this memory is not freed upon function exits at line(s) 5114, 5124, 5131, 5142, 5146, 5160, 5173, 5180, 5189, 5206, 5218.</t>
  </si>
  <si>
    <t>Memory pointed by 'ssl-&gt;transform-&gt;cipher_ctx_dec.cmac_ctx' is freed at this point, but this memory is not freed upon function exits at line(s) 5114, 5124, 5131, 5142, 5146, 5160, 5173, 5180, 5189, 5206, 5218.</t>
  </si>
  <si>
    <t>Memory pointed by 'ssl-&gt;transform-&gt;cipher_ctx_enc.cmac_ctx' is freed at this point, but this memory is not freed upon function exits at line(s) 6339.</t>
  </si>
  <si>
    <t>Memory pointed by 'ssl-&gt;transform-&gt;cipher_ctx_dec.cmac_ctx' is freed at this point, but this memory is not freed upon function exits at line(s) 6339.</t>
  </si>
  <si>
    <t>Memory pointed by 'ssl-&gt;transform_negotiate-&gt;cipher_ctx_enc.cmac_ctx' is freed at this point, but this memory is not freed upon function exits at line(s) 6869.</t>
  </si>
  <si>
    <t>Memory pointed by 'ssl-&gt;transform_negotiate-&gt;cipher_ctx_dec.cmac_ctx' is freed at this point, but this memory is not freed upon function exits at line(s) 6869.</t>
  </si>
  <si>
    <t>Memory pointed by 'ssl-&gt;transform_negotiate-&gt;cipher_ctx_enc.cmac_ctx' is freed at this point, but this memory is not freed upon function exits at line(s) 8117, 8124, 8130, 8132, 8144.</t>
  </si>
  <si>
    <t>Memory pointed by 'ssl-&gt;transform_negotiate-&gt;cipher_ctx_dec.cmac_ctx' is freed at this point, but this memory is not freed upon function exits at line(s) 8117, 8124, 8130, 8132, 8144.</t>
  </si>
  <si>
    <t>Memory pointed by 'ssl-&gt;transform_negotiate-&gt;cipher_ctx_enc.cmac_ctx' is freed at this point, but this memory is not freed upon function exits at line(s) 8935.</t>
  </si>
  <si>
    <t>Memory pointed by 'ssl-&gt;transform_negotiate-&gt;cipher_ctx_dec.cmac_ctx' is freed at this point, but this memory is not freed upon function exits at line(s) 8935.</t>
  </si>
  <si>
    <t>/kwbuilds/release_area/mcu_plus_sdk/source/drivers/bootloader/bootloader_can.c</t>
  </si>
  <si>
    <t>Expression '(7) !=protStatus.lastErrCode' used in the condition always yields the same result</t>
  </si>
  <si>
    <t>Bootloader_CANTransmitResp</t>
  </si>
  <si>
    <t>Expression '(7) !=protStatus.dlec' used in the condition always yields the same result</t>
  </si>
  <si>
    <t>Bootloader_CANReceiveFile</t>
  </si>
  <si>
    <t>HIS Metrics - Max nesting level LEVEL: Bootloader_CANReceiveFile 5&gt;4</t>
  </si>
  <si>
    <t>HIS Metrics - Cyclomatic v(G): Bootloader_CANReceiveFile 19&gt;10</t>
  </si>
  <si>
    <t>HIS Metrics - Number of paths PATH: Bootloader_CANReceiveFile 28287.99023&gt;80</t>
  </si>
  <si>
    <t>HIS Metrics - Max nesting level LEVEL: I2C_hwiFxnController 6&gt;4</t>
  </si>
  <si>
    <t>HIS Metrics - Max nesting level LEVEL: I2C_hwiFxnTarget 5&gt;4</t>
  </si>
  <si>
    <t>I2C_hwiFxnTarget</t>
  </si>
  <si>
    <t>HIS Metrics - Cyclomatic v(G): I2C_hwiFxnController 16&gt;10</t>
  </si>
  <si>
    <t>HIS Metrics - Cyclomatic v(G): I2C_hwiFxnTarget 16&gt;10</t>
  </si>
  <si>
    <t>HIS Metrics - Number of paths PATH: ICSS_EMAC_ioctl 102.99999&gt;80</t>
  </si>
  <si>
    <t>HIS Metrics - Cyclomatic v(G): MCSPI_transferControllerPoll 15&gt;10</t>
  </si>
  <si>
    <t>HIS Metrics - Cyclomatic v(G): MCSPI_continuePeripheralTxRx 14&gt;10</t>
  </si>
  <si>
    <t>MCSPI_continuePeripheralTxRx</t>
  </si>
  <si>
    <t>HIS Metrics - Number of paths PATH: MCSPI_transferControllerPoll 288.00015&gt;80</t>
  </si>
  <si>
    <t>HIS Metrics - Number of paths PATH: MCSPI_continuePeripheralTxRx 169.00005&gt;80</t>
  </si>
  <si>
    <t>HIS Metrics - Max nesting level LEVEL: MCSPI_controllerIsr 6&gt;4</t>
  </si>
  <si>
    <t>MCSPI_controllerIsr</t>
  </si>
  <si>
    <t>HIS Metrics - Max nesting level LEVEL: MCSPI_transferControllerPoll 6&gt;4</t>
  </si>
  <si>
    <t>HIS Metrics - Max nesting level LEVEL: MCSPI_peripheralIsr 6&gt;4</t>
  </si>
  <si>
    <t>MCSPI_peripheralIsr</t>
  </si>
  <si>
    <t>HIS Metrics - Max nesting level LEVEL: MCSPI_continuePeripheralTxRx 7&gt;4</t>
  </si>
  <si>
    <t>HIS Metrics - Cyclomatic v(G): UART_controllerIsr 18&gt;10</t>
  </si>
  <si>
    <t>UART_controllerIsr</t>
  </si>
  <si>
    <t>HIS Metrics - Max nesting level LEVEL: UART_controllerIsr 9&gt;4</t>
  </si>
  <si>
    <t>HIS Metrics - Max nesting level LEVEL: DebugP_shmLogRead 5&gt;4</t>
  </si>
  <si>
    <t>DebugP_shmLogRead</t>
  </si>
  <si>
    <t>HIS Metrics - Max nesting level LEVEL: RNG_setup 6&gt;4</t>
  </si>
  <si>
    <t>/kwbuilds/release_area/mcu_plus_sdk/source/fs/freertos_fat/FreeRTOS-FAT/ff_dir.c</t>
  </si>
  <si>
    <t>HIS Metrics - Max nesting level LEVEL: FF_ShortNameExists 7&gt;4</t>
  </si>
  <si>
    <t>FF_ShortNameExists</t>
  </si>
  <si>
    <t>HIS Metrics - Max nesting level LEVEL: FF_FindEntryInDir 8&gt;4</t>
  </si>
  <si>
    <t>FF_FindEntryInDir</t>
  </si>
  <si>
    <t>HIS Metrics - Max nesting level LEVEL: FF_InitEntryFetch 5&gt;4</t>
  </si>
  <si>
    <t>FF_InitEntryFetch</t>
  </si>
  <si>
    <t>HIS Metrics - Max nesting level LEVEL: FF_FetchEntryWithContext 5&gt;4</t>
  </si>
  <si>
    <t>FF_FetchEntryWithContext</t>
  </si>
  <si>
    <t>HIS Metrics - Max nesting level LEVEL: FF_PushEntryWithContext 5&gt;4</t>
  </si>
  <si>
    <t>FF_PushEntryWithContext</t>
  </si>
  <si>
    <t>HIS Metrics - Max nesting level LEVEL: FF_GetEntry 6&gt;4</t>
  </si>
  <si>
    <t>FF_GetEntry</t>
  </si>
  <si>
    <t>HIS Metrics - Max nesting level LEVEL: FF_PopulateLongDirent 5&gt;4</t>
  </si>
  <si>
    <t>FF_PopulateLongDirent</t>
  </si>
  <si>
    <t>HIS Metrics - Max nesting level LEVEL: FF_FindFirst 6&gt;4</t>
  </si>
  <si>
    <t>FF_FindFirst</t>
  </si>
  <si>
    <t>HIS Metrics - Max nesting level LEVEL: FF_FindNext 8&gt;4</t>
  </si>
  <si>
    <t>FF_FindNext</t>
  </si>
  <si>
    <t>HIS Metrics - Max nesting level LEVEL: FF_FindFreeDirent 6&gt;4</t>
  </si>
  <si>
    <t>FF_FindFreeDirent</t>
  </si>
  <si>
    <t>HIS Metrics - Max nesting level LEVEL: FF_PutEntry 5&gt;4</t>
  </si>
  <si>
    <t>FF_PutEntry</t>
  </si>
  <si>
    <t>HIS Metrics - Max nesting level LEVEL: FF_CreateShortName 6&gt;4</t>
  </si>
  <si>
    <t>FF_CreateShortName</t>
  </si>
  <si>
    <t>HIS Metrics - Max nesting level LEVEL: FF_CreateLFNs 5&gt;4</t>
  </si>
  <si>
    <t>FF_CreateLFNs</t>
  </si>
  <si>
    <t>HIS Metrics - Max nesting level LEVEL: FF_ExtendDirectory 6&gt;4</t>
  </si>
  <si>
    <t>FF_ExtendDirectory</t>
  </si>
  <si>
    <t>HIS Metrics - Max nesting level LEVEL: FF_RmLFNs 5&gt;4</t>
  </si>
  <si>
    <t>FF_RmLFNs</t>
  </si>
  <si>
    <t>Expression 'xResult&lt;0' used in the condition always yields the same result</t>
  </si>
  <si>
    <t>HIS Metrics - Number of parameters PARAM: FF_FindEntryInDir 6&gt;5</t>
  </si>
  <si>
    <t>HIS Metrics - Cyclomatic v(G): FF_FindEntryInDir 36&gt;10</t>
  </si>
  <si>
    <t>HIS Metrics - Cyclomatic v(G): FF_PopulateLongDirent 14&gt;10</t>
  </si>
  <si>
    <t>HIS Metrics - Cyclomatic v(G): FF_FindNext 16&gt;10</t>
  </si>
  <si>
    <t>HIS Metrics - Cyclomatic v(G): FF_FindFreeDirent 15&gt;10</t>
  </si>
  <si>
    <t>HIS Metrics - Cyclomatic v(G): FF_CreateShortName 19&gt;10</t>
  </si>
  <si>
    <t>HIS Metrics - Cyclomatic v(G): FF_FindShortName 15&gt;10</t>
  </si>
  <si>
    <t>FF_FindShortName</t>
  </si>
  <si>
    <t>HIS Metrics - Cyclomatic v(G): FF_CreateLFNs 11&gt;10</t>
  </si>
  <si>
    <t>HIS Metrics - Cyclomatic v(G): FF_CreateDirent 13&gt;10</t>
  </si>
  <si>
    <t>FF_CreateDirent</t>
  </si>
  <si>
    <t>HIS Metrics - Cyclomatic v(G): FF_MkDir 20&gt;10</t>
  </si>
  <si>
    <t>FF_MkDir</t>
  </si>
  <si>
    <t>HIS Metrics - Number of paths PATH: FF_FindEntryInDir 46279.99219&gt;80</t>
  </si>
  <si>
    <t>HIS Metrics - Number of paths PATH: FF_PopulateLongDirent 118.00007&gt;80</t>
  </si>
  <si>
    <t>HIS Metrics - Number of paths PATH: FF_FindNext 105.99997&gt;80</t>
  </si>
  <si>
    <t>HIS Metrics - Number of paths PATH: FF_FindFreeDirent 110.99996&gt;80</t>
  </si>
  <si>
    <t>HIS Metrics - Number of paths PATH: FF_CreateShortName 1632.00085&gt;80</t>
  </si>
  <si>
    <t>HIS Metrics - Number of paths PATH: FF_CreateLFNs 92.00005&gt;80</t>
  </si>
  <si>
    <t>HIS Metrics - Number of paths PATH: FF_CreateDirent 165.00009&gt;80</t>
  </si>
  <si>
    <t>HIS Metrics - Number of paths PATH: FF_MkDir 135.00002&gt;80</t>
  </si>
  <si>
    <t>Array 'pcEntryBuffer' of size 32 may use index value(s) -4..-1</t>
  </si>
  <si>
    <t>Array 'pcEntryBuffer' of size 32 may use index value(s) -3..-1</t>
  </si>
  <si>
    <t>Array 'usUtf16Name' of size 130 may use index value(s) -13</t>
  </si>
  <si>
    <t>/kwbuilds/release_area/mcu_plus_sdk/source/fs/freertos_fat/FreeRTOS-FAT/ff_fat.c</t>
  </si>
  <si>
    <t>HIS Metrics - Number of parameters PARAM: prvGetFromFATBuffers 6&gt;5</t>
  </si>
  <si>
    <t>prvGetFromFATBuffers</t>
  </si>
  <si>
    <t>HIS Metrics - Cyclomatic v(G): FF_getFATEntry 12&gt;10</t>
  </si>
  <si>
    <t>FF_getFATEntry</t>
  </si>
  <si>
    <t>HIS Metrics - Cyclomatic v(G): FF_putFATEntry 12&gt;10</t>
  </si>
  <si>
    <t>FF_putFATEntry</t>
  </si>
  <si>
    <t>HIS Metrics - Cyclomatic v(G): FF_FindFreeCluster 21&gt;10</t>
  </si>
  <si>
    <t>FF_FindFreeCluster</t>
  </si>
  <si>
    <t>HIS Metrics - Cyclomatic v(G): FF_UnlinkClusterChain 13&gt;10</t>
  </si>
  <si>
    <t>FF_UnlinkClusterChain</t>
  </si>
  <si>
    <t>HIS Metrics - Cyclomatic v(G): FF_CountFreeClusters 20&gt;10</t>
  </si>
  <si>
    <t>FF_CountFreeClusters</t>
  </si>
  <si>
    <t>HIS Metrics - Number of paths PATH: FF_getFATEntry 127.99994&gt;80</t>
  </si>
  <si>
    <t>HIS Metrics - Number of paths PATH: FF_FindFreeCluster 6560&gt;80</t>
  </si>
  <si>
    <t>HIS Metrics - Number of paths PATH: FF_UnlinkClusterChain 576.00031&gt;80</t>
  </si>
  <si>
    <t>HIS Metrics - Number of paths PATH: FF_CountFreeClusters 4927.99951&gt;80</t>
  </si>
  <si>
    <t>Value of 'ulRelClusterEntry' is never used after assignment</t>
  </si>
  <si>
    <t>Value of 'pxBuffer' is never used after assignment</t>
  </si>
  <si>
    <t>Value of 'xError' is never used after assignment</t>
  </si>
  <si>
    <t>Value of 'ulFATEntry' is never used after assignment</t>
  </si>
  <si>
    <t>Value of 'ulCurrentCluster' is never used after assignment</t>
  </si>
  <si>
    <t>FF_TraverseFAT</t>
  </si>
  <si>
    <t>Expression 'xTakeLock' used in the condition always yields the same result, and causes an unreachable code</t>
  </si>
  <si>
    <t>Expression 'FF_isEndOfChain(pxIOManager, ulFatEntry)' used in the condition always yields the same result, and causes an unreachable code</t>
  </si>
  <si>
    <t>HIS Metrics - Max nesting level LEVEL: FF_putFATEntry 6&gt;4</t>
  </si>
  <si>
    <t>HIS Metrics - Max nesting level LEVEL: FF_FindFreeCluster 5&gt;4</t>
  </si>
  <si>
    <t>HIS Metrics - Max nesting level LEVEL: FF_CountFreeClusters 5&gt;4</t>
  </si>
  <si>
    <t>Suspicious use of index 'xIndex' at line 949 before boundary check at line 986</t>
  </si>
  <si>
    <t>Expression 'FF_isEndOfChain(pxIOManager, ulStartC...' used in the condition always yields the same result</t>
  </si>
  <si>
    <t>FF_GetChainLength</t>
  </si>
  <si>
    <t>Expression 'FF_isEndOfChain(pxIOManager, ulFATEntry)' used in the condition always yields the same result</t>
  </si>
  <si>
    <t>/kwbuilds/release_area/mcu_plus_sdk/source/fs/freertos_fat/FreeRTOS-FAT/ff_file.c</t>
  </si>
  <si>
    <t>HIS Metrics - Max nesting level LEVEL: FF_Open 6&gt;4</t>
  </si>
  <si>
    <t>FF_Open</t>
  </si>
  <si>
    <t>HIS Metrics - Max nesting level LEVEL: FF_RmDir 6&gt;4</t>
  </si>
  <si>
    <t>FF_RmDir</t>
  </si>
  <si>
    <t>HIS Metrics - Max nesting level LEVEL: FF_RmFile 5&gt;4</t>
  </si>
  <si>
    <t>FF_RmFile</t>
  </si>
  <si>
    <t>HIS Metrics - Max nesting level LEVEL: FF_Move 9&gt;4</t>
  </si>
  <si>
    <t>FF_Move</t>
  </si>
  <si>
    <t>HIS Metrics - Max nesting level LEVEL: FF_ExtendFile 6&gt;4</t>
  </si>
  <si>
    <t>FF_ExtendFile</t>
  </si>
  <si>
    <t>HIS Metrics - Max nesting level LEVEL: FF_Read 6&gt;4</t>
  </si>
  <si>
    <t>FF_Read</t>
  </si>
  <si>
    <t>HIS Metrics - Max nesting level LEVEL: FF_GetC 6&gt;4</t>
  </si>
  <si>
    <t>FF_GetC</t>
  </si>
  <si>
    <t>HIS Metrics - Max nesting level LEVEL: FF_GetLine 5&gt;4</t>
  </si>
  <si>
    <t>FF_GetLine</t>
  </si>
  <si>
    <t>HIS Metrics - Max nesting level LEVEL: FF_Write 6&gt;4</t>
  </si>
  <si>
    <t>FF_Write</t>
  </si>
  <si>
    <t>HIS Metrics - Max nesting level LEVEL: FF_PutC 7&gt;4</t>
  </si>
  <si>
    <t>FF_PutC</t>
  </si>
  <si>
    <t>HIS Metrics - Max nesting level LEVEL: FF_Seek 6&gt;4</t>
  </si>
  <si>
    <t>FF_Seek</t>
  </si>
  <si>
    <t>HIS Metrics - Max nesting level LEVEL: FF_CheckValid 5&gt;4</t>
  </si>
  <si>
    <t>FF_CheckValid</t>
  </si>
  <si>
    <t>HIS Metrics - Max nesting level LEVEL: FF_Close 6&gt;4</t>
  </si>
  <si>
    <t>FF_Close</t>
  </si>
  <si>
    <t>HIS Metrics - Max nesting level LEVEL: FF_Truncate 6&gt;4</t>
  </si>
  <si>
    <t>FF_Truncate</t>
  </si>
  <si>
    <t>HIS Metrics - Cyclomatic v(G): FF_Open 31&gt;10</t>
  </si>
  <si>
    <t>HIS Metrics - Cyclomatic v(G): FF_RmDir 14&gt;10</t>
  </si>
  <si>
    <t>HIS Metrics - Cyclomatic v(G): FF_RmFile 11&gt;10</t>
  </si>
  <si>
    <t>HIS Metrics - Cyclomatic v(G): FF_Move 24&gt;10</t>
  </si>
  <si>
    <t>HIS Metrics - Cyclomatic v(G): FF_ExtendFile 22&gt;10</t>
  </si>
  <si>
    <t>HIS Metrics - Cyclomatic v(G): FF_Read 26&gt;10</t>
  </si>
  <si>
    <t>HIS Metrics - Cyclomatic v(G): FF_Write 29&gt;10</t>
  </si>
  <si>
    <t>HIS Metrics - Cyclomatic v(G): FF_Seek 13&gt;10</t>
  </si>
  <si>
    <t>HIS Metrics - Cyclomatic v(G): FF_Close 20&gt;10</t>
  </si>
  <si>
    <t>HIS Metrics - Number of paths PATH: FF_Open 509184.09375&gt;80</t>
  </si>
  <si>
    <t>HIS Metrics - Number of paths PATH: FF_RmFile 82.99995&gt;80</t>
  </si>
  <si>
    <t>HIS Metrics - Number of paths PATH: FF_Move 10392.00098&gt;80</t>
  </si>
  <si>
    <t>HIS Metrics - Number of paths PATH: FF_ExtendFile 10961.99805&gt;80</t>
  </si>
  <si>
    <t>HIS Metrics - Number of paths PATH: FF_Read 4320.00049&gt;80</t>
  </si>
  <si>
    <t>HIS Metrics - Number of paths PATH: FF_Write 6096.00146&gt;80</t>
  </si>
  <si>
    <t>HIS Metrics - Number of paths PATH: FF_Close 295.00018&gt;80</t>
  </si>
  <si>
    <t>NNTS.MIGHT</t>
  </si>
  <si>
    <t>Buffer overflow of 'pcFileName' due to non null terminated string 'pcFileName'</t>
  </si>
  <si>
    <t>FF_SetPerm</t>
  </si>
  <si>
    <t>Null pointer 'pxFile' that comes from line 232 may be dereferenced at line 320.</t>
  </si>
  <si>
    <t>Value of 'ulFileCluster' is never used after assignment</t>
  </si>
  <si>
    <t>Value of 'xResult' is never used after assignment</t>
  </si>
  <si>
    <t>Value of 'ulClustersNeeded' is never used after assignment</t>
  </si>
  <si>
    <t>Pointer 'pxIOManager' checked for NULL at line 878 will be passed to function and may be dereferenced there by passing argument 1 to function 'FF_CleanupEntryFetch' at line 1060.</t>
  </si>
  <si>
    <t>Expression 'ulNextCluster== (ulCurrentCluster+1)' used in the condition always yields the same result, and causes an unreachable code</t>
  </si>
  <si>
    <t>FF_GetSequentialClusters</t>
  </si>
  <si>
    <t>Expression 'ulClustersNeeded' used in the condition always yields the same result, and causes an unreachable code</t>
  </si>
  <si>
    <t>HIS Metrics - Number of parameters PARAM: FF_ReadPartial 6&gt;5</t>
  </si>
  <si>
    <t>FF_ReadPartial</t>
  </si>
  <si>
    <t>HIS Metrics - Number of parameters PARAM: FF_WritePartial 6&gt;5</t>
  </si>
  <si>
    <t>FF_WritePartial</t>
  </si>
  <si>
    <t>Memory pointed by 'pxFile-&gt;pucBuffer' is freed at this point, but this memory is not freed upon function exits at line(s) 3185.</t>
  </si>
  <si>
    <t>Memory pointed by 'pxFile' is freed at this point, but this memory is not freed upon function exits at line(s) 3185.</t>
  </si>
  <si>
    <t>/kwbuilds/release_area/mcu_plus_sdk/source/fs/freertos_fat/FreeRTOS-FAT/ff_format.c</t>
  </si>
  <si>
    <t>HIS Metrics - Cyclomatic v(G): FF_Partition 23&gt;10</t>
  </si>
  <si>
    <t>FF_Partition</t>
  </si>
  <si>
    <t>HIS Metrics - Number of paths PATH: FF_Partition 3600.00049&gt;80</t>
  </si>
  <si>
    <t>/kwbuilds/release_area/mcu_plus_sdk/source/fs/freertos_fat/FreeRTOS-FAT/ff_ioman.c</t>
  </si>
  <si>
    <t>HIS Metrics - Max nesting level LEVEL: FF_CreateIOManger 5&gt;4</t>
  </si>
  <si>
    <t>FF_CreateIOManger</t>
  </si>
  <si>
    <t>HIS Metrics - Max nesting level LEVEL: FF_FlushCache 6&gt;4</t>
  </si>
  <si>
    <t>FF_FlushCache</t>
  </si>
  <si>
    <t>HIS Metrics - Max nesting level LEVEL: FF_GetBuffer 6&gt;4</t>
  </si>
  <si>
    <t>FF_GetBuffer</t>
  </si>
  <si>
    <t>HIS Metrics - Max nesting level LEVEL: FF_ParseExtended 5&gt;4</t>
  </si>
  <si>
    <t>FF_ParseExtended</t>
  </si>
  <si>
    <t>HIS Metrics - Max nesting level LEVEL: FF_PartitionSearch 5&gt;4</t>
  </si>
  <si>
    <t>FF_PartitionSearch</t>
  </si>
  <si>
    <t>HIS Metrics - Max nesting level LEVEL: FF_Unmount 6&gt;4</t>
  </si>
  <si>
    <t>FF_Unmount</t>
  </si>
  <si>
    <t>HIS Metrics - Max nesting level LEVEL: FF_IncreaseFreeClusters 5&gt;4</t>
  </si>
  <si>
    <t>FF_IncreaseFreeClusters</t>
  </si>
  <si>
    <t>HIS Metrics - Max nesting level LEVEL: FF_DecreaseFreeClusters 5&gt;4</t>
  </si>
  <si>
    <t>FF_DecreaseFreeClusters</t>
  </si>
  <si>
    <t>HIS Metrics - Cyclomatic v(G): FF_CreateIOManger 15&gt;10</t>
  </si>
  <si>
    <t>HIS Metrics - Cyclomatic v(G): FF_GetBuffer 19&gt;10</t>
  </si>
  <si>
    <t>HIS Metrics - Cyclomatic v(G): FF_ParseExtended 16&gt;10</t>
  </si>
  <si>
    <t>HIS Metrics - Cyclomatic v(G): FF_PartitionSearch 22&gt;10</t>
  </si>
  <si>
    <t>HIS Metrics - Cyclomatic v(G): FF_GetEfiPartitionEntry 11&gt;10</t>
  </si>
  <si>
    <t>FF_GetEfiPartitionEntry</t>
  </si>
  <si>
    <t>HIS Metrics - Cyclomatic v(G): FF_Mount 21&gt;10</t>
  </si>
  <si>
    <t>FF_Mount</t>
  </si>
  <si>
    <t>HIS Metrics - Cyclomatic v(G): FF_IncreaseFreeClusters 11&gt;10</t>
  </si>
  <si>
    <t>HIS Metrics - Number of paths PATH: FF_CreateIOManger 839.99988&gt;80</t>
  </si>
  <si>
    <t>HIS Metrics - Number of paths PATH: FF_GetBuffer 440.00003&gt;80</t>
  </si>
  <si>
    <t>HIS Metrics - Number of paths PATH: FF_ParseExtended 147.00009&gt;80</t>
  </si>
  <si>
    <t>HIS Metrics - Number of paths PATH: FF_PartitionSearch 1731.00122&gt;80</t>
  </si>
  <si>
    <t>HIS Metrics - Number of paths PATH: FF_Mount 231.99986&gt;80</t>
  </si>
  <si>
    <t>Expression 'FF_CreateEvents(pxIOManager) != ((Bas...' used in the condition always yields the same result, and causes an unreachable code</t>
  </si>
  <si>
    <t>Expression 'pxPartition-&gt;usBlkSize' used in the condition always yields the same result, and causes an unreachable code</t>
  </si>
  <si>
    <t>Memory pointed by 'pxIOManager-&gt;pxBuffers' is freed at this point, but this memory is not freed upon function exits at line(s) 267.</t>
  </si>
  <si>
    <t>FF_DeleteIOManager</t>
  </si>
  <si>
    <t>Memory pointed by 'pxIOManager-&gt;pucCacheMem' is freed at this point, but this memory is not freed upon function exits at line(s) 267.</t>
  </si>
  <si>
    <t>Value of 'ulFirstWord' is never used after assignment</t>
  </si>
  <si>
    <t>prvDetermineFatType</t>
  </si>
  <si>
    <t>MLK.MIGHT</t>
  </si>
  <si>
    <t>/kwbuilds/release_area/mcu_plus_sdk/source/fs/freertos_fat/portable/ff_mmcsd.c</t>
  </si>
  <si>
    <t>Possible memory leak. Dynamic memory stored in 'pxDisk-&gt;pxIOManager-&gt;pxBuffers' allocated through function 'FF_CreateIOManger' at line 157 can be lost at line 189</t>
  </si>
  <si>
    <t>FF_MMCSDDiskInit</t>
  </si>
  <si>
    <t>HIS Metrics - Max nesting level LEVEL: prvWriteMmcsd 7&gt;4</t>
  </si>
  <si>
    <t>prvWriteMmcsd</t>
  </si>
  <si>
    <t>HIS Metrics - Max nesting level LEVEL: prvReadMmcsd 7&gt;4</t>
  </si>
  <si>
    <t>prvReadMmcsd</t>
  </si>
  <si>
    <t>/kwbuilds/release_area/mcu_plus_sdk/source/fs/freertos_fat/FreeRTOS-FAT/ff_stdio.c</t>
  </si>
  <si>
    <t>HIS Metrics - Max nesting level LEVEL: ff_truncate 8&gt;4</t>
  </si>
  <si>
    <t>ff_truncate</t>
  </si>
  <si>
    <t>HIS Metrics - Max nesting level LEVEL: ff_stat 5&gt;4</t>
  </si>
  <si>
    <t>ff_stat</t>
  </si>
  <si>
    <t>HIS Metrics - Max nesting level LEVEL: ff_findnext 7&gt;4</t>
  </si>
  <si>
    <t>ff_findnext</t>
  </si>
  <si>
    <t>HIS Metrics - Cyclomatic v(G): ff_truncate 13&gt;10</t>
  </si>
  <si>
    <t>HIS Metrics - Cyclomatic v(G): ff_stat 13&gt;10</t>
  </si>
  <si>
    <t>HIS Metrics - Cyclomatic v(G): ff_findnext 17&gt;10</t>
  </si>
  <si>
    <t>HIS Metrics - Cyclomatic v(G): prvFFErrorToErrno 52&gt;10</t>
  </si>
  <si>
    <t>prvFFErrorToErrno</t>
  </si>
  <si>
    <t>ff_rename</t>
  </si>
  <si>
    <t>HIS Metrics - Number of paths PATH: ff_stat 377.99997&gt;80</t>
  </si>
  <si>
    <t>HIS Metrics - Number of paths PATH: ff_findnext 490.99997&gt;80</t>
  </si>
  <si>
    <t>/kwbuilds/release_area/mcu_plus_sdk/source/fs/freertos_fat/FreeRTOS-FAT/ff_string.c</t>
  </si>
  <si>
    <t>HIS Metrics - Cyclomatic v(G): FF_Utf16ctoUtf8c 12&gt;10</t>
  </si>
  <si>
    <t>FF_Utf16ctoUtf8c</t>
  </si>
  <si>
    <t>Expression 'ulUtf32char &lt; 2097152' used in the condition always yields the same result, and causes an unreachable code</t>
  </si>
  <si>
    <t>/kwbuilds/release_area/mcu_plus_sdk/source/fs/freertos_fat/FreeRTOS-FAT/ff_sys.c</t>
  </si>
  <si>
    <t>HIS Metrics - Max nesting level LEVEL: FF_FS_Add 6&gt;4</t>
  </si>
  <si>
    <t>FF_FS_Add</t>
  </si>
  <si>
    <t>HIS Metrics - Max nesting level LEVEL: FF_FS_Remove 5&gt;4</t>
  </si>
  <si>
    <t>FF_FS_Remove</t>
  </si>
  <si>
    <t>HIS Metrics - Cyclomatic v(G): FF_FS_Add 12&gt;10</t>
  </si>
  <si>
    <t>HIS Metrics - Number of paths PATH: FF_FS_Add 137.00002&gt;80</t>
  </si>
  <si>
    <t>/kwbuilds/release_area/mcu_plus_sdk/source/drivers/bootloader/soc/am263x/bootloader_hsmRt_load.c</t>
  </si>
  <si>
    <t>Bootloader_socLoadHsmRtFw</t>
  </si>
  <si>
    <t>Expression 'numBlocks &lt; sizeof (pCpswStats-&gt;pn_st...' used in the condition always yields the same result</t>
  </si>
  <si>
    <t>CSL_CPSW_getStats</t>
  </si>
  <si>
    <t>HIS Metrics - Max nesting level LEVEL: LWIPIF_LWIP_getChkSumInfo 5&gt;4</t>
  </si>
  <si>
    <t>Expression 'chksum!=0' used in the condition always yields the same result</t>
  </si>
  <si>
    <t>EDMA_open</t>
  </si>
  <si>
    <t>Value of 'maxRes' is never used after assignment</t>
  </si>
  <si>
    <t>EDMA_isDmaChannelAllocated</t>
  </si>
  <si>
    <t>EDMA_isTccAllocated</t>
  </si>
  <si>
    <t>All the parameters needed to execute the function, hence it can be ignored.</t>
  </si>
  <si>
    <t>HIS Metrics - Number of parameters PARAM: SDL_VIM_cfgIntr 6&gt;5</t>
  </si>
  <si>
    <t>SDL_VIM_cfgIntr</t>
  </si>
  <si>
    <t>HIS Metrics - Number of parameters PARAM: SDL_VIM_verifyCfgIntr 6&gt;5</t>
  </si>
  <si>
    <t>SDL_VIM_verifyCfgIntr</t>
  </si>
  <si>
    <t>DTHE_open</t>
  </si>
  <si>
    <t>HIS Metrics - Max nesting level LEVEL: FF_MMCSDDiskInit 5&gt;4</t>
  </si>
  <si>
    <t>New</t>
  </si>
  <si>
    <t>'ulSectorCount' might be used uninitialized in this function.</t>
  </si>
  <si>
    <t>HIS Metrics - Number of paths PATH: CpswEst_ioctl_handler_ENET_TAS_IOCTL_SET_ADMIN_LIST 96&gt;80</t>
  </si>
  <si>
    <t>CpswEst_ioctl_handler_ENET_TAS_IOCTL_SET_ADMIN_LIST</t>
  </si>
  <si>
    <t>NPD.GEN.MUST</t>
  </si>
  <si>
    <t>Null pointer 'netif' that comes from line 368 will be dereferenced at line 377.</t>
  </si>
  <si>
    <t>Pointer 'config-&gt;attrs' checked for NULL at line 1322 may be dereferenced at line 1346.</t>
  </si>
  <si>
    <t>HIS Metrics - Max nesting level LEVEL: MMCSD_read 6&gt;4</t>
  </si>
  <si>
    <t>HIS Metrics - Max nesting level LEVEL: MMCSD_write 6&gt;4</t>
  </si>
  <si>
    <t>MMCSD_write</t>
  </si>
  <si>
    <t>HIS Metrics - Max nesting level LEVEL: MMCSD_cmdStatusFxn 5&gt;4</t>
  </si>
  <si>
    <t>MMCSD_cmdStatusFxn</t>
  </si>
  <si>
    <t>HIS Metrics - Max nesting level LEVEL: MMCSD_tuningProcedure 6&gt;4</t>
  </si>
  <si>
    <t>enabled</t>
  </si>
  <si>
    <t>name</t>
  </si>
  <si>
    <t>supportLevel</t>
  </si>
  <si>
    <t>Taxonomy Name</t>
  </si>
  <si>
    <t>ABV.ANY_SIZE_ARRAY</t>
  </si>
  <si>
    <t>Buffer Overflow - Array Index Out of Bounds</t>
  </si>
  <si>
    <t>ABV.ITERATOR</t>
  </si>
  <si>
    <t>Buffer Overflow - Array Index may be out of Bounds</t>
  </si>
  <si>
    <t>ABV.MEMBER</t>
  </si>
  <si>
    <t>Buffer Overflow - Local Array Index Out of Bounds</t>
  </si>
  <si>
    <t>ABV.TAINTED</t>
  </si>
  <si>
    <t>Buffer Overflow from Unvalidated Input</t>
  </si>
  <si>
    <t>ABV.UNICODE.BOUND_MAP</t>
  </si>
  <si>
    <t>Buffer overflow in mapping character function</t>
  </si>
  <si>
    <t>ABV.UNICODE.FAILED_MAP</t>
  </si>
  <si>
    <t>Mapping function failed</t>
  </si>
  <si>
    <t>ABV.UNICODE.NNTS_MAP</t>
  </si>
  <si>
    <t>ABV.UNICODE.SELF_MAP</t>
  </si>
  <si>
    <t>ABV.UNKNOWN_SIZE</t>
  </si>
  <si>
    <t>ASSIGCOND.CALL</t>
  </si>
  <si>
    <t>Assignment in condition (call)</t>
  </si>
  <si>
    <t>ASSIGCOND.GEN</t>
  </si>
  <si>
    <t>Assignment in condition</t>
  </si>
  <si>
    <t>BSTR.CAST.C</t>
  </si>
  <si>
    <t>C style type cast to BSTR</t>
  </si>
  <si>
    <t>BSTR.CAST.CPP</t>
  </si>
  <si>
    <t>C++ style type cast to BSTR</t>
  </si>
  <si>
    <t>BSTR.FUNC.ALLOC</t>
  </si>
  <si>
    <t>Incorrect call to BSTR allocating function</t>
  </si>
  <si>
    <t>BSTR.FUNC.FREE</t>
  </si>
  <si>
    <t>Incorrect call to BSTR freeing function</t>
  </si>
  <si>
    <t>BSTR.FUNC.LEN</t>
  </si>
  <si>
    <t>Trying to get length of non-BSTR string using BSTR-related functions</t>
  </si>
  <si>
    <t>BSTR.FUNC.REALLOC</t>
  </si>
  <si>
    <t>Incorrect call to BSTR reallocating function</t>
  </si>
  <si>
    <t>BSTR.IA.ASSIGN</t>
  </si>
  <si>
    <t>BSTR variable is assigned a non-BSTR value</t>
  </si>
  <si>
    <t>BSTR.IA.INIT</t>
  </si>
  <si>
    <t>BSTR variable is initialized with a non-BSTR value</t>
  </si>
  <si>
    <t>BSTR.OPS.ARITHM</t>
  </si>
  <si>
    <t>Illegal arithmetic operations with BSTR values</t>
  </si>
  <si>
    <t>BSTR.OPS.COMP</t>
  </si>
  <si>
    <t>Illegal comparison of BSTR values</t>
  </si>
  <si>
    <t>BSTR.OPS.EQS</t>
  </si>
  <si>
    <t>Illegal equality comparison of BSTR values</t>
  </si>
  <si>
    <t>BYTEORDER.HTON.SEND</t>
  </si>
  <si>
    <t>Missed conversion from host to network byte order</t>
  </si>
  <si>
    <t>BYTEORDER.HTON.WRITE</t>
  </si>
  <si>
    <t>BYTEORDER.NTOH.READ</t>
  </si>
  <si>
    <t>Missed conversion from network to host byte order</t>
  </si>
  <si>
    <t>BYTEORDER.NTOH.RECV</t>
  </si>
  <si>
    <t>CL.ASSIGN.NON_CONST_ARG</t>
  </si>
  <si>
    <t>Assignment operator declares non-constant reference argument</t>
  </si>
  <si>
    <t>CL.ASSIGN.RETURN_CONST</t>
  </si>
  <si>
    <t>Assignment operator returns constant reference</t>
  </si>
  <si>
    <t>CL.ASSIGN.VOID</t>
  </si>
  <si>
    <t>Assignment operator returns void</t>
  </si>
  <si>
    <t>CL.FFM.ASSIGN</t>
  </si>
  <si>
    <t>Use of free memory (double free) - no operator=</t>
  </si>
  <si>
    <t>CL.FFM.COPY</t>
  </si>
  <si>
    <t>Use of free memory (double free) - no copy constructor</t>
  </si>
  <si>
    <t>CL.FMM</t>
  </si>
  <si>
    <t>Freeing Mismatched Memory - in destructor</t>
  </si>
  <si>
    <t>CL.MLK</t>
  </si>
  <si>
    <t>Memory Leak - in destructor</t>
  </si>
  <si>
    <t>CL.MLK.ASSIGN</t>
  </si>
  <si>
    <t>Memory Leak - in assignment operator</t>
  </si>
  <si>
    <t>CL.MLK.VIRTUAL</t>
  </si>
  <si>
    <t>Memory Leak - possible in destructor</t>
  </si>
  <si>
    <t>CL.SELF-ASSIGN</t>
  </si>
  <si>
    <t>Use of free memory (double free) - in operator=</t>
  </si>
  <si>
    <t>CL.SHALLOW.ASSIGN</t>
  </si>
  <si>
    <t>Use of free memory (double free) - shallow copy in operator=</t>
  </si>
  <si>
    <t>CL.SHALLOW.COPY</t>
  </si>
  <si>
    <t>Use of free memory (double free) - shallow copy in copy constructor</t>
  </si>
  <si>
    <t>CONC.DL</t>
  </si>
  <si>
    <t>Deadlock</t>
  </si>
  <si>
    <t>Missing unlock for variable</t>
  </si>
  <si>
    <t>CONC.SLEEP</t>
  </si>
  <si>
    <t>Function may block in critical section</t>
  </si>
  <si>
    <t>CWARN.ALIGNMENT</t>
  </si>
  <si>
    <t>Incorrect pointer scaling is used</t>
  </si>
  <si>
    <t>CWARN.BAD.PTR.ARITH</t>
  </si>
  <si>
    <t>Bad pointer arithmetic</t>
  </si>
  <si>
    <t>Operands of different size in bitwise operation</t>
  </si>
  <si>
    <t>CWARN.BOOLOP.INC</t>
  </si>
  <si>
    <t>A boolean is incremented or decremented</t>
  </si>
  <si>
    <t>CWARN.CAST.VIRTUAL_INHERITANCE</t>
  </si>
  <si>
    <t>C-style cast of pointer to object with virtual methods to pointer to its derived class</t>
  </si>
  <si>
    <t>CWARN.CMPCHR.EOF</t>
  </si>
  <si>
    <t>A 'char' expression compared with EOF constant</t>
  </si>
  <si>
    <t>CWARN.CONSTCOND.DO</t>
  </si>
  <si>
    <t>'do' controlling expression is constant</t>
  </si>
  <si>
    <t>CWARN.CONSTCOND.IF</t>
  </si>
  <si>
    <t>'if' controlling expression is constant</t>
  </si>
  <si>
    <t>CWARN.CONSTCOND.SWITCH</t>
  </si>
  <si>
    <t>'switch' selector expression is constant</t>
  </si>
  <si>
    <t>CWARN.CONSTCOND.TERNARY</t>
  </si>
  <si>
    <t>Controlling condition in conditional expression is constant</t>
  </si>
  <si>
    <t>CWARN.CONSTCOND.WHILE</t>
  </si>
  <si>
    <t>'while' controlling expression is constant</t>
  </si>
  <si>
    <t>CWARN.COPY.NOASSIGN</t>
  </si>
  <si>
    <t>Class defines copy constructor, but no assignment operator</t>
  </si>
  <si>
    <t>CWARN.DTOR.NONVIRT.DELETE</t>
  </si>
  <si>
    <t>Delete expression for an object of a class with virtual methods and no virtual destructor</t>
  </si>
  <si>
    <t>CWARN.DTOR.NONVIRT.NOTEMPTY</t>
  </si>
  <si>
    <t>Class has virtual functions inherited from a base class, but its destructor is not virtual and not empty</t>
  </si>
  <si>
    <t>CWARN.DTOR.VOIDPTR</t>
  </si>
  <si>
    <t>Delete expression with an object of type pointer to void</t>
  </si>
  <si>
    <t>CWARN.EMPTY.LABEL</t>
  </si>
  <si>
    <t>Empty label statement</t>
  </si>
  <si>
    <t>CWARN.EMPTY.TYPEDEF</t>
  </si>
  <si>
    <t>Missing typedef name</t>
  </si>
  <si>
    <t>CWARN.FUNCADDR</t>
  </si>
  <si>
    <t>Function address is used instead of a call to this function</t>
  </si>
  <si>
    <t>CWARN.HIDDEN.PARAM</t>
  </si>
  <si>
    <t>Parameter hidden by local variable</t>
  </si>
  <si>
    <t>CWARN.IMPLICITINT</t>
  </si>
  <si>
    <t>Anachronistic 'implicit int'</t>
  </si>
  <si>
    <t>CWARN.INCL.ABSOLUTE</t>
  </si>
  <si>
    <t>Absolute path is used in include directive</t>
  </si>
  <si>
    <t>CWARN.INCL.NO_INTERFACE</t>
  </si>
  <si>
    <t>Source file does not include its interface header</t>
  </si>
  <si>
    <t>CWARN.INLINE.NONFUNC</t>
  </si>
  <si>
    <t>'inline' used with non-function</t>
  </si>
  <si>
    <t>CWARN.MEM.NONPOD</t>
  </si>
  <si>
    <t>Memory manipulation routine applied to a non-POD object</t>
  </si>
  <si>
    <t>CWARN.MEMBER.INIT.ORDER</t>
  </si>
  <si>
    <t>Members of the initialization list are not listed in the order in which they are declared in the class</t>
  </si>
  <si>
    <t>CWARN.MEMSET.SIZEOF.PTR</t>
  </si>
  <si>
    <t>Memset-like function is called for 'sizeof' applied to pointer</t>
  </si>
  <si>
    <t>CWARN.MOVE.CONST</t>
  </si>
  <si>
    <t>Const value used as argument for std::move</t>
  </si>
  <si>
    <t>CWARN.NOEFFECT.OUTOFRANGE</t>
  </si>
  <si>
    <t>Value outside of range</t>
  </si>
  <si>
    <t>CWARN.NOEFFECT.SELF_ASSIGN</t>
  </si>
  <si>
    <t>A variable is assigned to self</t>
  </si>
  <si>
    <t>CWARN.NOEFFECT.UCMP.GE.MACRO</t>
  </si>
  <si>
    <t>Comparison of unsigned value against 0 within a macro is always true</t>
  </si>
  <si>
    <t>CWARN.NOEFFECT.UCMP.LT</t>
  </si>
  <si>
    <t>Comparison of unsigned value against 0 is always false</t>
  </si>
  <si>
    <t>CWARN.NOEFFECT.UCMP.LT.MACRO</t>
  </si>
  <si>
    <t>Comparison of unsigned value against 0 within a macro is always false</t>
  </si>
  <si>
    <t>CWARN.NULLCHECK.FUNCNAME</t>
  </si>
  <si>
    <t>Function address was directly compared against 0</t>
  </si>
  <si>
    <t>CWARN.OVERRIDE.CONST</t>
  </si>
  <si>
    <t>Function overriding fails due to mismatch of 'const' qualifiers</t>
  </si>
  <si>
    <t>CWARN.PACKED.TYPEDEF</t>
  </si>
  <si>
    <t>'packed' attribute ignored in typedef</t>
  </si>
  <si>
    <t>CWARN.PASSBYVALUE.ARG</t>
  </si>
  <si>
    <t>Function argument passed by value is too large</t>
  </si>
  <si>
    <t>CWARN.PASSBYVALUE.EXC</t>
  </si>
  <si>
    <t>Exception object passed by value is too large</t>
  </si>
  <si>
    <t>CWARN.RET.MAIN</t>
  </si>
  <si>
    <t>Bad return type of main</t>
  </si>
  <si>
    <t>CWARN.SIGNEDBIT</t>
  </si>
  <si>
    <t>Signed one bit field</t>
  </si>
  <si>
    <t>DBZ.CONST</t>
  </si>
  <si>
    <t>Division by a zero constant occurs</t>
  </si>
  <si>
    <t>DBZ.CONST.CALL</t>
  </si>
  <si>
    <t>The value '0' is passed to function that can use this value as divisor</t>
  </si>
  <si>
    <t>DBZ.GENERAL</t>
  </si>
  <si>
    <t>Division by zero might occur</t>
  </si>
  <si>
    <t>DBZ.ITERATOR</t>
  </si>
  <si>
    <t>Division by zero might occur in a loop iterator</t>
  </si>
  <si>
    <t>FMM.MIGHT</t>
  </si>
  <si>
    <t>Freeing Mismatched Memory - possible</t>
  </si>
  <si>
    <t>FMM.MUST</t>
  </si>
  <si>
    <t>Freeing Mismatched Memory</t>
  </si>
  <si>
    <t>FNH.MIGHT</t>
  </si>
  <si>
    <t>Freeing Non-Heap Memory - possible</t>
  </si>
  <si>
    <t>FNH.MUST</t>
  </si>
  <si>
    <t>Freeing Non-Heap Memory</t>
  </si>
  <si>
    <t>Inconsistent Freeing of Memory</t>
  </si>
  <si>
    <t>FUM.GEN.MIGHT</t>
  </si>
  <si>
    <t>Freeing Unallocated Memory - possible</t>
  </si>
  <si>
    <t>FUM.GEN.MUST</t>
  </si>
  <si>
    <t>Freeing Unallocated Memory</t>
  </si>
  <si>
    <t>FUNCRET.GEN</t>
  </si>
  <si>
    <t>Non-void function does not return value</t>
  </si>
  <si>
    <t>FUNCRET.IMPLICIT</t>
  </si>
  <si>
    <t>Non-void function implicitly returning int does not return value</t>
  </si>
  <si>
    <t>HCC</t>
  </si>
  <si>
    <t>Use of hardcoded credentials</t>
  </si>
  <si>
    <t>HCC.PWD</t>
  </si>
  <si>
    <t>Use of a hardcoded password</t>
  </si>
  <si>
    <t>HCC.USER</t>
  </si>
  <si>
    <t>Use of a hardcoded user name</t>
  </si>
  <si>
    <t>INCONSISTENT.LABEL</t>
  </si>
  <si>
    <t>Inconsistent Case Labels</t>
  </si>
  <si>
    <t>INCORRECT.ALLOC_SIZE</t>
  </si>
  <si>
    <t>Incorrect Allocation Size</t>
  </si>
  <si>
    <t>INFINITE_LOOP.GLOBAL</t>
  </si>
  <si>
    <t>INFINITE_LOOP.MACRO</t>
  </si>
  <si>
    <t>Invariant expression in a condition</t>
  </si>
  <si>
    <t>ITER.CONTAINER.MODIFIED</t>
  </si>
  <si>
    <t>Use of invalid iterator</t>
  </si>
  <si>
    <t>ITER.END.DEREF.MIGHT</t>
  </si>
  <si>
    <t>Dereference of 'end' iterator</t>
  </si>
  <si>
    <t>ITER.END.DEREF.MUST</t>
  </si>
  <si>
    <t>ITER.INAPPROPRIATE</t>
  </si>
  <si>
    <t>Use of iterator with inappropriate container object</t>
  </si>
  <si>
    <t>ITER.INAPPROPRIATE.MULTIPLE</t>
  </si>
  <si>
    <t>LA_UNUSED</t>
  </si>
  <si>
    <t>Label unused</t>
  </si>
  <si>
    <t>LOCRET.ARG</t>
  </si>
  <si>
    <t>Function returns address of local variable</t>
  </si>
  <si>
    <t>LOCRET.GLOB</t>
  </si>
  <si>
    <t>LOCRET.RET</t>
  </si>
  <si>
    <t>LS.CALL</t>
  </si>
  <si>
    <t>Suspicious use of non-localized string in GUI function</t>
  </si>
  <si>
    <t>LS.CALL.STRING</t>
  </si>
  <si>
    <t>LV_UNUSED.GEN</t>
  </si>
  <si>
    <t>Local variable unused</t>
  </si>
  <si>
    <t>Memory Leak - possible</t>
  </si>
  <si>
    <t>MLK.MUST</t>
  </si>
  <si>
    <t>Memory Leak</t>
  </si>
  <si>
    <t>MLK.RET.MIGHT</t>
  </si>
  <si>
    <t>MLK.RET.MUST</t>
  </si>
  <si>
    <t>Buffer Overflow - Non-null Terminated String</t>
  </si>
  <si>
    <t>NNTS.MUST</t>
  </si>
  <si>
    <t>NNTS.TAINTED</t>
  </si>
  <si>
    <t>Unvalidated User Input Causing Buffer Overflow - Non-Null Terminated String</t>
  </si>
  <si>
    <t>Pointer may be passed to function that can dereference it after it was positively checked for NULL</t>
  </si>
  <si>
    <t>Pointer will be passed to function that may dereference it after it was positively checked for NULL</t>
  </si>
  <si>
    <t>Pointer may be dereferenced after it was positively checked for NULL</t>
  </si>
  <si>
    <t>Pointer will be dereferenced after it was positively checked for NULL</t>
  </si>
  <si>
    <t>NPD.CONST.CALL</t>
  </si>
  <si>
    <t>NULL is passed to function that can dereference it</t>
  </si>
  <si>
    <t>NPD.CONST.DEREF</t>
  </si>
  <si>
    <t>NULL is dereferenced</t>
  </si>
  <si>
    <t>NPD.FUNC.CALL.MIGHT</t>
  </si>
  <si>
    <t>Result of function that may return NULL may be passed to another function that may dereference it</t>
  </si>
  <si>
    <t>NPD.FUNC.CALL.MUST</t>
  </si>
  <si>
    <t>Result of function that may return NULL will be passed to another function that may dereference it</t>
  </si>
  <si>
    <t>Result of function that can return NULL may be dereferenced</t>
  </si>
  <si>
    <t>Result of function that may return NULL will be dereferenced</t>
  </si>
  <si>
    <t>Null pointer may be passed to function that may dereference it</t>
  </si>
  <si>
    <t>Null pointer will be passed to function that may dereference it</t>
  </si>
  <si>
    <t>Null pointer may be dereferenced</t>
  </si>
  <si>
    <t>Null pointer will be dereferenced</t>
  </si>
  <si>
    <t>NUM.OVERFLOW</t>
  </si>
  <si>
    <t>Possible Overflow</t>
  </si>
  <si>
    <t>PORTING.BITFIELDS</t>
  </si>
  <si>
    <t>Usage of bitfields within a structure</t>
  </si>
  <si>
    <t>PORTING.BSWAP.MACRO</t>
  </si>
  <si>
    <t>A custom byte swap macro is used without checking endian</t>
  </si>
  <si>
    <t>PORTING.BYTEORDER.SIZE</t>
  </si>
  <si>
    <t>An incompatible type is used with a network macro such as 'ntohl'</t>
  </si>
  <si>
    <t>PORTING.CAST.FLTPNT</t>
  </si>
  <si>
    <t>Cast of a floating point expression to a non floating point type</t>
  </si>
  <si>
    <t>PORTING.CAST.PTR</t>
  </si>
  <si>
    <t>Cast between types that are not both pointers or not pointers</t>
  </si>
  <si>
    <t>PORTING.CAST.PTR.FLTPNT</t>
  </si>
  <si>
    <t>Cast of a pointer to a floating point expression to a non floating point type pointer</t>
  </si>
  <si>
    <t>PORTING.CAST.PTR.SIZE</t>
  </si>
  <si>
    <t>Attempt to cast an expression to a type of a potentially incompatible size</t>
  </si>
  <si>
    <t>PORTING.CAST.SIZE</t>
  </si>
  <si>
    <t>Expression is cast to a type of potentially different size</t>
  </si>
  <si>
    <t>PORTING.CMPSPEC.EFFECTS.ASSIGNMENT</t>
  </si>
  <si>
    <t>Assignment in a function parameter</t>
  </si>
  <si>
    <t>PORTING.CMPSPEC.TYPE.BOOL</t>
  </si>
  <si>
    <t>Assignment to a 'bool' type is larger than 1 byte</t>
  </si>
  <si>
    <t>PORTING.CMPSPEC.TYPE.LONGLONG</t>
  </si>
  <si>
    <t>Use of 'long long'</t>
  </si>
  <si>
    <t>PORTING.MACRO.NUMTYPE</t>
  </si>
  <si>
    <t>Macro describing a builtin numeric type is used</t>
  </si>
  <si>
    <t>PORTING.OPTS</t>
  </si>
  <si>
    <t>Compiler dependant option is used</t>
  </si>
  <si>
    <t>PORTING.PRAGMA.ALIGN</t>
  </si>
  <si>
    <t>#pragma align usage</t>
  </si>
  <si>
    <t>PORTING.PRAGMA.PACK</t>
  </si>
  <si>
    <t>#pragma pack usage</t>
  </si>
  <si>
    <t>PORTING.SIGNED.CHAR</t>
  </si>
  <si>
    <t>'char' used without explicitly specifying signedness</t>
  </si>
  <si>
    <t>PORTING.STORAGE.STRUCT</t>
  </si>
  <si>
    <t>Byte position of elements in a structure could depend on alignment and packing attributes.</t>
  </si>
  <si>
    <t>PORTING.STRUCT.BOOL</t>
  </si>
  <si>
    <t>Struct/class has a bool member</t>
  </si>
  <si>
    <t>PORTING.UNIONS</t>
  </si>
  <si>
    <t>Union is used within an enclosing struct/class/other union</t>
  </si>
  <si>
    <t>PORTING.UNSIGNEDCHAR.OVERFLOW.FALSE</t>
  </si>
  <si>
    <t>Relational expression may be always false depending on 'char' type signedness</t>
  </si>
  <si>
    <t>PORTING.UNSIGNEDCHAR.OVERFLOW.TRUE</t>
  </si>
  <si>
    <t>Relational expression may be always true depending on 'char' type signedness</t>
  </si>
  <si>
    <t>PORTING.UNSIGNEDCHAR.RELOP</t>
  </si>
  <si>
    <t>Relational operations used between explicitly signed/unsigned char and char without signedness specification</t>
  </si>
  <si>
    <t>Variable used twice in one expression where one usage is subject to side-effects</t>
  </si>
  <si>
    <t>PRECISION.LOSS</t>
  </si>
  <si>
    <t>Loss of Precision</t>
  </si>
  <si>
    <t>PRECISION.LOSS.CALL</t>
  </si>
  <si>
    <t>Loss of Precision during function call</t>
  </si>
  <si>
    <t>Suspicious use of index before boundary check</t>
  </si>
  <si>
    <t>RCA</t>
  </si>
  <si>
    <t>Risky cryptographic algorithm used</t>
  </si>
  <si>
    <t>RCA.HASH.SALT.EMPTY</t>
  </si>
  <si>
    <t>Use of a one-way hash with an empty salt</t>
  </si>
  <si>
    <t>RETVOID.GEN</t>
  </si>
  <si>
    <t>Non-void function returns void value</t>
  </si>
  <si>
    <t>RETVOID.IMPLICIT</t>
  </si>
  <si>
    <t>Implicitly int function returns void value</t>
  </si>
  <si>
    <t>RH.LEAK</t>
  </si>
  <si>
    <t>Resource leak</t>
  </si>
  <si>
    <t>RN.INDEX</t>
  </si>
  <si>
    <t>Suspicious use of index before negative check</t>
  </si>
  <si>
    <t>RNPD.CALL</t>
  </si>
  <si>
    <t>Suspicious dereference of pointer in function call before NULL check</t>
  </si>
  <si>
    <t>Suspicious dereference of pointer before NULL check</t>
  </si>
  <si>
    <t>SEMICOL</t>
  </si>
  <si>
    <t>Suspiciously placed semicolon</t>
  </si>
  <si>
    <t>SPECTRE.VARIANT1</t>
  </si>
  <si>
    <t>Potential exploit of speculative execution</t>
  </si>
  <si>
    <t>STRONG.TYPE.ASSIGN</t>
  </si>
  <si>
    <t>Assignment does not respect strong typing</t>
  </si>
  <si>
    <t>STRONG.TYPE.ASSIGN.ARG</t>
  </si>
  <si>
    <t>STRONG.TYPE.ASSIGN.CONST</t>
  </si>
  <si>
    <t>STRONG.TYPE.ASSIGN.INIT</t>
  </si>
  <si>
    <t>STRONG.TYPE.ASSIGN.RETURN</t>
  </si>
  <si>
    <t>STRONG.TYPE.ASSIGN.ZERO</t>
  </si>
  <si>
    <t>STRONG.TYPE.EXTRACT</t>
  </si>
  <si>
    <t>STRONG.TYPE.JOIN.CMP</t>
  </si>
  <si>
    <t>Joining with binary operator does not respect strong typing</t>
  </si>
  <si>
    <t>STRONG.TYPE.JOIN.CONST</t>
  </si>
  <si>
    <t>STRONG.TYPE.JOIN.EQ</t>
  </si>
  <si>
    <t>STRONG.TYPE.JOIN.OTHER</t>
  </si>
  <si>
    <t>STRONG.TYPE.JOIN.ZERO</t>
  </si>
  <si>
    <t>SV.BANNED.RECOMMENDED.ALLOCA</t>
  </si>
  <si>
    <t>Banned recommended API: stack allocation functions</t>
  </si>
  <si>
    <t>SV.BANNED.RECOMMENDED.NUMERIC</t>
  </si>
  <si>
    <t>Banned recommended API: unsafe numeric conversion functions</t>
  </si>
  <si>
    <t>SV.BANNED.RECOMMENDED.OEM</t>
  </si>
  <si>
    <t>Banned recommended API: OEM character page conversion functions</t>
  </si>
  <si>
    <t>SV.BANNED.RECOMMENDED.PATH</t>
  </si>
  <si>
    <t>Banned recommended API: unsafe path name manipulation functions</t>
  </si>
  <si>
    <t>SV.BANNED.RECOMMENDED.SCANF</t>
  </si>
  <si>
    <t>Banned recommended API: unsafe scanf-type functions</t>
  </si>
  <si>
    <t>SV.BANNED.RECOMMENDED.SPRINTF</t>
  </si>
  <si>
    <t>Banned recommended API: unsafe sprintf-type functions</t>
  </si>
  <si>
    <t>SV.BANNED.RECOMMENDED.STRLEN</t>
  </si>
  <si>
    <t>Banned recommended API: unsafe string length functions</t>
  </si>
  <si>
    <t>SV.BANNED.RECOMMENDED.TOKEN</t>
  </si>
  <si>
    <t>Banned recommended API: unsafe string tokenizing functions</t>
  </si>
  <si>
    <t>SV.BANNED.RECOMMENDED.WINDOW</t>
  </si>
  <si>
    <t>Banned recommended API: unsafe window functions</t>
  </si>
  <si>
    <t>SV.BANNED.REQUIRED.CONCAT</t>
  </si>
  <si>
    <t>Banned required API: unsafe string concatenation functions</t>
  </si>
  <si>
    <t>SV.BANNED.REQUIRED.COPY</t>
  </si>
  <si>
    <t>Banned required API: unsafe buffer copy functions</t>
  </si>
  <si>
    <t>SV.BANNED.REQUIRED.GETS</t>
  </si>
  <si>
    <t>Banned required API: unsafe stream reading functions</t>
  </si>
  <si>
    <t>SV.BANNED.REQUIRED.ISBAD</t>
  </si>
  <si>
    <t>Banned required API: IsBad-type functions</t>
  </si>
  <si>
    <t>SV.BANNED.REQUIRED.SPRINTF</t>
  </si>
  <si>
    <t>Banned required API: unsafe sprintf-type functions</t>
  </si>
  <si>
    <t>SV.BFC.USING_STRUCT</t>
  </si>
  <si>
    <t>Use of INADDR_ANY in sin_addr.s_addr field of struct sockaddr_in Structure Used for Call to bind Function</t>
  </si>
  <si>
    <t>SV.BRM.HKEY_LOCAL_MACHINE</t>
  </si>
  <si>
    <t>HKEY_LOCAL_MACHINE Used as 'hkey' Parameter for Registry Manipulation Function</t>
  </si>
  <si>
    <t>SV.CODE_INJECTION.SHELL_EXEC</t>
  </si>
  <si>
    <t>Command Injection into Shell Execution</t>
  </si>
  <si>
    <t>SV.DLLPRELOAD.NONABSOLUTE.DLL</t>
  </si>
  <si>
    <t>Potential DLL-preload hijack vector</t>
  </si>
  <si>
    <t>SV.DLLPRELOAD.NONABSOLUTE.EXE</t>
  </si>
  <si>
    <t>Potential process injection vector</t>
  </si>
  <si>
    <t>SV.DLLPRELOAD.SEARCHPATH</t>
  </si>
  <si>
    <t>Do not use SearchPath to find DLLs</t>
  </si>
  <si>
    <t>SV.FIU.PROCESS_VARIANTS</t>
  </si>
  <si>
    <t>Use of Dangerous Process Creation</t>
  </si>
  <si>
    <t>SV.FMTSTR.GENERIC</t>
  </si>
  <si>
    <t>Format String Vulnerability</t>
  </si>
  <si>
    <t>SV.FMT_STR.BAD_SCAN_FORMAT</t>
  </si>
  <si>
    <t>Input format specifier error</t>
  </si>
  <si>
    <t>SV.FMT_STR.PRINT_FORMAT_MISMATCH.BAD</t>
  </si>
  <si>
    <t>Incompatible type of a print function parameter</t>
  </si>
  <si>
    <t>SV.FMT_STR.PRINT_FORMAT_MISMATCH.UNDESIRED</t>
  </si>
  <si>
    <t>Unexpected type of a print function parameter</t>
  </si>
  <si>
    <t>SV.FMT_STR.PRINT_IMPROP_LENGTH</t>
  </si>
  <si>
    <t>Improper use of length modifier in a print function call</t>
  </si>
  <si>
    <t>SV.FMT_STR.PRINT_PARAMS_WRONGNUM.FEW</t>
  </si>
  <si>
    <t>Too few arguments in a print function call</t>
  </si>
  <si>
    <t>SV.FMT_STR.PRINT_PARAMS_WRONGNUM.MANY</t>
  </si>
  <si>
    <t>Too many arguments in a print function call</t>
  </si>
  <si>
    <t>SV.FMT_STR.SCAN_FORMAT_MISMATCH.BAD</t>
  </si>
  <si>
    <t>Incompatible type of a scan function parameter</t>
  </si>
  <si>
    <t>SV.FMT_STR.SCAN_FORMAT_MISMATCH.UNDESIRED</t>
  </si>
  <si>
    <t>Unexpected type of a scan function parameter</t>
  </si>
  <si>
    <t>SV.FMT_STR.SCAN_IMPROP_LENGTH</t>
  </si>
  <si>
    <t>Improper use of length modifier in a scan function call</t>
  </si>
  <si>
    <t>SV.FMT_STR.SCAN_PARAMS_WRONGNUM.FEW</t>
  </si>
  <si>
    <t>Too few arguments in a scan function call</t>
  </si>
  <si>
    <t>SV.FMT_STR.SCAN_PARAMS_WRONGNUM.MANY</t>
  </si>
  <si>
    <t>Too many arguments in a scan function call</t>
  </si>
  <si>
    <t>SV.FMT_STR.UNKWN_FORMAT</t>
  </si>
  <si>
    <t>Unknown format specifier in a print function call</t>
  </si>
  <si>
    <t>SV.FMT_STR.UNKWN_FORMAT.SCAN</t>
  </si>
  <si>
    <t>Unknown format specifier in a scan function call</t>
  </si>
  <si>
    <t>SV.INCORRECT_RESOURCE_HANDLING.URH</t>
  </si>
  <si>
    <t>Insecure Resource Handling</t>
  </si>
  <si>
    <t>SV.INCORRECT_RESOURCE_HANDLING.WRONG_STATUS</t>
  </si>
  <si>
    <t>SV.LPP.CONST</t>
  </si>
  <si>
    <t>Use of Insecure Macro for Dangerous Functions</t>
  </si>
  <si>
    <t>SV.LPP.VAR</t>
  </si>
  <si>
    <t>Use of Insecure Parameter for Dangerous Functions</t>
  </si>
  <si>
    <t>SV.PCC.CONST</t>
  </si>
  <si>
    <t>Insecure (Constant) Temporary File Name in Call to CreateFile</t>
  </si>
  <si>
    <t>SV.PCC.INVALID_TEMP_PATH</t>
  </si>
  <si>
    <t>Insecure Temporary File Name in Call to CreateFile</t>
  </si>
  <si>
    <t>SV.PCC.MISSING_TEMP_CALLS.MUST</t>
  </si>
  <si>
    <t>Missing Secure Temporary File Names in Call to CreateFile</t>
  </si>
  <si>
    <t>SV.PCC.MISSING_TEMP_FILENAME</t>
  </si>
  <si>
    <t>Missing Temporary File Name in Call to CreateFile</t>
  </si>
  <si>
    <t>SV.PCC.MODIFIED_BEFORE_CREATE</t>
  </si>
  <si>
    <t>Modification of Temporary File Name before Call to CreateFile</t>
  </si>
  <si>
    <t>SV.PIPE.CONST</t>
  </si>
  <si>
    <t>Potential pipe hijacking</t>
  </si>
  <si>
    <t>SV.PIPE.VAR</t>
  </si>
  <si>
    <t>SV.RVT.RETVAL_NOTTESTED</t>
  </si>
  <si>
    <t>Ignored Return Value</t>
  </si>
  <si>
    <t>SV.SIP.CONST</t>
  </si>
  <si>
    <t>SV.SIP.VAR</t>
  </si>
  <si>
    <t>SV.STRBO.BOUND_COPY.OVERFLOW</t>
  </si>
  <si>
    <t>Buffer Overflow in Bound String Copy</t>
  </si>
  <si>
    <t>SV.STRBO.BOUND_COPY.UNTERM</t>
  </si>
  <si>
    <t>Possible Buffer Overflow in Following String Operations</t>
  </si>
  <si>
    <t>SV.STRBO.BOUND_SPRINTF</t>
  </si>
  <si>
    <t>Buffer Overflow in Bound sprintf</t>
  </si>
  <si>
    <t>SV.STRBO.UNBOUND_COPY</t>
  </si>
  <si>
    <t>Buffer Overflow in Unbound String Copy</t>
  </si>
  <si>
    <t>SV.STRBO.UNBOUND_SPRINTF</t>
  </si>
  <si>
    <t>Buffer Overflow in Unbound sprintf</t>
  </si>
  <si>
    <t>SV.STR_PAR.UNDESIRED_STRING_PARAMETER</t>
  </si>
  <si>
    <t>Undesired String for File Path</t>
  </si>
  <si>
    <t>SV.TAINTED.ALLOC_SIZE</t>
  </si>
  <si>
    <t>Use of Unvalidated Integer in Memory Allocation</t>
  </si>
  <si>
    <t>SV.TAINTED.BINOP</t>
  </si>
  <si>
    <t>Use of Unvalidated Integer in Binary Operation</t>
  </si>
  <si>
    <t>SV.TAINTED.CALL.BINOP</t>
  </si>
  <si>
    <t>Dereference Of An Unvalidated Pointer</t>
  </si>
  <si>
    <t>SV.TAINTED.CALL.GLOBAL</t>
  </si>
  <si>
    <t>Use of Unvalidated Integer in an Assignment Operation</t>
  </si>
  <si>
    <t>SV.TAINTED.CALL.INDEX_ACCESS</t>
  </si>
  <si>
    <t>Use of Unvalidated Integer as Array Index by Function Call</t>
  </si>
  <si>
    <t>SV.TAINTED.CALL.LOOP_BOUND</t>
  </si>
  <si>
    <t>Use of Unvalidated Integer in Loop Condition through a Function Call</t>
  </si>
  <si>
    <t>SV.TAINTED.DEREF</t>
  </si>
  <si>
    <t>SV.TAINTED.FMTSTR</t>
  </si>
  <si>
    <t>Use of Unvalidated Data in a Format String</t>
  </si>
  <si>
    <t>SV.TAINTED.GLOBAL</t>
  </si>
  <si>
    <t>SV.TAINTED.INDEX_ACCESS</t>
  </si>
  <si>
    <t>Use of Unvalidated Integer as Array Index</t>
  </si>
  <si>
    <t>SV.TAINTED.INJECTION</t>
  </si>
  <si>
    <t>Command Injection</t>
  </si>
  <si>
    <t>SV.TAINTED.LOOP_BOUND</t>
  </si>
  <si>
    <t>Use of Unvalidated Integer in Loop Condition</t>
  </si>
  <si>
    <t>SV.TAINTED.PATH_TRAVERSAL</t>
  </si>
  <si>
    <t>Use of Unvalidated Data in a Path Traversal</t>
  </si>
  <si>
    <t>SV.TAINTED.SECURITY_DECISION</t>
  </si>
  <si>
    <t>Security Decision</t>
  </si>
  <si>
    <t>SV.TAINTED.XSS.REFLECTED</t>
  </si>
  <si>
    <t>Cross-site Scripting Vulnerability</t>
  </si>
  <si>
    <t>SV.TOCTOU.FILE_ACCESS</t>
  </si>
  <si>
    <t>Time of Creation/Time of Use Race condition in File Access</t>
  </si>
  <si>
    <t>SV.UNBOUND_STRING_INPUT.CIN</t>
  </si>
  <si>
    <t>Usage of cin for unbounded string input</t>
  </si>
  <si>
    <t>SV.UNBOUND_STRING_INPUT.FUNC</t>
  </si>
  <si>
    <t>Usage of unbounded string input</t>
  </si>
  <si>
    <t>SV.USAGERULES.PERMISSIONS</t>
  </si>
  <si>
    <t>Use of Privilege Elevation</t>
  </si>
  <si>
    <t>SV.USAGERULES.PROCESS_VARIANTS</t>
  </si>
  <si>
    <t>Use of Dangerous Process Creation Function</t>
  </si>
  <si>
    <t>SV.USAGERULES.SPOOFING</t>
  </si>
  <si>
    <t>Use of Function Susceptible to Spoofing</t>
  </si>
  <si>
    <t>SV.WEAK_CRYPTO.WEAK_HASH</t>
  </si>
  <si>
    <t>Weak Hash Function</t>
  </si>
  <si>
    <t>UFM.DEREF.MIGHT</t>
  </si>
  <si>
    <t>Use of free memory (access) - possible</t>
  </si>
  <si>
    <t>UFM.DEREF.MUST</t>
  </si>
  <si>
    <t>Use of Freed Memory by Pointer</t>
  </si>
  <si>
    <t>UFM.FFM.MIGHT</t>
  </si>
  <si>
    <t>Use of free memory (double free) - possible</t>
  </si>
  <si>
    <t>UFM.FFM.MUST</t>
  </si>
  <si>
    <t>Freeing Freed Memory</t>
  </si>
  <si>
    <t>UFM.RETURN.MIGHT</t>
  </si>
  <si>
    <t>Use of freed memory (return) - possible</t>
  </si>
  <si>
    <t>UFM.RETURN.MUST</t>
  </si>
  <si>
    <t>Use of Freed Memory on Return</t>
  </si>
  <si>
    <t>UFM.USE.MIGHT</t>
  </si>
  <si>
    <t>Use of free memory - possible</t>
  </si>
  <si>
    <t>UFM.USE.MUST</t>
  </si>
  <si>
    <t>Use of Freed Memory</t>
  </si>
  <si>
    <t>UNINIT.CTOR.MIGHT</t>
  </si>
  <si>
    <t>Uninitialized Variable in Constructor - possible</t>
  </si>
  <si>
    <t>UNINIT.CTOR.MUST</t>
  </si>
  <si>
    <t>Uninitialized Variable in Constructor</t>
  </si>
  <si>
    <t>UNINIT.HEAP.MIGHT</t>
  </si>
  <si>
    <t>Uninitialized Heap Use - possible</t>
  </si>
  <si>
    <t>UNINIT.HEAP.MUST</t>
  </si>
  <si>
    <t>Uninitialized Heap Use</t>
  </si>
  <si>
    <t>UNINIT.STACK.ARRAY.MIGHT</t>
  </si>
  <si>
    <t>Uninitialized Array - possible</t>
  </si>
  <si>
    <t>UNINIT.STACK.ARRAY.MUST</t>
  </si>
  <si>
    <t>Uninitialized Array</t>
  </si>
  <si>
    <t>UNINIT.STACK.ARRAY.PARTIAL.MUST</t>
  </si>
  <si>
    <t>Partially Uninitialized Array</t>
  </si>
  <si>
    <t>Uninitialized Variable - possible</t>
  </si>
  <si>
    <t>Uninitialized Variable</t>
  </si>
  <si>
    <t>Unreachable code</t>
  </si>
  <si>
    <t>UNREACH.RETURN</t>
  </si>
  <si>
    <t>Unreachable Void Return</t>
  </si>
  <si>
    <t>UNREACH.SIZEOF</t>
  </si>
  <si>
    <t>Architecture-related unreachable code</t>
  </si>
  <si>
    <t>UNUSED.FUNC.GEN</t>
  </si>
  <si>
    <t>Function defined but not used</t>
  </si>
  <si>
    <t>UNUSED.FUNC.STL_EMPTY</t>
  </si>
  <si>
    <t>Ignored return value of an STL object empty() method</t>
  </si>
  <si>
    <t>UNUSED.FUNC.WARN</t>
  </si>
  <si>
    <t>Potential unused function</t>
  </si>
  <si>
    <t>Value is Never Used after Assignment</t>
  </si>
  <si>
    <t>Value is Never Used after Initialization</t>
  </si>
  <si>
    <t>VOIDRET</t>
  </si>
  <si>
    <t>Void function returns value</t>
  </si>
  <si>
    <t>paths</t>
  </si>
  <si>
    <t>tags</t>
  </si>
  <si>
    <t>['**/drivers/*', '**/drivers/hw_include/**']</t>
  </si>
  <si>
    <t>['**/source/board/**']</t>
  </si>
  <si>
    <t>['**/source/kernel/dpl/**']</t>
  </si>
  <si>
    <t>['**/source/kernel/freertos/dpl/**', '**/source/kernel/freertos/portable/**', '**/source/kernel/freertos/config/**']</t>
  </si>
  <si>
    <t>['**/source/kernel/nortos/**']</t>
  </si>
  <si>
    <t>['**/drivers/adc/**']</t>
  </si>
  <si>
    <t>['**/drivers/bootloader/**']</t>
  </si>
  <si>
    <t>['**/drivers/crc/**']</t>
  </si>
  <si>
    <t>['**/drivers/epwm/**']</t>
  </si>
  <si>
    <t>['**/drivers/ecap/**']</t>
  </si>
  <si>
    <t>['**/drivers/eqep/**']</t>
  </si>
  <si>
    <t>['**/drivers/pinmux/**']</t>
  </si>
  <si>
    <t>['**/drivers/soc/**']</t>
  </si>
  <si>
    <t>['**/drivers/uart/**']</t>
  </si>
  <si>
    <t>['**/drivers/i2c/**']</t>
  </si>
  <si>
    <t>['**/drivers/mcspi/**']</t>
  </si>
  <si>
    <t>['**/drivers/fsi/**']</t>
  </si>
  <si>
    <t>['**/drivers/gpio/**']</t>
  </si>
  <si>
    <t>['**/drivers/ipc_notify/**']</t>
  </si>
  <si>
    <t>['**/drivers/ipc_rpmsg/**']</t>
  </si>
  <si>
    <t>['**/drivers/mcan/**']</t>
  </si>
  <si>
    <t>['**/drivers/qspi/**']</t>
  </si>
  <si>
    <t>['**/drivers/spinlock/**']</t>
  </si>
  <si>
    <t>['**/source/kernel/freertos/FreeRTOS-Kernel/**']</t>
  </si>
  <si>
    <t>['**/source/kernel/freertos/FreeRTOS-POSIX/**']</t>
  </si>
  <si>
    <t>['**/drivers/edma/**']</t>
  </si>
  <si>
    <t>['**/drivers/dac/**']</t>
  </si>
  <si>
    <t>['**/drivers/cmpss/**']</t>
  </si>
  <si>
    <t>['**/drivers/mdio/**']</t>
  </si>
  <si>
    <t>['**/drivers/mpu_firewall/**']</t>
  </si>
  <si>
    <t>['**/drivers/pruicss/**']</t>
  </si>
  <si>
    <t>['**/drivers/sdfm/**']</t>
  </si>
  <si>
    <t>['**/drivers/watchdog/**']</t>
  </si>
  <si>
    <t>['**/source/industrial_comms/**']</t>
  </si>
  <si>
    <t>['**/source/networking/enet/**']</t>
  </si>
  <si>
    <t>['**/source/networking/icss_emac/**']</t>
  </si>
  <si>
    <t>['**/source/networking/lwip/lwip-contrib/**']</t>
  </si>
  <si>
    <t>['**/source/networking/lwip/lwip-stack/**']</t>
  </si>
  <si>
    <t>['**/source/networking/lwip/lwip-config/**', '**/source/networking/lwip/lwip-port/**']</t>
  </si>
  <si>
    <t>['**/drivers/mmcsd/**']</t>
  </si>
  <si>
    <t>['/datalocal/mcusdk_jenkin_build/mcusdk_kw_build_am263x/release_area/mcu_plus_sdk/source/sdl/dcc/']</t>
  </si>
  <si>
    <t>['DCC']</t>
  </si>
  <si>
    <t>['/datalocal/mcusdk_jenkin_build/mcusdk_kw_build_am263x/release_area/mcu_plus_sdk/source/sdl/dpl/']</t>
  </si>
  <si>
    <t>['DPL']</t>
  </si>
  <si>
    <t>['/datalocal/mcusdk_jenkin_build/mcusdk_kw_build_am263x/release_area/mcu_plus_sdk/source/sdl/ecc/']</t>
  </si>
  <si>
    <t>['ECC']</t>
  </si>
  <si>
    <t>['/datalocal/mcusdk_jenkin_build/mcusdk_kw_build_am263x/release_area/mcu_plus_sdk/source/sdl/ecc_bus_safety/']</t>
  </si>
  <si>
    <t>['ECC_BUS_SAFETY']</t>
  </si>
  <si>
    <t>['/datalocal/mcusdk_jenkin_build/mcusdk_kw_build_am263x/release_area/mcu_plus_sdk/source/sdl/esm/']</t>
  </si>
  <si>
    <t>['esm']</t>
  </si>
  <si>
    <t>['/datalocal/mcusdk_jenkin_build/mcusdk_kw_build_am263x/release_area/mcu_plus_sdk/source/sdl/include/']</t>
  </si>
  <si>
    <t>['include']</t>
  </si>
  <si>
    <t>['/datalocal/mcusdk_jenkin_build/mcusdk_kw_build_am263x/release_area/mcu_plus_sdk/source/sdl/mcrc/']</t>
  </si>
  <si>
    <t>['MCRC']</t>
  </si>
  <si>
    <t>['/datalocal/mcusdk_jenkin_build/mcusdk_kw_build_am263x/release_area/mcu_plus_sdk/source/sdl/pbist/']</t>
  </si>
  <si>
    <t>['PBIST']</t>
  </si>
  <si>
    <t>['/datalocal/mcusdk_jenkin_build/mcusdk_kw_build_am263x/release_area/mcu_plus_sdk/source/sdl/r5/']</t>
  </si>
  <si>
    <t>['R5']</t>
  </si>
  <si>
    <t>['/datalocal/mcusdk_jenkin_build/mcusdk_kw_build_am263x/release_area/mcu_plus_sdk/source/sdl/rti/']</t>
  </si>
  <si>
    <t>['RTI']</t>
  </si>
  <si>
    <t>['/datalocal/mcusdk_jenkin_build/mcusdk_kw_build_am263x/release_area/mcu_plus_sdk/source/sdl/stc/']</t>
  </si>
  <si>
    <t>['STC']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</si>
</sst>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5E4F7"/>
      </patternFill>
    </fill>
    <fill>
      <patternFill patternType="solid">
        <fgColor rgb="FF215967"/>
      </patternFill>
    </fill>
    <fill>
      <patternFill patternType="solid">
        <fgColor rgb="FFC4D79B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206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"/>
    </sheetView>
  </sheetViews>
  <sheetFormatPr defaultRowHeight="15" x14ac:dyDescent="0.25"/>
  <cols>
    <col min="1" max="1" width="10" customWidth="1"/>
    <col min="2" max="2" width="35" customWidth="1"/>
    <col min="3" max="3" width="80" customWidth="1"/>
  </cols>
  <sheetData>
    <row r="1" spans="1:3" x14ac:dyDescent="0.25">
      <c r="A1" s="12" t="s">
        <v>0</v>
      </c>
      <c r="B1" s="13"/>
      <c r="C1" s="13"/>
    </row>
    <row r="2" spans="1:3" x14ac:dyDescent="0.25">
      <c r="A2" s="14" t="s">
        <v>1</v>
      </c>
      <c r="B2" s="15"/>
      <c r="C2" s="15"/>
    </row>
    <row r="3" spans="1:3" x14ac:dyDescent="0.25">
      <c r="A3" s="1"/>
      <c r="B3" s="1"/>
      <c r="C3" s="1"/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1">
        <v>1</v>
      </c>
      <c r="B5" s="1" t="s">
        <v>5</v>
      </c>
      <c r="C5" s="1" t="s">
        <v>6</v>
      </c>
    </row>
    <row r="6" spans="1:3" x14ac:dyDescent="0.25">
      <c r="A6" s="1">
        <v>2</v>
      </c>
      <c r="B6" s="1" t="s">
        <v>7</v>
      </c>
      <c r="C6" s="1" t="s">
        <v>8</v>
      </c>
    </row>
    <row r="7" spans="1:3" ht="30" x14ac:dyDescent="0.25">
      <c r="A7" s="1">
        <v>3</v>
      </c>
      <c r="B7" s="1" t="s">
        <v>9</v>
      </c>
      <c r="C7" s="1" t="s">
        <v>10</v>
      </c>
    </row>
    <row r="8" spans="1:3" x14ac:dyDescent="0.25">
      <c r="A8" s="1">
        <v>4</v>
      </c>
      <c r="B8" s="1" t="s">
        <v>11</v>
      </c>
      <c r="C8" s="1" t="s">
        <v>12</v>
      </c>
    </row>
    <row r="9" spans="1:3" ht="30" x14ac:dyDescent="0.25">
      <c r="A9" s="1">
        <v>5</v>
      </c>
      <c r="B9" s="1" t="s">
        <v>13</v>
      </c>
      <c r="C9" s="1" t="s">
        <v>14</v>
      </c>
    </row>
    <row r="10" spans="1:3" x14ac:dyDescent="0.25">
      <c r="A10" s="1">
        <v>6</v>
      </c>
      <c r="B10" s="1" t="s">
        <v>15</v>
      </c>
      <c r="C10" s="1" t="s">
        <v>16</v>
      </c>
    </row>
    <row r="11" spans="1:3" x14ac:dyDescent="0.25">
      <c r="A11" s="1">
        <v>7</v>
      </c>
      <c r="B11" s="1" t="s">
        <v>17</v>
      </c>
      <c r="C11" s="1" t="s">
        <v>18</v>
      </c>
    </row>
    <row r="12" spans="1:3" ht="30" x14ac:dyDescent="0.25">
      <c r="A12" s="1">
        <v>8</v>
      </c>
      <c r="B12" s="1" t="s">
        <v>19</v>
      </c>
      <c r="C12" s="1" t="s">
        <v>20</v>
      </c>
    </row>
  </sheetData>
  <mergeCells count="2">
    <mergeCell ref="A1:C1"/>
    <mergeCell ref="A2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5" x14ac:dyDescent="0.25"/>
  <cols>
    <col min="1" max="3" width="25" customWidth="1"/>
    <col min="4" max="4" width="24" customWidth="1"/>
    <col min="5" max="5" width="20" customWidth="1"/>
    <col min="6" max="6" width="35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ht="30" x14ac:dyDescent="0.25">
      <c r="A2" s="1" t="s">
        <v>27</v>
      </c>
      <c r="B2" s="1" t="s">
        <v>28</v>
      </c>
      <c r="C2" s="1" t="s">
        <v>29</v>
      </c>
      <c r="D2" s="1"/>
      <c r="E2" s="1" t="s">
        <v>30</v>
      </c>
      <c r="F2" s="1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/>
  </sheetViews>
  <sheetFormatPr defaultRowHeight="15" x14ac:dyDescent="0.25"/>
  <cols>
    <col min="1" max="1" width="20" customWidth="1"/>
    <col min="2" max="2" width="13" customWidth="1"/>
    <col min="3" max="3" width="12" customWidth="1"/>
    <col min="4" max="4" width="6.7109375" customWidth="1"/>
    <col min="5" max="5" width="16" customWidth="1"/>
    <col min="6" max="9" width="10" customWidth="1"/>
    <col min="10" max="10" width="10.42578125" customWidth="1"/>
    <col min="11" max="11" width="40" customWidth="1"/>
    <col min="12" max="12" width="9" customWidth="1"/>
  </cols>
  <sheetData>
    <row r="1" spans="1:12" ht="45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ht="45" x14ac:dyDescent="0.25">
      <c r="A2" s="1" t="s">
        <v>29</v>
      </c>
      <c r="B2" s="1">
        <v>1179</v>
      </c>
      <c r="C2" s="1" t="s">
        <v>44</v>
      </c>
      <c r="D2" s="1">
        <v>196347</v>
      </c>
      <c r="E2" s="1">
        <v>213849</v>
      </c>
      <c r="F2" s="1">
        <v>3221</v>
      </c>
      <c r="G2" s="1">
        <v>153801</v>
      </c>
      <c r="H2" s="1">
        <v>1244</v>
      </c>
      <c r="I2" s="1">
        <v>7182</v>
      </c>
      <c r="J2" s="1">
        <v>65</v>
      </c>
      <c r="K2" s="1" t="s">
        <v>45</v>
      </c>
      <c r="L2" s="1" t="s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F11" sqref="F11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47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60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61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6" t="s">
        <v>63</v>
      </c>
      <c r="B5" s="1">
        <v>0</v>
      </c>
      <c r="C5" s="11">
        <v>0</v>
      </c>
      <c r="D5" s="1">
        <v>281</v>
      </c>
      <c r="E5" s="7">
        <v>13</v>
      </c>
      <c r="F5" s="1">
        <v>13</v>
      </c>
      <c r="G5" s="1">
        <v>2</v>
      </c>
      <c r="H5" s="1">
        <v>42</v>
      </c>
      <c r="I5" s="1">
        <v>224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6" t="s">
        <v>64</v>
      </c>
      <c r="B6" s="1">
        <v>0</v>
      </c>
      <c r="C6" s="1">
        <v>0</v>
      </c>
      <c r="D6" s="1">
        <v>14</v>
      </c>
      <c r="E6" s="7">
        <v>2</v>
      </c>
      <c r="F6" s="1">
        <v>2</v>
      </c>
      <c r="G6" s="1">
        <v>2</v>
      </c>
      <c r="H6" s="1">
        <v>0</v>
      </c>
      <c r="I6" s="1">
        <v>10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6" t="s">
        <v>65</v>
      </c>
      <c r="B7" s="1">
        <v>5</v>
      </c>
      <c r="C7" s="7">
        <v>5</v>
      </c>
      <c r="D7" s="1">
        <v>2955</v>
      </c>
      <c r="E7" s="7">
        <v>2896</v>
      </c>
      <c r="F7" s="1">
        <v>2901</v>
      </c>
      <c r="G7" s="1">
        <v>57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6" t="s">
        <v>66</v>
      </c>
      <c r="B8" s="1">
        <v>0</v>
      </c>
      <c r="C8" s="1">
        <v>0</v>
      </c>
      <c r="D8" s="1">
        <v>291</v>
      </c>
      <c r="E8" s="7">
        <v>289</v>
      </c>
      <c r="F8" s="1">
        <v>289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67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8" t="s">
        <v>68</v>
      </c>
      <c r="B10" s="8">
        <v>6</v>
      </c>
      <c r="C10" s="8">
        <v>6</v>
      </c>
      <c r="D10" s="8">
        <v>3541</v>
      </c>
      <c r="E10" s="8">
        <v>3207</v>
      </c>
      <c r="F10" s="8">
        <v>3205</v>
      </c>
      <c r="G10" s="8">
        <v>63</v>
      </c>
      <c r="H10" s="8">
        <v>44</v>
      </c>
      <c r="I10" s="8">
        <v>234</v>
      </c>
      <c r="J10" s="8">
        <v>0</v>
      </c>
      <c r="K10" s="8">
        <v>0</v>
      </c>
      <c r="L10" s="8">
        <v>0</v>
      </c>
      <c r="M10" s="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3"/>
  <sheetViews>
    <sheetView topLeftCell="A14" workbookViewId="0">
      <selection activeCell="I27" sqref="I27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69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71</v>
      </c>
      <c r="B3" s="1">
        <v>0</v>
      </c>
      <c r="C3" s="1">
        <v>0</v>
      </c>
      <c r="D3" s="1">
        <v>25</v>
      </c>
      <c r="E3" s="7">
        <v>25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72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30" x14ac:dyDescent="0.25">
      <c r="A5" s="6" t="s">
        <v>73</v>
      </c>
      <c r="B5" s="1">
        <v>0</v>
      </c>
      <c r="C5" s="1">
        <v>0</v>
      </c>
      <c r="D5" s="1">
        <v>1</v>
      </c>
      <c r="E5" s="7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30" x14ac:dyDescent="0.25">
      <c r="A6" s="6" t="s">
        <v>74</v>
      </c>
      <c r="B6" s="1">
        <v>0</v>
      </c>
      <c r="C6" s="1">
        <v>0</v>
      </c>
      <c r="D6" s="1">
        <v>40</v>
      </c>
      <c r="E6" s="7">
        <v>31</v>
      </c>
      <c r="F6" s="1">
        <v>31</v>
      </c>
      <c r="G6" s="1">
        <v>8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6" t="s">
        <v>75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30" x14ac:dyDescent="0.25">
      <c r="A8" s="6" t="s">
        <v>76</v>
      </c>
      <c r="B8" s="1">
        <v>0</v>
      </c>
      <c r="C8" s="1">
        <v>0</v>
      </c>
      <c r="D8" s="1">
        <v>50</v>
      </c>
      <c r="E8" s="7">
        <v>47</v>
      </c>
      <c r="F8" s="1">
        <v>47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77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6" t="s">
        <v>78</v>
      </c>
      <c r="B10" s="1">
        <v>0</v>
      </c>
      <c r="C10" s="1">
        <v>0</v>
      </c>
      <c r="D10" s="1">
        <v>4</v>
      </c>
      <c r="E10" s="7">
        <v>4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6" t="s">
        <v>79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6" t="s">
        <v>80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6" t="s">
        <v>81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6" t="s">
        <v>82</v>
      </c>
      <c r="B14" s="1">
        <v>0</v>
      </c>
      <c r="C14" s="1">
        <v>0</v>
      </c>
      <c r="D14" s="1">
        <v>23</v>
      </c>
      <c r="E14" s="7">
        <v>23</v>
      </c>
      <c r="F14" s="1">
        <v>23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6" t="s">
        <v>83</v>
      </c>
      <c r="B15" s="1">
        <v>0</v>
      </c>
      <c r="C15" s="1">
        <v>0</v>
      </c>
      <c r="D15" s="1">
        <v>21</v>
      </c>
      <c r="E15" s="7">
        <v>21</v>
      </c>
      <c r="F15" s="1">
        <v>21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6" t="s">
        <v>84</v>
      </c>
      <c r="B16" s="1">
        <v>0</v>
      </c>
      <c r="C16" s="1">
        <v>0</v>
      </c>
      <c r="D16" s="1">
        <v>19</v>
      </c>
      <c r="E16" s="7">
        <v>19</v>
      </c>
      <c r="F16" s="1">
        <v>19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6" t="s">
        <v>85</v>
      </c>
      <c r="B17" s="1">
        <v>0</v>
      </c>
      <c r="C17" s="1">
        <v>0</v>
      </c>
      <c r="D17" s="1">
        <v>29</v>
      </c>
      <c r="E17" s="7">
        <v>29</v>
      </c>
      <c r="F17" s="1">
        <v>29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6" t="s">
        <v>86</v>
      </c>
      <c r="B18" s="1">
        <v>0</v>
      </c>
      <c r="C18" s="1">
        <v>0</v>
      </c>
      <c r="D18" s="1">
        <v>7</v>
      </c>
      <c r="E18" s="7">
        <v>7</v>
      </c>
      <c r="F18" s="1">
        <v>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6" t="s">
        <v>87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ht="30" x14ac:dyDescent="0.25">
      <c r="A20" s="6" t="s">
        <v>88</v>
      </c>
      <c r="B20" s="1">
        <v>0</v>
      </c>
      <c r="C20" s="1">
        <v>0</v>
      </c>
      <c r="D20" s="1">
        <v>5</v>
      </c>
      <c r="E20" s="7">
        <v>3</v>
      </c>
      <c r="F20" s="1">
        <v>3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ht="30" x14ac:dyDescent="0.25">
      <c r="A21" s="6" t="s">
        <v>89</v>
      </c>
      <c r="B21" s="1">
        <v>0</v>
      </c>
      <c r="C21" s="1">
        <v>0</v>
      </c>
      <c r="D21" s="1">
        <v>7</v>
      </c>
      <c r="E21" s="7">
        <v>7</v>
      </c>
      <c r="F21" s="1">
        <v>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6" t="s">
        <v>90</v>
      </c>
      <c r="B22" s="1">
        <v>0</v>
      </c>
      <c r="C22" s="1">
        <v>0</v>
      </c>
      <c r="D22" s="1">
        <v>1</v>
      </c>
      <c r="E22" s="7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6" t="s">
        <v>91</v>
      </c>
      <c r="B23" s="1">
        <v>0</v>
      </c>
      <c r="C23" s="1">
        <v>0</v>
      </c>
      <c r="D23" s="1">
        <v>7</v>
      </c>
      <c r="E23" s="7">
        <v>7</v>
      </c>
      <c r="F23" s="1">
        <v>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ht="30" x14ac:dyDescent="0.25">
      <c r="A24" s="6" t="s">
        <v>92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ht="30" x14ac:dyDescent="0.25">
      <c r="A25" s="6" t="s">
        <v>93</v>
      </c>
      <c r="B25" s="1">
        <v>0</v>
      </c>
      <c r="C25" s="1">
        <v>0</v>
      </c>
      <c r="D25" s="1">
        <v>58</v>
      </c>
      <c r="E25" s="7">
        <v>50</v>
      </c>
      <c r="F25" s="1">
        <v>50</v>
      </c>
      <c r="G25" s="1">
        <v>0</v>
      </c>
      <c r="H25" s="1">
        <v>0</v>
      </c>
      <c r="I25" s="1">
        <v>8</v>
      </c>
      <c r="J25" s="1">
        <v>0</v>
      </c>
      <c r="K25" s="1">
        <v>0</v>
      </c>
      <c r="L25" s="1">
        <v>0</v>
      </c>
      <c r="M25" s="1">
        <v>0</v>
      </c>
    </row>
    <row r="26" spans="1:13" ht="30" x14ac:dyDescent="0.25">
      <c r="A26" s="6" t="s">
        <v>94</v>
      </c>
      <c r="B26" s="1">
        <v>0</v>
      </c>
      <c r="C26" s="1">
        <v>0</v>
      </c>
      <c r="D26" s="1">
        <v>51</v>
      </c>
      <c r="E26" s="7">
        <v>49</v>
      </c>
      <c r="F26" s="1">
        <v>49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6" t="s">
        <v>95</v>
      </c>
      <c r="B27" s="1">
        <v>0</v>
      </c>
      <c r="C27" s="1">
        <v>0</v>
      </c>
      <c r="D27" s="1">
        <v>17</v>
      </c>
      <c r="E27" s="7">
        <v>12</v>
      </c>
      <c r="F27" s="1">
        <v>12</v>
      </c>
      <c r="G27" s="1">
        <v>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6" t="s">
        <v>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6" t="s">
        <v>97</v>
      </c>
      <c r="B29" s="1">
        <v>0</v>
      </c>
      <c r="C29" s="1">
        <v>0</v>
      </c>
      <c r="D29" s="1">
        <v>1</v>
      </c>
      <c r="E29" s="7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5">
      <c r="A30" s="6" t="s">
        <v>98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ht="30" x14ac:dyDescent="0.25">
      <c r="A31" s="6" t="s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5">
      <c r="A32" s="6" t="s">
        <v>100</v>
      </c>
      <c r="B32" s="1">
        <v>0</v>
      </c>
      <c r="C32" s="1">
        <v>0</v>
      </c>
      <c r="D32" s="1">
        <v>8</v>
      </c>
      <c r="E32" s="7">
        <v>8</v>
      </c>
      <c r="F32" s="1">
        <v>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6" t="s">
        <v>101</v>
      </c>
      <c r="B33" s="1">
        <v>0</v>
      </c>
      <c r="C33" s="1">
        <v>0</v>
      </c>
      <c r="D33" s="1">
        <v>4</v>
      </c>
      <c r="E33" s="7">
        <v>4</v>
      </c>
      <c r="F33" s="1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ht="30" x14ac:dyDescent="0.25">
      <c r="A34" s="6" t="s">
        <v>102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ht="30" x14ac:dyDescent="0.25">
      <c r="A35" s="6" t="s">
        <v>103</v>
      </c>
      <c r="B35" s="1">
        <v>0</v>
      </c>
      <c r="C35" s="1">
        <v>0</v>
      </c>
      <c r="D35" s="1">
        <v>11</v>
      </c>
      <c r="E35" s="7">
        <v>11</v>
      </c>
      <c r="F35" s="1">
        <v>11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ht="30" x14ac:dyDescent="0.25">
      <c r="A36" s="6" t="s">
        <v>104</v>
      </c>
      <c r="B36" s="1">
        <v>0</v>
      </c>
      <c r="C36" s="1">
        <v>0</v>
      </c>
      <c r="D36" s="1">
        <v>366</v>
      </c>
      <c r="E36" s="7">
        <v>359</v>
      </c>
      <c r="F36" s="1">
        <v>359</v>
      </c>
      <c r="G36" s="1">
        <v>0</v>
      </c>
      <c r="H36" s="1">
        <v>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ht="30" x14ac:dyDescent="0.25">
      <c r="A37" s="6" t="s">
        <v>105</v>
      </c>
      <c r="B37" s="1">
        <v>0</v>
      </c>
      <c r="C37" s="1">
        <v>0</v>
      </c>
      <c r="D37" s="1">
        <v>70</v>
      </c>
      <c r="E37" s="7">
        <v>69</v>
      </c>
      <c r="F37" s="1">
        <v>69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ht="30" x14ac:dyDescent="0.25">
      <c r="A38" s="6" t="s">
        <v>106</v>
      </c>
      <c r="B38" s="1">
        <v>0</v>
      </c>
      <c r="C38" s="1">
        <v>0</v>
      </c>
      <c r="D38" s="1">
        <v>90</v>
      </c>
      <c r="E38" s="7">
        <v>63</v>
      </c>
      <c r="F38" s="1">
        <v>63</v>
      </c>
      <c r="G38" s="1">
        <v>0</v>
      </c>
      <c r="H38" s="1">
        <v>0</v>
      </c>
      <c r="I38" s="1">
        <v>27</v>
      </c>
      <c r="J38" s="1">
        <v>0</v>
      </c>
      <c r="K38" s="1">
        <v>0</v>
      </c>
      <c r="L38" s="1">
        <v>0</v>
      </c>
      <c r="M38" s="1">
        <v>0</v>
      </c>
    </row>
    <row r="39" spans="1:13" ht="30" x14ac:dyDescent="0.25">
      <c r="A39" s="6" t="s">
        <v>107</v>
      </c>
      <c r="B39" s="1">
        <v>0</v>
      </c>
      <c r="C39" s="1">
        <v>0</v>
      </c>
      <c r="D39" s="1">
        <v>1334</v>
      </c>
      <c r="E39" s="7">
        <v>1145</v>
      </c>
      <c r="F39" s="1">
        <v>1145</v>
      </c>
      <c r="G39" s="1">
        <v>0</v>
      </c>
      <c r="H39" s="1">
        <v>0</v>
      </c>
      <c r="I39" s="1">
        <v>189</v>
      </c>
      <c r="J39" s="1">
        <v>0</v>
      </c>
      <c r="K39" s="1">
        <v>0</v>
      </c>
      <c r="L39" s="1">
        <v>0</v>
      </c>
      <c r="M39" s="1">
        <v>0</v>
      </c>
    </row>
    <row r="40" spans="1:13" ht="30" x14ac:dyDescent="0.25">
      <c r="A40" s="6" t="s">
        <v>108</v>
      </c>
      <c r="B40" s="1">
        <v>0</v>
      </c>
      <c r="C40" s="1">
        <v>0</v>
      </c>
      <c r="D40" s="1">
        <v>55</v>
      </c>
      <c r="E40" s="7">
        <v>24</v>
      </c>
      <c r="F40" s="1">
        <v>24</v>
      </c>
      <c r="G40" s="1">
        <v>0</v>
      </c>
      <c r="H40" s="1">
        <v>31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25">
      <c r="A41" s="6" t="s">
        <v>109</v>
      </c>
      <c r="B41" s="1">
        <v>4</v>
      </c>
      <c r="C41" s="7">
        <v>4</v>
      </c>
      <c r="D41" s="1">
        <v>42</v>
      </c>
      <c r="E41" s="7">
        <v>42</v>
      </c>
      <c r="F41" s="1">
        <v>46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5">
      <c r="A42" s="6" t="s">
        <v>110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25">
      <c r="A43" s="6" t="s">
        <v>111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25">
      <c r="A44" s="6" t="s">
        <v>112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ht="30" x14ac:dyDescent="0.25">
      <c r="A45" s="6" t="s">
        <v>113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5">
      <c r="A46" s="6" t="s">
        <v>114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6" t="s">
        <v>115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6" t="s">
        <v>116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s="6" t="s">
        <v>117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s="6" t="s">
        <v>118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5">
      <c r="A51" s="6" t="s">
        <v>119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6" t="s">
        <v>120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s="8" t="s">
        <v>68</v>
      </c>
      <c r="B53" s="8">
        <v>4</v>
      </c>
      <c r="C53" s="8">
        <v>4</v>
      </c>
      <c r="D53" s="8">
        <v>2346</v>
      </c>
      <c r="E53" s="8">
        <v>2063</v>
      </c>
      <c r="F53" s="8">
        <v>2059</v>
      </c>
      <c r="G53" s="8">
        <v>16</v>
      </c>
      <c r="H53" s="8">
        <v>41</v>
      </c>
      <c r="I53" s="8">
        <v>234</v>
      </c>
      <c r="J53" s="8">
        <v>0</v>
      </c>
      <c r="K53" s="8">
        <v>0</v>
      </c>
      <c r="L53" s="8">
        <v>0</v>
      </c>
      <c r="M53" s="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47"/>
  <sheetViews>
    <sheetView workbookViewId="0">
      <selection activeCell="G3533" sqref="A3533:XFD3533"/>
    </sheetView>
  </sheetViews>
  <sheetFormatPr defaultRowHeight="15" x14ac:dyDescent="0.25"/>
  <cols>
    <col min="1" max="1" width="18" customWidth="1"/>
    <col min="2" max="2" width="20" customWidth="1"/>
    <col min="3" max="3" width="23" customWidth="1"/>
    <col min="4" max="5" width="6" customWidth="1"/>
    <col min="6" max="6" width="23" customWidth="1"/>
    <col min="7" max="7" width="10" customWidth="1"/>
    <col min="8" max="8" width="8" customWidth="1"/>
    <col min="9" max="9" width="16" customWidth="1"/>
    <col min="10" max="10" width="12" customWidth="1"/>
    <col min="11" max="11" width="7" customWidth="1"/>
    <col min="12" max="12" width="13" customWidth="1"/>
    <col min="13" max="13" width="15" customWidth="1"/>
    <col min="14" max="14" width="13" customWidth="1"/>
    <col min="15" max="16" width="20" customWidth="1"/>
    <col min="17" max="17" width="23" customWidth="1"/>
    <col min="18" max="18" width="12" customWidth="1"/>
    <col min="19" max="19" width="14" customWidth="1"/>
    <col min="20" max="20" width="23" customWidth="1"/>
  </cols>
  <sheetData>
    <row r="1" spans="1:15" ht="30" x14ac:dyDescent="0.25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9" t="s">
        <v>129</v>
      </c>
      <c r="J1" s="9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10" t="s">
        <v>135</v>
      </c>
    </row>
    <row r="2" spans="1:15" ht="75" x14ac:dyDescent="0.25">
      <c r="A2" s="1" t="s">
        <v>136</v>
      </c>
      <c r="B2" s="1" t="s">
        <v>137</v>
      </c>
      <c r="C2" s="1" t="s">
        <v>138</v>
      </c>
      <c r="D2" s="1">
        <v>556</v>
      </c>
      <c r="E2" s="1">
        <v>156</v>
      </c>
      <c r="F2" s="1" t="s">
        <v>139</v>
      </c>
      <c r="G2" s="1" t="s">
        <v>140</v>
      </c>
      <c r="H2" s="1" t="s">
        <v>141</v>
      </c>
      <c r="I2" s="1" t="s">
        <v>66</v>
      </c>
      <c r="J2" s="1">
        <v>4</v>
      </c>
      <c r="K2" s="1" t="s">
        <v>142</v>
      </c>
      <c r="L2" s="1" t="s">
        <v>143</v>
      </c>
      <c r="M2" s="1" t="s">
        <v>28</v>
      </c>
      <c r="N2" s="1" t="str">
        <f>HYPERLINK("https://klocwork.india.ti.com:443/review/insight-review.html#issuedetails_goto:problemid=556,project=MCU_PLUS_SDK_AM263X,searchquery=taxonomy:'C and C++' build:Build_Apr_13_2023_11_11_AM grouping:off ","KW Issue Link")</f>
        <v>KW Issue Link</v>
      </c>
      <c r="O2" s="1" t="s">
        <v>144</v>
      </c>
    </row>
    <row r="3" spans="1:15" ht="165" x14ac:dyDescent="0.25">
      <c r="A3" s="1" t="s">
        <v>145</v>
      </c>
      <c r="B3" s="1" t="s">
        <v>146</v>
      </c>
      <c r="C3" s="1" t="s">
        <v>138</v>
      </c>
      <c r="D3" s="1">
        <v>558</v>
      </c>
      <c r="E3" s="1">
        <v>203</v>
      </c>
      <c r="F3" s="1" t="s">
        <v>147</v>
      </c>
      <c r="G3" s="1" t="s">
        <v>148</v>
      </c>
      <c r="H3" s="1" t="s">
        <v>141</v>
      </c>
      <c r="I3" s="1" t="s">
        <v>64</v>
      </c>
      <c r="J3" s="1">
        <v>2</v>
      </c>
      <c r="K3" s="1" t="s">
        <v>142</v>
      </c>
      <c r="L3" s="1" t="s">
        <v>143</v>
      </c>
      <c r="M3" s="1" t="s">
        <v>28</v>
      </c>
      <c r="N3" s="1" t="str">
        <f>HYPERLINK("https://klocwork.india.ti.com:443/review/insight-review.html#issuedetails_goto:problemid=558,project=MCU_PLUS_SDK_AM263X,searchquery=taxonomy:'C and C++' build:Build_Apr_13_2023_11_11_AM grouping:off ","KW Issue Link")</f>
        <v>KW Issue Link</v>
      </c>
      <c r="O3" s="1" t="s">
        <v>144</v>
      </c>
    </row>
    <row r="4" spans="1:15" ht="105" x14ac:dyDescent="0.25">
      <c r="A4" s="1" t="s">
        <v>149</v>
      </c>
      <c r="B4" s="1"/>
      <c r="C4" s="1" t="s">
        <v>150</v>
      </c>
      <c r="D4" s="1">
        <v>6292</v>
      </c>
      <c r="E4" s="1">
        <v>143</v>
      </c>
      <c r="F4" s="1" t="s">
        <v>151</v>
      </c>
      <c r="G4" s="1" t="s">
        <v>152</v>
      </c>
      <c r="H4" s="1" t="s">
        <v>141</v>
      </c>
      <c r="I4" s="1" t="s">
        <v>65</v>
      </c>
      <c r="J4" s="1">
        <v>3</v>
      </c>
      <c r="K4" s="1" t="s">
        <v>142</v>
      </c>
      <c r="L4" s="1" t="s">
        <v>153</v>
      </c>
      <c r="M4" s="1" t="s">
        <v>28</v>
      </c>
      <c r="N4" s="1" t="str">
        <f>HYPERLINK("https://klocwork.india.ti.com:443/review/insight-review.html#issuedetails_goto:problemid=6292,project=MCU_PLUS_SDK_AM263X,searchquery=taxonomy:'C and C++' build:Build_Apr_13_2023_11_11_AM grouping:off ","KW Issue Link")</f>
        <v>KW Issue Link</v>
      </c>
      <c r="O4" s="1" t="s">
        <v>154</v>
      </c>
    </row>
    <row r="5" spans="1:15" ht="105" x14ac:dyDescent="0.25">
      <c r="A5" s="1" t="s">
        <v>149</v>
      </c>
      <c r="B5" s="1"/>
      <c r="C5" s="1" t="s">
        <v>150</v>
      </c>
      <c r="D5" s="1">
        <v>6293</v>
      </c>
      <c r="E5" s="1">
        <v>154</v>
      </c>
      <c r="F5" s="1" t="s">
        <v>151</v>
      </c>
      <c r="G5" s="1" t="s">
        <v>152</v>
      </c>
      <c r="H5" s="1" t="s">
        <v>141</v>
      </c>
      <c r="I5" s="1" t="s">
        <v>65</v>
      </c>
      <c r="J5" s="1">
        <v>3</v>
      </c>
      <c r="K5" s="1" t="s">
        <v>142</v>
      </c>
      <c r="L5" s="1" t="s">
        <v>153</v>
      </c>
      <c r="M5" s="1" t="s">
        <v>28</v>
      </c>
      <c r="N5" s="1" t="str">
        <f>HYPERLINK("https://klocwork.india.ti.com:443/review/insight-review.html#issuedetails_goto:problemid=6293,project=MCU_PLUS_SDK_AM263X,searchquery=taxonomy:'C and C++' build:Build_Apr_13_2023_11_11_AM grouping:off ","KW Issue Link")</f>
        <v>KW Issue Link</v>
      </c>
      <c r="O5" s="1" t="s">
        <v>154</v>
      </c>
    </row>
    <row r="6" spans="1:15" ht="105" x14ac:dyDescent="0.25">
      <c r="A6" s="1" t="s">
        <v>155</v>
      </c>
      <c r="B6" s="1"/>
      <c r="C6" s="1" t="s">
        <v>150</v>
      </c>
      <c r="D6" s="1">
        <v>6294</v>
      </c>
      <c r="E6" s="1">
        <v>145</v>
      </c>
      <c r="F6" s="1" t="s">
        <v>156</v>
      </c>
      <c r="G6" s="1" t="s">
        <v>152</v>
      </c>
      <c r="H6" s="1" t="s">
        <v>141</v>
      </c>
      <c r="I6" s="1" t="s">
        <v>65</v>
      </c>
      <c r="J6" s="1">
        <v>3</v>
      </c>
      <c r="K6" s="1" t="s">
        <v>142</v>
      </c>
      <c r="L6" s="1" t="s">
        <v>153</v>
      </c>
      <c r="M6" s="1" t="s">
        <v>28</v>
      </c>
      <c r="N6" s="1" t="str">
        <f>HYPERLINK("https://klocwork.india.ti.com:443/review/insight-review.html#issuedetails_goto:problemid=6294,project=MCU_PLUS_SDK_AM263X,searchquery=taxonomy:'C and C++' build:Build_Apr_13_2023_11_11_AM grouping:off ","KW Issue Link")</f>
        <v>KW Issue Link</v>
      </c>
      <c r="O6" s="1" t="s">
        <v>154</v>
      </c>
    </row>
    <row r="7" spans="1:15" ht="105" x14ac:dyDescent="0.25">
      <c r="A7" s="1" t="s">
        <v>155</v>
      </c>
      <c r="B7" s="1"/>
      <c r="C7" s="1" t="s">
        <v>150</v>
      </c>
      <c r="D7" s="1">
        <v>6295</v>
      </c>
      <c r="E7" s="1">
        <v>156</v>
      </c>
      <c r="F7" s="1" t="s">
        <v>156</v>
      </c>
      <c r="G7" s="1" t="s">
        <v>152</v>
      </c>
      <c r="H7" s="1" t="s">
        <v>141</v>
      </c>
      <c r="I7" s="1" t="s">
        <v>65</v>
      </c>
      <c r="J7" s="1">
        <v>3</v>
      </c>
      <c r="K7" s="1" t="s">
        <v>142</v>
      </c>
      <c r="L7" s="1" t="s">
        <v>153</v>
      </c>
      <c r="M7" s="1" t="s">
        <v>28</v>
      </c>
      <c r="N7" s="1" t="str">
        <f>HYPERLINK("https://klocwork.india.ti.com:443/review/insight-review.html#issuedetails_goto:problemid=6295,project=MCU_PLUS_SDK_AM263X,searchquery=taxonomy:'C and C++' build:Build_Apr_13_2023_11_11_AM grouping:off ","KW Issue Link")</f>
        <v>KW Issue Link</v>
      </c>
      <c r="O7" s="1" t="s">
        <v>154</v>
      </c>
    </row>
    <row r="8" spans="1:15" ht="105" x14ac:dyDescent="0.25">
      <c r="A8" s="1" t="s">
        <v>157</v>
      </c>
      <c r="B8" s="1"/>
      <c r="C8" s="1" t="s">
        <v>150</v>
      </c>
      <c r="D8" s="1">
        <v>6297</v>
      </c>
      <c r="E8" s="1">
        <v>160</v>
      </c>
      <c r="F8" s="1" t="s">
        <v>158</v>
      </c>
      <c r="G8" s="1" t="s">
        <v>152</v>
      </c>
      <c r="H8" s="1" t="s">
        <v>141</v>
      </c>
      <c r="I8" s="1" t="s">
        <v>65</v>
      </c>
      <c r="J8" s="1">
        <v>3</v>
      </c>
      <c r="K8" s="1" t="s">
        <v>142</v>
      </c>
      <c r="L8" s="1" t="s">
        <v>153</v>
      </c>
      <c r="M8" s="1" t="s">
        <v>28</v>
      </c>
      <c r="N8" s="1" t="str">
        <f>HYPERLINK("https://klocwork.india.ti.com:443/review/insight-review.html#issuedetails_goto:problemid=6297,project=MCU_PLUS_SDK_AM263X,searchquery=taxonomy:'C and C++' build:Build_Apr_13_2023_11_11_AM grouping:off ","KW Issue Link")</f>
        <v>KW Issue Link</v>
      </c>
      <c r="O8" s="1" t="s">
        <v>154</v>
      </c>
    </row>
    <row r="9" spans="1:15" ht="105" x14ac:dyDescent="0.25">
      <c r="A9" s="1" t="s">
        <v>149</v>
      </c>
      <c r="B9" s="1"/>
      <c r="C9" s="1" t="s">
        <v>159</v>
      </c>
      <c r="D9" s="1">
        <v>6444</v>
      </c>
      <c r="E9" s="1">
        <v>184</v>
      </c>
      <c r="F9" s="1" t="s">
        <v>151</v>
      </c>
      <c r="G9" s="1" t="s">
        <v>160</v>
      </c>
      <c r="H9" s="1" t="s">
        <v>141</v>
      </c>
      <c r="I9" s="1" t="s">
        <v>65</v>
      </c>
      <c r="J9" s="1">
        <v>3</v>
      </c>
      <c r="K9" s="1" t="s">
        <v>142</v>
      </c>
      <c r="L9" s="1" t="s">
        <v>153</v>
      </c>
      <c r="M9" s="1" t="s">
        <v>28</v>
      </c>
      <c r="N9" s="1" t="str">
        <f>HYPERLINK("https://klocwork.india.ti.com:443/review/insight-review.html#issuedetails_goto:problemid=6444,project=MCU_PLUS_SDK_AM263X,searchquery=taxonomy:'C and C++' build:Build_Apr_13_2023_11_11_AM grouping:off ","KW Issue Link")</f>
        <v>KW Issue Link</v>
      </c>
      <c r="O9" s="1" t="s">
        <v>154</v>
      </c>
    </row>
    <row r="10" spans="1:15" ht="105" x14ac:dyDescent="0.25">
      <c r="A10" s="1" t="s">
        <v>155</v>
      </c>
      <c r="B10" s="1"/>
      <c r="C10" s="1" t="s">
        <v>159</v>
      </c>
      <c r="D10" s="1">
        <v>6445</v>
      </c>
      <c r="E10" s="1">
        <v>186</v>
      </c>
      <c r="F10" s="1" t="s">
        <v>156</v>
      </c>
      <c r="G10" s="1" t="s">
        <v>160</v>
      </c>
      <c r="H10" s="1" t="s">
        <v>141</v>
      </c>
      <c r="I10" s="1" t="s">
        <v>65</v>
      </c>
      <c r="J10" s="1">
        <v>3</v>
      </c>
      <c r="K10" s="1" t="s">
        <v>142</v>
      </c>
      <c r="L10" s="1" t="s">
        <v>153</v>
      </c>
      <c r="M10" s="1" t="s">
        <v>28</v>
      </c>
      <c r="N10" s="1" t="str">
        <f>HYPERLINK("https://klocwork.india.ti.com:443/review/insight-review.html#issuedetails_goto:problemid=6445,project=MCU_PLUS_SDK_AM263X,searchquery=taxonomy:'C and C++' build:Build_Apr_13_2023_11_11_AM grouping:off ","KW Issue Link")</f>
        <v>KW Issue Link</v>
      </c>
      <c r="O10" s="1" t="s">
        <v>154</v>
      </c>
    </row>
    <row r="11" spans="1:15" ht="105" x14ac:dyDescent="0.25">
      <c r="A11" s="1" t="s">
        <v>157</v>
      </c>
      <c r="B11" s="1"/>
      <c r="C11" s="1" t="s">
        <v>159</v>
      </c>
      <c r="D11" s="1">
        <v>6465</v>
      </c>
      <c r="E11" s="1">
        <v>350</v>
      </c>
      <c r="F11" s="1" t="s">
        <v>161</v>
      </c>
      <c r="G11" s="1" t="s">
        <v>162</v>
      </c>
      <c r="H11" s="1" t="s">
        <v>141</v>
      </c>
      <c r="I11" s="1" t="s">
        <v>65</v>
      </c>
      <c r="J11" s="1">
        <v>3</v>
      </c>
      <c r="K11" s="1" t="s">
        <v>142</v>
      </c>
      <c r="L11" s="1" t="s">
        <v>153</v>
      </c>
      <c r="M11" s="1" t="s">
        <v>28</v>
      </c>
      <c r="N11" s="1" t="str">
        <f>HYPERLINK("https://klocwork.india.ti.com:443/review/insight-review.html#issuedetails_goto:problemid=6465,project=MCU_PLUS_SDK_AM263X,searchquery=taxonomy:'C and C++' build:Build_Apr_13_2023_11_11_AM grouping:off ","KW Issue Link")</f>
        <v>KW Issue Link</v>
      </c>
      <c r="O11" s="1" t="s">
        <v>154</v>
      </c>
    </row>
    <row r="12" spans="1:15" ht="105" x14ac:dyDescent="0.25">
      <c r="A12" s="1" t="s">
        <v>163</v>
      </c>
      <c r="B12" s="1"/>
      <c r="C12" s="1" t="s">
        <v>159</v>
      </c>
      <c r="D12" s="1">
        <v>6481</v>
      </c>
      <c r="E12" s="1">
        <v>453</v>
      </c>
      <c r="F12" s="1" t="s">
        <v>164</v>
      </c>
      <c r="G12" s="1" t="s">
        <v>165</v>
      </c>
      <c r="H12" s="1" t="s">
        <v>141</v>
      </c>
      <c r="I12" s="1" t="s">
        <v>65</v>
      </c>
      <c r="J12" s="1">
        <v>3</v>
      </c>
      <c r="K12" s="1" t="s">
        <v>142</v>
      </c>
      <c r="L12" s="1" t="s">
        <v>153</v>
      </c>
      <c r="M12" s="1" t="s">
        <v>28</v>
      </c>
      <c r="N12" s="1" t="str">
        <f>HYPERLINK("https://klocwork.india.ti.com:443/review/insight-review.html#issuedetails_goto:problemid=6481,project=MCU_PLUS_SDK_AM263X,searchquery=taxonomy:'C and C++' build:Build_Apr_13_2023_11_11_AM grouping:off ","KW Issue Link")</f>
        <v>KW Issue Link</v>
      </c>
      <c r="O12" s="1" t="s">
        <v>154</v>
      </c>
    </row>
    <row r="13" spans="1:15" ht="105" x14ac:dyDescent="0.25">
      <c r="A13" s="1" t="s">
        <v>163</v>
      </c>
      <c r="B13" s="1"/>
      <c r="C13" s="1" t="s">
        <v>159</v>
      </c>
      <c r="D13" s="1">
        <v>6482</v>
      </c>
      <c r="E13" s="1">
        <v>453</v>
      </c>
      <c r="F13" s="1" t="s">
        <v>166</v>
      </c>
      <c r="G13" s="1" t="s">
        <v>165</v>
      </c>
      <c r="H13" s="1" t="s">
        <v>141</v>
      </c>
      <c r="I13" s="1" t="s">
        <v>65</v>
      </c>
      <c r="J13" s="1">
        <v>3</v>
      </c>
      <c r="K13" s="1" t="s">
        <v>142</v>
      </c>
      <c r="L13" s="1" t="s">
        <v>153</v>
      </c>
      <c r="M13" s="1" t="s">
        <v>28</v>
      </c>
      <c r="N13" s="1" t="str">
        <f>HYPERLINK("https://klocwork.india.ti.com:443/review/insight-review.html#issuedetails_goto:problemid=6482,project=MCU_PLUS_SDK_AM263X,searchquery=taxonomy:'C and C++' build:Build_Apr_13_2023_11_11_AM grouping:off ","KW Issue Link")</f>
        <v>KW Issue Link</v>
      </c>
      <c r="O13" s="1" t="s">
        <v>154</v>
      </c>
    </row>
    <row r="14" spans="1:15" ht="105" x14ac:dyDescent="0.25">
      <c r="A14" s="1" t="s">
        <v>163</v>
      </c>
      <c r="B14" s="1"/>
      <c r="C14" s="1" t="s">
        <v>167</v>
      </c>
      <c r="D14" s="1">
        <v>6615</v>
      </c>
      <c r="E14" s="1">
        <v>467</v>
      </c>
      <c r="F14" s="1" t="s">
        <v>168</v>
      </c>
      <c r="G14" s="1" t="s">
        <v>169</v>
      </c>
      <c r="H14" s="1" t="s">
        <v>141</v>
      </c>
      <c r="I14" s="1" t="s">
        <v>65</v>
      </c>
      <c r="J14" s="1">
        <v>3</v>
      </c>
      <c r="K14" s="1" t="s">
        <v>142</v>
      </c>
      <c r="L14" s="1" t="s">
        <v>153</v>
      </c>
      <c r="M14" s="1" t="s">
        <v>28</v>
      </c>
      <c r="N14" s="1" t="str">
        <f>HYPERLINK("https://klocwork.india.ti.com:443/review/insight-review.html#issuedetails_goto:problemid=6615,project=MCU_PLUS_SDK_AM263X,searchquery=taxonomy:'C and C++' build:Build_Apr_13_2023_11_11_AM grouping:off ","KW Issue Link")</f>
        <v>KW Issue Link</v>
      </c>
      <c r="O14" s="1" t="s">
        <v>154</v>
      </c>
    </row>
    <row r="15" spans="1:15" ht="105" x14ac:dyDescent="0.25">
      <c r="A15" s="1" t="s">
        <v>157</v>
      </c>
      <c r="B15" s="1"/>
      <c r="C15" s="1" t="s">
        <v>170</v>
      </c>
      <c r="D15" s="1">
        <v>6704</v>
      </c>
      <c r="E15" s="1">
        <v>67</v>
      </c>
      <c r="F15" s="1" t="s">
        <v>171</v>
      </c>
      <c r="G15" s="1" t="s">
        <v>172</v>
      </c>
      <c r="H15" s="1" t="s">
        <v>141</v>
      </c>
      <c r="I15" s="1" t="s">
        <v>65</v>
      </c>
      <c r="J15" s="1">
        <v>3</v>
      </c>
      <c r="K15" s="1" t="s">
        <v>142</v>
      </c>
      <c r="L15" s="1" t="s">
        <v>153</v>
      </c>
      <c r="M15" s="1" t="s">
        <v>28</v>
      </c>
      <c r="N15" s="1" t="str">
        <f>HYPERLINK("https://klocwork.india.ti.com:443/review/insight-review.html#issuedetails_goto:problemid=6704,project=MCU_PLUS_SDK_AM263X,searchquery=taxonomy:'C and C++' build:Build_Apr_13_2023_11_11_AM grouping:off ","KW Issue Link")</f>
        <v>KW Issue Link</v>
      </c>
      <c r="O15" s="1" t="s">
        <v>154</v>
      </c>
    </row>
    <row r="16" spans="1:15" ht="105" x14ac:dyDescent="0.25">
      <c r="A16" s="1" t="s">
        <v>149</v>
      </c>
      <c r="B16" s="1"/>
      <c r="C16" s="1" t="s">
        <v>170</v>
      </c>
      <c r="D16" s="1">
        <v>6730</v>
      </c>
      <c r="E16" s="1">
        <v>233</v>
      </c>
      <c r="F16" s="1" t="s">
        <v>151</v>
      </c>
      <c r="G16" s="1" t="s">
        <v>173</v>
      </c>
      <c r="H16" s="1" t="s">
        <v>141</v>
      </c>
      <c r="I16" s="1" t="s">
        <v>65</v>
      </c>
      <c r="J16" s="1">
        <v>3</v>
      </c>
      <c r="K16" s="1" t="s">
        <v>142</v>
      </c>
      <c r="L16" s="1" t="s">
        <v>153</v>
      </c>
      <c r="M16" s="1" t="s">
        <v>28</v>
      </c>
      <c r="N16" s="1" t="str">
        <f>HYPERLINK("https://klocwork.india.ti.com:443/review/insight-review.html#issuedetails_goto:problemid=6730,project=MCU_PLUS_SDK_AM263X,searchquery=taxonomy:'C and C++' build:Build_Apr_13_2023_11_11_AM grouping:off ","KW Issue Link")</f>
        <v>KW Issue Link</v>
      </c>
      <c r="O16" s="1" t="s">
        <v>154</v>
      </c>
    </row>
    <row r="17" spans="1:15" ht="105" x14ac:dyDescent="0.25">
      <c r="A17" s="1" t="s">
        <v>155</v>
      </c>
      <c r="B17" s="1"/>
      <c r="C17" s="1" t="s">
        <v>170</v>
      </c>
      <c r="D17" s="1">
        <v>6731</v>
      </c>
      <c r="E17" s="1">
        <v>235</v>
      </c>
      <c r="F17" s="1" t="s">
        <v>156</v>
      </c>
      <c r="G17" s="1" t="s">
        <v>173</v>
      </c>
      <c r="H17" s="1" t="s">
        <v>141</v>
      </c>
      <c r="I17" s="1" t="s">
        <v>65</v>
      </c>
      <c r="J17" s="1">
        <v>3</v>
      </c>
      <c r="K17" s="1" t="s">
        <v>142</v>
      </c>
      <c r="L17" s="1" t="s">
        <v>153</v>
      </c>
      <c r="M17" s="1" t="s">
        <v>28</v>
      </c>
      <c r="N17" s="1" t="str">
        <f>HYPERLINK("https://klocwork.india.ti.com:443/review/insight-review.html#issuedetails_goto:problemid=6731,project=MCU_PLUS_SDK_AM263X,searchquery=taxonomy:'C and C++' build:Build_Apr_13_2023_11_11_AM grouping:off ","KW Issue Link")</f>
        <v>KW Issue Link</v>
      </c>
      <c r="O17" s="1" t="s">
        <v>154</v>
      </c>
    </row>
    <row r="18" spans="1:15" ht="120" x14ac:dyDescent="0.25">
      <c r="A18" s="1" t="s">
        <v>174</v>
      </c>
      <c r="B18" s="1" t="s">
        <v>175</v>
      </c>
      <c r="C18" s="1" t="s">
        <v>170</v>
      </c>
      <c r="D18" s="1">
        <v>6732</v>
      </c>
      <c r="E18" s="1">
        <v>282</v>
      </c>
      <c r="F18" s="1" t="s">
        <v>176</v>
      </c>
      <c r="G18" s="1" t="s">
        <v>173</v>
      </c>
      <c r="H18" s="1" t="s">
        <v>141</v>
      </c>
      <c r="I18" s="1" t="s">
        <v>63</v>
      </c>
      <c r="J18" s="1">
        <v>1</v>
      </c>
      <c r="K18" s="1" t="s">
        <v>142</v>
      </c>
      <c r="L18" s="1" t="s">
        <v>177</v>
      </c>
      <c r="M18" s="1" t="s">
        <v>28</v>
      </c>
      <c r="N18" s="1" t="str">
        <f>HYPERLINK("https://klocwork.india.ti.com:443/review/insight-review.html#issuedetails_goto:problemid=6732,project=MCU_PLUS_SDK_AM263X,searchquery=taxonomy:'C and C++' build:Build_Apr_13_2023_11_11_AM grouping:off ","KW Issue Link")</f>
        <v>KW Issue Link</v>
      </c>
      <c r="O18" s="1" t="s">
        <v>154</v>
      </c>
    </row>
    <row r="19" spans="1:15" ht="120" x14ac:dyDescent="0.25">
      <c r="A19" s="1" t="s">
        <v>178</v>
      </c>
      <c r="B19" s="1" t="s">
        <v>175</v>
      </c>
      <c r="C19" s="1" t="s">
        <v>170</v>
      </c>
      <c r="D19" s="1">
        <v>6733</v>
      </c>
      <c r="E19" s="1">
        <v>285</v>
      </c>
      <c r="F19" s="1" t="s">
        <v>179</v>
      </c>
      <c r="G19" s="1" t="s">
        <v>173</v>
      </c>
      <c r="H19" s="1" t="s">
        <v>141</v>
      </c>
      <c r="I19" s="1" t="s">
        <v>64</v>
      </c>
      <c r="J19" s="1">
        <v>2</v>
      </c>
      <c r="K19" s="1" t="s">
        <v>142</v>
      </c>
      <c r="L19" s="1" t="s">
        <v>177</v>
      </c>
      <c r="M19" s="1" t="s">
        <v>28</v>
      </c>
      <c r="N19" s="1" t="str">
        <f>HYPERLINK("https://klocwork.india.ti.com:443/review/insight-review.html#issuedetails_goto:problemid=6733,project=MCU_PLUS_SDK_AM263X,searchquery=taxonomy:'C and C++' build:Build_Apr_13_2023_11_11_AM grouping:off ","KW Issue Link")</f>
        <v>KW Issue Link</v>
      </c>
      <c r="O19" s="1" t="s">
        <v>154</v>
      </c>
    </row>
    <row r="20" spans="1:15" ht="120" x14ac:dyDescent="0.25">
      <c r="A20" s="1" t="s">
        <v>157</v>
      </c>
      <c r="B20" s="1"/>
      <c r="C20" s="1" t="s">
        <v>180</v>
      </c>
      <c r="D20" s="1">
        <v>6737</v>
      </c>
      <c r="E20" s="1">
        <v>74</v>
      </c>
      <c r="F20" s="1" t="s">
        <v>181</v>
      </c>
      <c r="G20" s="1" t="s">
        <v>182</v>
      </c>
      <c r="H20" s="1" t="s">
        <v>141</v>
      </c>
      <c r="I20" s="1" t="s">
        <v>65</v>
      </c>
      <c r="J20" s="1">
        <v>3</v>
      </c>
      <c r="K20" s="1" t="s">
        <v>142</v>
      </c>
      <c r="L20" s="1" t="s">
        <v>153</v>
      </c>
      <c r="M20" s="1" t="s">
        <v>28</v>
      </c>
      <c r="N20" s="1" t="str">
        <f>HYPERLINK("https://klocwork.india.ti.com:443/review/insight-review.html#issuedetails_goto:problemid=6737,project=MCU_PLUS_SDK_AM263X,searchquery=taxonomy:'C and C++' build:Build_Apr_13_2023_11_11_AM grouping:off ","KW Issue Link")</f>
        <v>KW Issue Link</v>
      </c>
      <c r="O20" s="1" t="s">
        <v>154</v>
      </c>
    </row>
    <row r="21" spans="1:15" ht="120" x14ac:dyDescent="0.25">
      <c r="A21" s="1" t="s">
        <v>149</v>
      </c>
      <c r="B21" s="1"/>
      <c r="C21" s="1" t="s">
        <v>180</v>
      </c>
      <c r="D21" s="1">
        <v>6768</v>
      </c>
      <c r="E21" s="1">
        <v>152</v>
      </c>
      <c r="F21" s="1" t="s">
        <v>183</v>
      </c>
      <c r="G21" s="1" t="s">
        <v>184</v>
      </c>
      <c r="H21" s="1" t="s">
        <v>141</v>
      </c>
      <c r="I21" s="1" t="s">
        <v>65</v>
      </c>
      <c r="J21" s="1">
        <v>3</v>
      </c>
      <c r="K21" s="1" t="s">
        <v>142</v>
      </c>
      <c r="L21" s="1" t="s">
        <v>153</v>
      </c>
      <c r="M21" s="1" t="s">
        <v>28</v>
      </c>
      <c r="N21" s="1" t="str">
        <f>HYPERLINK("https://klocwork.india.ti.com:443/review/insight-review.html#issuedetails_goto:problemid=6768,project=MCU_PLUS_SDK_AM263X,searchquery=taxonomy:'C and C++' build:Build_Apr_13_2023_11_11_AM grouping:off ","KW Issue Link")</f>
        <v>KW Issue Link</v>
      </c>
      <c r="O21" s="1" t="s">
        <v>154</v>
      </c>
    </row>
    <row r="22" spans="1:15" ht="120" x14ac:dyDescent="0.25">
      <c r="A22" s="1" t="s">
        <v>149</v>
      </c>
      <c r="B22" s="1"/>
      <c r="C22" s="1" t="s">
        <v>180</v>
      </c>
      <c r="D22" s="1">
        <v>6769</v>
      </c>
      <c r="E22" s="1">
        <v>197</v>
      </c>
      <c r="F22" s="1" t="s">
        <v>151</v>
      </c>
      <c r="G22" s="1" t="s">
        <v>185</v>
      </c>
      <c r="H22" s="1" t="s">
        <v>141</v>
      </c>
      <c r="I22" s="1" t="s">
        <v>65</v>
      </c>
      <c r="J22" s="1">
        <v>3</v>
      </c>
      <c r="K22" s="1" t="s">
        <v>142</v>
      </c>
      <c r="L22" s="1" t="s">
        <v>153</v>
      </c>
      <c r="M22" s="1" t="s">
        <v>28</v>
      </c>
      <c r="N22" s="1" t="str">
        <f>HYPERLINK("https://klocwork.india.ti.com:443/review/insight-review.html#issuedetails_goto:problemid=6769,project=MCU_PLUS_SDK_AM263X,searchquery=taxonomy:'C and C++' build:Build_Apr_13_2023_11_11_AM grouping:off ","KW Issue Link")</f>
        <v>KW Issue Link</v>
      </c>
      <c r="O22" s="1" t="s">
        <v>154</v>
      </c>
    </row>
    <row r="23" spans="1:15" ht="120" x14ac:dyDescent="0.25">
      <c r="A23" s="1" t="s">
        <v>155</v>
      </c>
      <c r="B23" s="1"/>
      <c r="C23" s="1" t="s">
        <v>180</v>
      </c>
      <c r="D23" s="1">
        <v>6770</v>
      </c>
      <c r="E23" s="1">
        <v>155</v>
      </c>
      <c r="F23" s="1" t="s">
        <v>156</v>
      </c>
      <c r="G23" s="1" t="s">
        <v>184</v>
      </c>
      <c r="H23" s="1" t="s">
        <v>141</v>
      </c>
      <c r="I23" s="1" t="s">
        <v>65</v>
      </c>
      <c r="J23" s="1">
        <v>3</v>
      </c>
      <c r="K23" s="1" t="s">
        <v>142</v>
      </c>
      <c r="L23" s="1" t="s">
        <v>153</v>
      </c>
      <c r="M23" s="1" t="s">
        <v>28</v>
      </c>
      <c r="N23" s="1" t="str">
        <f>HYPERLINK("https://klocwork.india.ti.com:443/review/insight-review.html#issuedetails_goto:problemid=6770,project=MCU_PLUS_SDK_AM263X,searchquery=taxonomy:'C and C++' build:Build_Apr_13_2023_11_11_AM grouping:off ","KW Issue Link")</f>
        <v>KW Issue Link</v>
      </c>
      <c r="O23" s="1" t="s">
        <v>154</v>
      </c>
    </row>
    <row r="24" spans="1:15" ht="120" x14ac:dyDescent="0.25">
      <c r="A24" s="1" t="s">
        <v>155</v>
      </c>
      <c r="B24" s="1"/>
      <c r="C24" s="1" t="s">
        <v>180</v>
      </c>
      <c r="D24" s="1">
        <v>6771</v>
      </c>
      <c r="E24" s="1">
        <v>199</v>
      </c>
      <c r="F24" s="1" t="s">
        <v>156</v>
      </c>
      <c r="G24" s="1" t="s">
        <v>185</v>
      </c>
      <c r="H24" s="1" t="s">
        <v>141</v>
      </c>
      <c r="I24" s="1" t="s">
        <v>65</v>
      </c>
      <c r="J24" s="1">
        <v>3</v>
      </c>
      <c r="K24" s="1" t="s">
        <v>142</v>
      </c>
      <c r="L24" s="1" t="s">
        <v>153</v>
      </c>
      <c r="M24" s="1" t="s">
        <v>28</v>
      </c>
      <c r="N24" s="1" t="str">
        <f>HYPERLINK("https://klocwork.india.ti.com:443/review/insight-review.html#issuedetails_goto:problemid=6771,project=MCU_PLUS_SDK_AM263X,searchquery=taxonomy:'C and C++' build:Build_Apr_13_2023_11_11_AM grouping:off ","KW Issue Link")</f>
        <v>KW Issue Link</v>
      </c>
      <c r="O24" s="1" t="s">
        <v>154</v>
      </c>
    </row>
    <row r="25" spans="1:15" ht="105" x14ac:dyDescent="0.25">
      <c r="A25" s="1" t="s">
        <v>149</v>
      </c>
      <c r="B25" s="1"/>
      <c r="C25" s="1" t="s">
        <v>186</v>
      </c>
      <c r="D25" s="1">
        <v>6802</v>
      </c>
      <c r="E25" s="1">
        <v>151</v>
      </c>
      <c r="F25" s="1" t="s">
        <v>151</v>
      </c>
      <c r="G25" s="1" t="s">
        <v>187</v>
      </c>
      <c r="H25" s="1" t="s">
        <v>141</v>
      </c>
      <c r="I25" s="1" t="s">
        <v>65</v>
      </c>
      <c r="J25" s="1">
        <v>3</v>
      </c>
      <c r="K25" s="1" t="s">
        <v>142</v>
      </c>
      <c r="L25" s="1" t="s">
        <v>153</v>
      </c>
      <c r="M25" s="1" t="s">
        <v>28</v>
      </c>
      <c r="N25" s="1" t="str">
        <f>HYPERLINK("https://klocwork.india.ti.com:443/review/insight-review.html#issuedetails_goto:problemid=6802,project=MCU_PLUS_SDK_AM263X,searchquery=taxonomy:'C and C++' build:Build_Apr_13_2023_11_11_AM grouping:off ","KW Issue Link")</f>
        <v>KW Issue Link</v>
      </c>
      <c r="O25" s="1" t="s">
        <v>154</v>
      </c>
    </row>
    <row r="26" spans="1:15" ht="105" x14ac:dyDescent="0.25">
      <c r="A26" s="1" t="s">
        <v>155</v>
      </c>
      <c r="B26" s="1"/>
      <c r="C26" s="1" t="s">
        <v>186</v>
      </c>
      <c r="D26" s="1">
        <v>6803</v>
      </c>
      <c r="E26" s="1">
        <v>153</v>
      </c>
      <c r="F26" s="1" t="s">
        <v>156</v>
      </c>
      <c r="G26" s="1" t="s">
        <v>187</v>
      </c>
      <c r="H26" s="1" t="s">
        <v>141</v>
      </c>
      <c r="I26" s="1" t="s">
        <v>65</v>
      </c>
      <c r="J26" s="1">
        <v>3</v>
      </c>
      <c r="K26" s="1" t="s">
        <v>142</v>
      </c>
      <c r="L26" s="1" t="s">
        <v>153</v>
      </c>
      <c r="M26" s="1" t="s">
        <v>28</v>
      </c>
      <c r="N26" s="1" t="str">
        <f>HYPERLINK("https://klocwork.india.ti.com:443/review/insight-review.html#issuedetails_goto:problemid=6803,project=MCU_PLUS_SDK_AM263X,searchquery=taxonomy:'C and C++' build:Build_Apr_13_2023_11_11_AM grouping:off ","KW Issue Link")</f>
        <v>KW Issue Link</v>
      </c>
      <c r="O26" s="1" t="s">
        <v>154</v>
      </c>
    </row>
    <row r="27" spans="1:15" ht="105" x14ac:dyDescent="0.25">
      <c r="A27" s="1" t="s">
        <v>149</v>
      </c>
      <c r="B27" s="1"/>
      <c r="C27" s="1" t="s">
        <v>188</v>
      </c>
      <c r="D27" s="1">
        <v>6865</v>
      </c>
      <c r="E27" s="1">
        <v>248</v>
      </c>
      <c r="F27" s="1" t="s">
        <v>151</v>
      </c>
      <c r="G27" s="1" t="s">
        <v>189</v>
      </c>
      <c r="H27" s="1" t="s">
        <v>141</v>
      </c>
      <c r="I27" s="1" t="s">
        <v>65</v>
      </c>
      <c r="J27" s="1">
        <v>3</v>
      </c>
      <c r="K27" s="1" t="s">
        <v>142</v>
      </c>
      <c r="L27" s="1" t="s">
        <v>153</v>
      </c>
      <c r="M27" s="1" t="s">
        <v>28</v>
      </c>
      <c r="N27" s="1" t="str">
        <f>HYPERLINK("https://klocwork.india.ti.com:443/review/insight-review.html#issuedetails_goto:problemid=6865,project=MCU_PLUS_SDK_AM263X,searchquery=taxonomy:'C and C++' build:Build_Apr_13_2023_11_11_AM grouping:off ","KW Issue Link")</f>
        <v>KW Issue Link</v>
      </c>
      <c r="O27" s="1" t="s">
        <v>154</v>
      </c>
    </row>
    <row r="28" spans="1:15" ht="105" x14ac:dyDescent="0.25">
      <c r="A28" s="1" t="s">
        <v>155</v>
      </c>
      <c r="B28" s="1"/>
      <c r="C28" s="1" t="s">
        <v>188</v>
      </c>
      <c r="D28" s="1">
        <v>6866</v>
      </c>
      <c r="E28" s="1">
        <v>250</v>
      </c>
      <c r="F28" s="1" t="s">
        <v>156</v>
      </c>
      <c r="G28" s="1" t="s">
        <v>189</v>
      </c>
      <c r="H28" s="1" t="s">
        <v>141</v>
      </c>
      <c r="I28" s="1" t="s">
        <v>65</v>
      </c>
      <c r="J28" s="1">
        <v>3</v>
      </c>
      <c r="K28" s="1" t="s">
        <v>142</v>
      </c>
      <c r="L28" s="1" t="s">
        <v>153</v>
      </c>
      <c r="M28" s="1" t="s">
        <v>28</v>
      </c>
      <c r="N28" s="1" t="str">
        <f>HYPERLINK("https://klocwork.india.ti.com:443/review/insight-review.html#issuedetails_goto:problemid=6866,project=MCU_PLUS_SDK_AM263X,searchquery=taxonomy:'C and C++' build:Build_Apr_13_2023_11_11_AM grouping:off ","KW Issue Link")</f>
        <v>KW Issue Link</v>
      </c>
      <c r="O28" s="1" t="s">
        <v>154</v>
      </c>
    </row>
    <row r="29" spans="1:15" ht="150" x14ac:dyDescent="0.25">
      <c r="A29" s="1" t="s">
        <v>190</v>
      </c>
      <c r="B29" s="1" t="s">
        <v>191</v>
      </c>
      <c r="C29" s="1" t="s">
        <v>192</v>
      </c>
      <c r="D29" s="1">
        <v>8086</v>
      </c>
      <c r="E29" s="1">
        <v>161</v>
      </c>
      <c r="F29" s="1" t="s">
        <v>193</v>
      </c>
      <c r="G29" s="1" t="s">
        <v>194</v>
      </c>
      <c r="H29" s="1" t="s">
        <v>141</v>
      </c>
      <c r="I29" s="1" t="s">
        <v>63</v>
      </c>
      <c r="J29" s="1">
        <v>1</v>
      </c>
      <c r="K29" s="1" t="s">
        <v>142</v>
      </c>
      <c r="L29" s="1" t="s">
        <v>195</v>
      </c>
      <c r="M29" s="1" t="s">
        <v>28</v>
      </c>
      <c r="N29" s="1" t="str">
        <f>HYPERLINK("https://klocwork.india.ti.com:443/review/insight-review.html#issuedetails_goto:problemid=8086,project=MCU_PLUS_SDK_AM263X,searchquery=taxonomy:'C and C++' build:Build_Apr_13_2023_11_11_AM grouping:off ","KW Issue Link")</f>
        <v>KW Issue Link</v>
      </c>
      <c r="O29" s="1" t="s">
        <v>196</v>
      </c>
    </row>
    <row r="30" spans="1:15" ht="150" x14ac:dyDescent="0.25">
      <c r="A30" s="1" t="s">
        <v>190</v>
      </c>
      <c r="B30" s="1" t="s">
        <v>191</v>
      </c>
      <c r="C30" s="1" t="s">
        <v>192</v>
      </c>
      <c r="D30" s="1">
        <v>8087</v>
      </c>
      <c r="E30" s="1">
        <v>203</v>
      </c>
      <c r="F30" s="1" t="s">
        <v>197</v>
      </c>
      <c r="G30" s="1" t="s">
        <v>198</v>
      </c>
      <c r="H30" s="1" t="s">
        <v>141</v>
      </c>
      <c r="I30" s="1" t="s">
        <v>63</v>
      </c>
      <c r="J30" s="1">
        <v>1</v>
      </c>
      <c r="K30" s="1" t="s">
        <v>142</v>
      </c>
      <c r="L30" s="1" t="s">
        <v>195</v>
      </c>
      <c r="M30" s="1" t="s">
        <v>28</v>
      </c>
      <c r="N30" s="1" t="str">
        <f>HYPERLINK("https://klocwork.india.ti.com:443/review/insight-review.html#issuedetails_goto:problemid=8087,project=MCU_PLUS_SDK_AM263X,searchquery=taxonomy:'C and C++' build:Build_Apr_13_2023_11_11_AM grouping:off ","KW Issue Link")</f>
        <v>KW Issue Link</v>
      </c>
      <c r="O30" s="1" t="s">
        <v>196</v>
      </c>
    </row>
    <row r="31" spans="1:15" ht="120" x14ac:dyDescent="0.25">
      <c r="A31" s="1" t="s">
        <v>199</v>
      </c>
      <c r="B31" s="1" t="s">
        <v>200</v>
      </c>
      <c r="C31" s="1" t="s">
        <v>201</v>
      </c>
      <c r="D31" s="1">
        <v>8883</v>
      </c>
      <c r="E31" s="1">
        <v>462</v>
      </c>
      <c r="F31" s="1" t="s">
        <v>202</v>
      </c>
      <c r="G31" s="1" t="s">
        <v>203</v>
      </c>
      <c r="H31" s="1" t="s">
        <v>141</v>
      </c>
      <c r="I31" s="1" t="s">
        <v>63</v>
      </c>
      <c r="J31" s="1">
        <v>1</v>
      </c>
      <c r="K31" s="1" t="s">
        <v>142</v>
      </c>
      <c r="L31" s="1" t="s">
        <v>195</v>
      </c>
      <c r="M31" s="1" t="s">
        <v>28</v>
      </c>
      <c r="N31" s="1" t="str">
        <f>HYPERLINK("https://klocwork.india.ti.com:443/review/insight-review.html#issuedetails_goto:problemid=8883,project=MCU_PLUS_SDK_AM263X,searchquery=taxonomy:'C and C++' build:Build_Apr_13_2023_11_11_AM grouping:off ","KW Issue Link")</f>
        <v>KW Issue Link</v>
      </c>
      <c r="O31" s="1" t="s">
        <v>144</v>
      </c>
    </row>
    <row r="32" spans="1:15" ht="75" x14ac:dyDescent="0.25">
      <c r="A32" s="1" t="s">
        <v>157</v>
      </c>
      <c r="B32" s="1" t="s">
        <v>204</v>
      </c>
      <c r="C32" s="1" t="s">
        <v>201</v>
      </c>
      <c r="D32" s="1">
        <v>8903</v>
      </c>
      <c r="E32" s="1">
        <v>672</v>
      </c>
      <c r="F32" s="1" t="s">
        <v>205</v>
      </c>
      <c r="G32" s="1" t="s">
        <v>206</v>
      </c>
      <c r="H32" s="1" t="s">
        <v>141</v>
      </c>
      <c r="I32" s="1" t="s">
        <v>65</v>
      </c>
      <c r="J32" s="1">
        <v>3</v>
      </c>
      <c r="K32" s="1" t="s">
        <v>142</v>
      </c>
      <c r="L32" s="1" t="s">
        <v>143</v>
      </c>
      <c r="M32" s="1" t="s">
        <v>28</v>
      </c>
      <c r="N32" s="1" t="str">
        <f>HYPERLINK("https://klocwork.india.ti.com:443/review/insight-review.html#issuedetails_goto:problemid=8903,project=MCU_PLUS_SDK_AM263X,searchquery=taxonomy:'C and C++' build:Build_Apr_13_2023_11_11_AM grouping:off ","KW Issue Link")</f>
        <v>KW Issue Link</v>
      </c>
      <c r="O32" s="1" t="s">
        <v>144</v>
      </c>
    </row>
    <row r="33" spans="1:15" ht="60" x14ac:dyDescent="0.25">
      <c r="A33" s="1" t="s">
        <v>155</v>
      </c>
      <c r="B33" s="1" t="s">
        <v>207</v>
      </c>
      <c r="C33" s="1" t="s">
        <v>201</v>
      </c>
      <c r="D33" s="1">
        <v>8905</v>
      </c>
      <c r="E33" s="1">
        <v>829</v>
      </c>
      <c r="F33" s="1" t="s">
        <v>156</v>
      </c>
      <c r="G33" s="1" t="s">
        <v>206</v>
      </c>
      <c r="H33" s="1" t="s">
        <v>141</v>
      </c>
      <c r="I33" s="1" t="s">
        <v>65</v>
      </c>
      <c r="J33" s="1">
        <v>3</v>
      </c>
      <c r="K33" s="1" t="s">
        <v>142</v>
      </c>
      <c r="L33" s="1" t="s">
        <v>143</v>
      </c>
      <c r="M33" s="1" t="s">
        <v>28</v>
      </c>
      <c r="N33" s="1" t="str">
        <f>HYPERLINK("https://klocwork.india.ti.com:443/review/insight-review.html#issuedetails_goto:problemid=8905,project=MCU_PLUS_SDK_AM263X,searchquery=taxonomy:'C and C++' build:Build_Apr_13_2023_11_11_AM grouping:off ","KW Issue Link")</f>
        <v>KW Issue Link</v>
      </c>
      <c r="O33" s="1" t="s">
        <v>144</v>
      </c>
    </row>
    <row r="34" spans="1:15" ht="60" x14ac:dyDescent="0.25">
      <c r="A34" s="1" t="s">
        <v>157</v>
      </c>
      <c r="B34" s="1"/>
      <c r="C34" s="1" t="s">
        <v>208</v>
      </c>
      <c r="D34" s="1">
        <v>8942</v>
      </c>
      <c r="E34" s="1">
        <v>173</v>
      </c>
      <c r="F34" s="1" t="s">
        <v>209</v>
      </c>
      <c r="G34" s="1" t="s">
        <v>210</v>
      </c>
      <c r="H34" s="1" t="s">
        <v>141</v>
      </c>
      <c r="I34" s="1" t="s">
        <v>65</v>
      </c>
      <c r="J34" s="1">
        <v>3</v>
      </c>
      <c r="K34" s="1" t="s">
        <v>142</v>
      </c>
      <c r="L34" s="1" t="s">
        <v>153</v>
      </c>
      <c r="M34" s="1" t="s">
        <v>28</v>
      </c>
      <c r="N34" s="1" t="str">
        <f>HYPERLINK("https://klocwork.india.ti.com:443/review/insight-review.html#issuedetails_goto:problemid=8942,project=MCU_PLUS_SDK_AM263X,searchquery=taxonomy:'C and C++' build:Build_Apr_13_2023_11_11_AM grouping:off ","KW Issue Link")</f>
        <v>KW Issue Link</v>
      </c>
      <c r="O34" s="1" t="s">
        <v>211</v>
      </c>
    </row>
    <row r="35" spans="1:15" ht="90" x14ac:dyDescent="0.25">
      <c r="A35" s="1" t="s">
        <v>149</v>
      </c>
      <c r="B35" s="1"/>
      <c r="C35" s="1" t="s">
        <v>208</v>
      </c>
      <c r="D35" s="1">
        <v>9052</v>
      </c>
      <c r="E35" s="1">
        <v>989</v>
      </c>
      <c r="F35" s="1" t="s">
        <v>212</v>
      </c>
      <c r="G35" s="1" t="s">
        <v>213</v>
      </c>
      <c r="H35" s="1" t="s">
        <v>141</v>
      </c>
      <c r="I35" s="1" t="s">
        <v>65</v>
      </c>
      <c r="J35" s="1">
        <v>3</v>
      </c>
      <c r="K35" s="1" t="s">
        <v>142</v>
      </c>
      <c r="L35" s="1" t="s">
        <v>153</v>
      </c>
      <c r="M35" s="1" t="s">
        <v>28</v>
      </c>
      <c r="N35" s="1" t="str">
        <f>HYPERLINK("https://klocwork.india.ti.com:443/review/insight-review.html#issuedetails_goto:problemid=9052,project=MCU_PLUS_SDK_AM263X,searchquery=taxonomy:'C and C++' build:Build_Apr_13_2023_11_11_AM grouping:off ","KW Issue Link")</f>
        <v>KW Issue Link</v>
      </c>
      <c r="O35" s="1" t="s">
        <v>211</v>
      </c>
    </row>
    <row r="36" spans="1:15" ht="45" x14ac:dyDescent="0.25">
      <c r="A36" s="1" t="s">
        <v>155</v>
      </c>
      <c r="B36" s="1"/>
      <c r="C36" s="1" t="s">
        <v>208</v>
      </c>
      <c r="D36" s="1">
        <v>9053</v>
      </c>
      <c r="E36" s="1">
        <v>991</v>
      </c>
      <c r="F36" s="1" t="s">
        <v>156</v>
      </c>
      <c r="G36" s="1" t="s">
        <v>213</v>
      </c>
      <c r="H36" s="1" t="s">
        <v>141</v>
      </c>
      <c r="I36" s="1" t="s">
        <v>65</v>
      </c>
      <c r="J36" s="1">
        <v>3</v>
      </c>
      <c r="K36" s="1" t="s">
        <v>142</v>
      </c>
      <c r="L36" s="1" t="s">
        <v>153</v>
      </c>
      <c r="M36" s="1" t="s">
        <v>28</v>
      </c>
      <c r="N36" s="1" t="str">
        <f>HYPERLINK("https://klocwork.india.ti.com:443/review/insight-review.html#issuedetails_goto:problemid=9053,project=MCU_PLUS_SDK_AM263X,searchquery=taxonomy:'C and C++' build:Build_Apr_13_2023_11_11_AM grouping:off ","KW Issue Link")</f>
        <v>KW Issue Link</v>
      </c>
      <c r="O36" s="1" t="s">
        <v>211</v>
      </c>
    </row>
    <row r="37" spans="1:15" ht="90" x14ac:dyDescent="0.25">
      <c r="A37" s="1" t="s">
        <v>163</v>
      </c>
      <c r="B37" s="1"/>
      <c r="C37" s="1" t="s">
        <v>214</v>
      </c>
      <c r="D37" s="1">
        <v>9180</v>
      </c>
      <c r="E37" s="1">
        <v>2051</v>
      </c>
      <c r="F37" s="1" t="s">
        <v>215</v>
      </c>
      <c r="G37" s="1" t="s">
        <v>216</v>
      </c>
      <c r="H37" s="1" t="s">
        <v>141</v>
      </c>
      <c r="I37" s="1" t="s">
        <v>65</v>
      </c>
      <c r="J37" s="1">
        <v>3</v>
      </c>
      <c r="K37" s="1" t="s">
        <v>142</v>
      </c>
      <c r="L37" s="1" t="s">
        <v>153</v>
      </c>
      <c r="M37" s="1" t="s">
        <v>28</v>
      </c>
      <c r="N37" s="1" t="str">
        <f>HYPERLINK("https://klocwork.india.ti.com:443/review/insight-review.html#issuedetails_goto:problemid=9180,project=MCU_PLUS_SDK_AM263X,searchquery=taxonomy:'C and C++' build:Build_Apr_13_2023_11_11_AM grouping:off ","KW Issue Link")</f>
        <v>KW Issue Link</v>
      </c>
      <c r="O37" s="1" t="s">
        <v>217</v>
      </c>
    </row>
    <row r="38" spans="1:15" ht="60" x14ac:dyDescent="0.25">
      <c r="A38" s="1" t="s">
        <v>157</v>
      </c>
      <c r="B38" s="1"/>
      <c r="C38" s="1" t="s">
        <v>218</v>
      </c>
      <c r="D38" s="1">
        <v>9260</v>
      </c>
      <c r="E38" s="1">
        <v>1430</v>
      </c>
      <c r="F38" s="1" t="s">
        <v>219</v>
      </c>
      <c r="G38" s="1" t="s">
        <v>220</v>
      </c>
      <c r="H38" s="1" t="s">
        <v>141</v>
      </c>
      <c r="I38" s="1" t="s">
        <v>65</v>
      </c>
      <c r="J38" s="1">
        <v>3</v>
      </c>
      <c r="K38" s="1" t="s">
        <v>142</v>
      </c>
      <c r="L38" s="1" t="s">
        <v>153</v>
      </c>
      <c r="M38" s="1" t="s">
        <v>28</v>
      </c>
      <c r="N38" s="1" t="str">
        <f>HYPERLINK("https://klocwork.india.ti.com:443/review/insight-review.html#issuedetails_goto:problemid=9260,project=MCU_PLUS_SDK_AM263X,searchquery=taxonomy:'C and C++' build:Build_Apr_13_2023_11_11_AM grouping:off ","KW Issue Link")</f>
        <v>KW Issue Link</v>
      </c>
      <c r="O38" s="1" t="s">
        <v>217</v>
      </c>
    </row>
    <row r="39" spans="1:15" ht="60" x14ac:dyDescent="0.25">
      <c r="A39" s="1" t="s">
        <v>157</v>
      </c>
      <c r="B39" s="1"/>
      <c r="C39" s="1" t="s">
        <v>218</v>
      </c>
      <c r="D39" s="1">
        <v>9261</v>
      </c>
      <c r="E39" s="1">
        <v>1430</v>
      </c>
      <c r="F39" s="1" t="s">
        <v>219</v>
      </c>
      <c r="G39" s="1" t="s">
        <v>220</v>
      </c>
      <c r="H39" s="1" t="s">
        <v>141</v>
      </c>
      <c r="I39" s="1" t="s">
        <v>65</v>
      </c>
      <c r="J39" s="1">
        <v>3</v>
      </c>
      <c r="K39" s="1" t="s">
        <v>142</v>
      </c>
      <c r="L39" s="1" t="s">
        <v>153</v>
      </c>
      <c r="M39" s="1" t="s">
        <v>28</v>
      </c>
      <c r="N39" s="1" t="str">
        <f>HYPERLINK("https://klocwork.india.ti.com:443/review/insight-review.html#issuedetails_goto:problemid=9261,project=MCU_PLUS_SDK_AM263X,searchquery=taxonomy:'C and C++' build:Build_Apr_13_2023_11_11_AM grouping:off ","KW Issue Link")</f>
        <v>KW Issue Link</v>
      </c>
      <c r="O39" s="1" t="s">
        <v>217</v>
      </c>
    </row>
    <row r="40" spans="1:15" ht="60" x14ac:dyDescent="0.25">
      <c r="A40" s="1" t="s">
        <v>157</v>
      </c>
      <c r="B40" s="1"/>
      <c r="C40" s="1" t="s">
        <v>218</v>
      </c>
      <c r="D40" s="1">
        <v>9262</v>
      </c>
      <c r="E40" s="1">
        <v>1745</v>
      </c>
      <c r="F40" s="1" t="s">
        <v>219</v>
      </c>
      <c r="G40" s="1" t="s">
        <v>221</v>
      </c>
      <c r="H40" s="1" t="s">
        <v>141</v>
      </c>
      <c r="I40" s="1" t="s">
        <v>65</v>
      </c>
      <c r="J40" s="1">
        <v>3</v>
      </c>
      <c r="K40" s="1" t="s">
        <v>142</v>
      </c>
      <c r="L40" s="1" t="s">
        <v>153</v>
      </c>
      <c r="M40" s="1" t="s">
        <v>28</v>
      </c>
      <c r="N40" s="1" t="str">
        <f>HYPERLINK("https://klocwork.india.ti.com:443/review/insight-review.html#issuedetails_goto:problemid=9262,project=MCU_PLUS_SDK_AM263X,searchquery=taxonomy:'C and C++' build:Build_Apr_13_2023_11_11_AM grouping:off ","KW Issue Link")</f>
        <v>KW Issue Link</v>
      </c>
      <c r="O40" s="1" t="s">
        <v>217</v>
      </c>
    </row>
    <row r="41" spans="1:15" ht="60" x14ac:dyDescent="0.25">
      <c r="A41" s="1" t="s">
        <v>157</v>
      </c>
      <c r="B41" s="1"/>
      <c r="C41" s="1" t="s">
        <v>218</v>
      </c>
      <c r="D41" s="1">
        <v>9263</v>
      </c>
      <c r="E41" s="1">
        <v>1745</v>
      </c>
      <c r="F41" s="1" t="s">
        <v>219</v>
      </c>
      <c r="G41" s="1" t="s">
        <v>221</v>
      </c>
      <c r="H41" s="1" t="s">
        <v>141</v>
      </c>
      <c r="I41" s="1" t="s">
        <v>65</v>
      </c>
      <c r="J41" s="1">
        <v>3</v>
      </c>
      <c r="K41" s="1" t="s">
        <v>142</v>
      </c>
      <c r="L41" s="1" t="s">
        <v>153</v>
      </c>
      <c r="M41" s="1" t="s">
        <v>28</v>
      </c>
      <c r="N41" s="1" t="str">
        <f>HYPERLINK("https://klocwork.india.ti.com:443/review/insight-review.html#issuedetails_goto:problemid=9263,project=MCU_PLUS_SDK_AM263X,searchquery=taxonomy:'C and C++' build:Build_Apr_13_2023_11_11_AM grouping:off ","KW Issue Link")</f>
        <v>KW Issue Link</v>
      </c>
      <c r="O41" s="1" t="s">
        <v>217</v>
      </c>
    </row>
    <row r="42" spans="1:15" ht="75" x14ac:dyDescent="0.25">
      <c r="A42" s="1" t="s">
        <v>157</v>
      </c>
      <c r="B42" s="1"/>
      <c r="C42" s="1" t="s">
        <v>218</v>
      </c>
      <c r="D42" s="1">
        <v>9264</v>
      </c>
      <c r="E42" s="1">
        <v>2087</v>
      </c>
      <c r="F42" s="1" t="s">
        <v>222</v>
      </c>
      <c r="G42" s="1" t="s">
        <v>223</v>
      </c>
      <c r="H42" s="1" t="s">
        <v>141</v>
      </c>
      <c r="I42" s="1" t="s">
        <v>65</v>
      </c>
      <c r="J42" s="1">
        <v>3</v>
      </c>
      <c r="K42" s="1" t="s">
        <v>142</v>
      </c>
      <c r="L42" s="1" t="s">
        <v>153</v>
      </c>
      <c r="M42" s="1" t="s">
        <v>28</v>
      </c>
      <c r="N42" s="1" t="str">
        <f>HYPERLINK("https://klocwork.india.ti.com:443/review/insight-review.html#issuedetails_goto:problemid=9264,project=MCU_PLUS_SDK_AM263X,searchquery=taxonomy:'C and C++' build:Build_Apr_13_2023_11_11_AM grouping:off ","KW Issue Link")</f>
        <v>KW Issue Link</v>
      </c>
      <c r="O42" s="1" t="s">
        <v>217</v>
      </c>
    </row>
    <row r="43" spans="1:15" ht="90" x14ac:dyDescent="0.25">
      <c r="A43" s="1" t="s">
        <v>149</v>
      </c>
      <c r="B43" s="1"/>
      <c r="C43" s="1" t="s">
        <v>218</v>
      </c>
      <c r="D43" s="1">
        <v>9266</v>
      </c>
      <c r="E43" s="1">
        <v>2746</v>
      </c>
      <c r="F43" s="1" t="s">
        <v>224</v>
      </c>
      <c r="G43" s="1" t="s">
        <v>225</v>
      </c>
      <c r="H43" s="1" t="s">
        <v>141</v>
      </c>
      <c r="I43" s="1" t="s">
        <v>65</v>
      </c>
      <c r="J43" s="1">
        <v>3</v>
      </c>
      <c r="K43" s="1" t="s">
        <v>142</v>
      </c>
      <c r="L43" s="1" t="s">
        <v>153</v>
      </c>
      <c r="M43" s="1" t="s">
        <v>28</v>
      </c>
      <c r="N43" s="1" t="str">
        <f>HYPERLINK("https://klocwork.india.ti.com:443/review/insight-review.html#issuedetails_goto:problemid=9266,project=MCU_PLUS_SDK_AM263X,searchquery=taxonomy:'C and C++' build:Build_Apr_13_2023_11_11_AM grouping:off ","KW Issue Link")</f>
        <v>KW Issue Link</v>
      </c>
      <c r="O43" s="1" t="s">
        <v>217</v>
      </c>
    </row>
    <row r="44" spans="1:15" ht="60" x14ac:dyDescent="0.25">
      <c r="A44" s="1" t="s">
        <v>155</v>
      </c>
      <c r="B44" s="1"/>
      <c r="C44" s="1" t="s">
        <v>218</v>
      </c>
      <c r="D44" s="1">
        <v>9267</v>
      </c>
      <c r="E44" s="1">
        <v>2748</v>
      </c>
      <c r="F44" s="1" t="s">
        <v>156</v>
      </c>
      <c r="G44" s="1" t="s">
        <v>225</v>
      </c>
      <c r="H44" s="1" t="s">
        <v>141</v>
      </c>
      <c r="I44" s="1" t="s">
        <v>65</v>
      </c>
      <c r="J44" s="1">
        <v>3</v>
      </c>
      <c r="K44" s="1" t="s">
        <v>142</v>
      </c>
      <c r="L44" s="1" t="s">
        <v>153</v>
      </c>
      <c r="M44" s="1" t="s">
        <v>28</v>
      </c>
      <c r="N44" s="1" t="str">
        <f>HYPERLINK("https://klocwork.india.ti.com:443/review/insight-review.html#issuedetails_goto:problemid=9267,project=MCU_PLUS_SDK_AM263X,searchquery=taxonomy:'C and C++' build:Build_Apr_13_2023_11_11_AM grouping:off ","KW Issue Link")</f>
        <v>KW Issue Link</v>
      </c>
      <c r="O44" s="1" t="s">
        <v>217</v>
      </c>
    </row>
    <row r="45" spans="1:15" ht="120" x14ac:dyDescent="0.25">
      <c r="A45" s="1" t="s">
        <v>145</v>
      </c>
      <c r="B45" s="1" t="s">
        <v>175</v>
      </c>
      <c r="C45" s="1" t="s">
        <v>218</v>
      </c>
      <c r="D45" s="1">
        <v>9270</v>
      </c>
      <c r="E45" s="1">
        <v>3436</v>
      </c>
      <c r="F45" s="1" t="s">
        <v>147</v>
      </c>
      <c r="G45" s="1" t="s">
        <v>226</v>
      </c>
      <c r="H45" s="1" t="s">
        <v>141</v>
      </c>
      <c r="I45" s="1" t="s">
        <v>64</v>
      </c>
      <c r="J45" s="1">
        <v>2</v>
      </c>
      <c r="K45" s="1" t="s">
        <v>142</v>
      </c>
      <c r="L45" s="1" t="s">
        <v>177</v>
      </c>
      <c r="M45" s="1" t="s">
        <v>28</v>
      </c>
      <c r="N45" s="1" t="str">
        <f>HYPERLINK("https://klocwork.india.ti.com:443/review/insight-review.html#issuedetails_goto:problemid=9270,project=MCU_PLUS_SDK_AM263X,searchquery=taxonomy:'C and C++' build:Build_Apr_13_2023_11_11_AM grouping:off ","KW Issue Link")</f>
        <v>KW Issue Link</v>
      </c>
      <c r="O45" s="1" t="s">
        <v>217</v>
      </c>
    </row>
    <row r="46" spans="1:15" ht="90" x14ac:dyDescent="0.25">
      <c r="A46" s="1" t="s">
        <v>163</v>
      </c>
      <c r="B46" s="1"/>
      <c r="C46" s="1" t="s">
        <v>218</v>
      </c>
      <c r="D46" s="1">
        <v>9272</v>
      </c>
      <c r="E46" s="1">
        <v>3965</v>
      </c>
      <c r="F46" s="1" t="s">
        <v>227</v>
      </c>
      <c r="G46" s="1" t="s">
        <v>228</v>
      </c>
      <c r="H46" s="1" t="s">
        <v>141</v>
      </c>
      <c r="I46" s="1" t="s">
        <v>65</v>
      </c>
      <c r="J46" s="1">
        <v>3</v>
      </c>
      <c r="K46" s="1" t="s">
        <v>142</v>
      </c>
      <c r="L46" s="1" t="s">
        <v>153</v>
      </c>
      <c r="M46" s="1" t="s">
        <v>28</v>
      </c>
      <c r="N46" s="1" t="str">
        <f>HYPERLINK("https://klocwork.india.ti.com:443/review/insight-review.html#issuedetails_goto:problemid=9272,project=MCU_PLUS_SDK_AM263X,searchquery=taxonomy:'C and C++' build:Build_Apr_13_2023_11_11_AM grouping:off ","KW Issue Link")</f>
        <v>KW Issue Link</v>
      </c>
      <c r="O46" s="1" t="s">
        <v>217</v>
      </c>
    </row>
    <row r="47" spans="1:15" ht="90" x14ac:dyDescent="0.25">
      <c r="A47" s="1" t="s">
        <v>163</v>
      </c>
      <c r="B47" s="1"/>
      <c r="C47" s="1" t="s">
        <v>218</v>
      </c>
      <c r="D47" s="1">
        <v>9273</v>
      </c>
      <c r="E47" s="1">
        <v>3966</v>
      </c>
      <c r="F47" s="1" t="s">
        <v>229</v>
      </c>
      <c r="G47" s="1" t="s">
        <v>228</v>
      </c>
      <c r="H47" s="1" t="s">
        <v>141</v>
      </c>
      <c r="I47" s="1" t="s">
        <v>65</v>
      </c>
      <c r="J47" s="1">
        <v>3</v>
      </c>
      <c r="K47" s="1" t="s">
        <v>142</v>
      </c>
      <c r="L47" s="1" t="s">
        <v>153</v>
      </c>
      <c r="M47" s="1" t="s">
        <v>28</v>
      </c>
      <c r="N47" s="1" t="str">
        <f>HYPERLINK("https://klocwork.india.ti.com:443/review/insight-review.html#issuedetails_goto:problemid=9273,project=MCU_PLUS_SDK_AM263X,searchquery=taxonomy:'C and C++' build:Build_Apr_13_2023_11_11_AM grouping:off ","KW Issue Link")</f>
        <v>KW Issue Link</v>
      </c>
      <c r="O47" s="1" t="s">
        <v>217</v>
      </c>
    </row>
    <row r="48" spans="1:15" ht="90" x14ac:dyDescent="0.25">
      <c r="A48" s="1" t="s">
        <v>163</v>
      </c>
      <c r="B48" s="1"/>
      <c r="C48" s="1" t="s">
        <v>218</v>
      </c>
      <c r="D48" s="1">
        <v>9274</v>
      </c>
      <c r="E48" s="1">
        <v>3972</v>
      </c>
      <c r="F48" s="1" t="s">
        <v>229</v>
      </c>
      <c r="G48" s="1" t="s">
        <v>228</v>
      </c>
      <c r="H48" s="1" t="s">
        <v>141</v>
      </c>
      <c r="I48" s="1" t="s">
        <v>65</v>
      </c>
      <c r="J48" s="1">
        <v>3</v>
      </c>
      <c r="K48" s="1" t="s">
        <v>142</v>
      </c>
      <c r="L48" s="1" t="s">
        <v>153</v>
      </c>
      <c r="M48" s="1" t="s">
        <v>28</v>
      </c>
      <c r="N48" s="1" t="str">
        <f>HYPERLINK("https://klocwork.india.ti.com:443/review/insight-review.html#issuedetails_goto:problemid=9274,project=MCU_PLUS_SDK_AM263X,searchquery=taxonomy:'C and C++' build:Build_Apr_13_2023_11_11_AM grouping:off ","KW Issue Link")</f>
        <v>KW Issue Link</v>
      </c>
      <c r="O48" s="1" t="s">
        <v>217</v>
      </c>
    </row>
    <row r="49" spans="1:15" ht="120" x14ac:dyDescent="0.25">
      <c r="A49" s="1" t="s">
        <v>145</v>
      </c>
      <c r="B49" s="1" t="s">
        <v>175</v>
      </c>
      <c r="C49" s="1" t="s">
        <v>230</v>
      </c>
      <c r="D49" s="1">
        <v>9296</v>
      </c>
      <c r="E49" s="1">
        <v>571</v>
      </c>
      <c r="F49" s="1" t="s">
        <v>147</v>
      </c>
      <c r="G49" s="1" t="s">
        <v>231</v>
      </c>
      <c r="H49" s="1" t="s">
        <v>141</v>
      </c>
      <c r="I49" s="1" t="s">
        <v>64</v>
      </c>
      <c r="J49" s="1">
        <v>2</v>
      </c>
      <c r="K49" s="1" t="s">
        <v>142</v>
      </c>
      <c r="L49" s="1" t="s">
        <v>177</v>
      </c>
      <c r="M49" s="1" t="s">
        <v>28</v>
      </c>
      <c r="N49" s="1" t="str">
        <f>HYPERLINK("https://klocwork.india.ti.com:443/review/insight-review.html#issuedetails_goto:problemid=9296,project=MCU_PLUS_SDK_AM263X,searchquery=taxonomy:'C and C++' build:Build_Apr_13_2023_11_11_AM grouping:off ","KW Issue Link")</f>
        <v>KW Issue Link</v>
      </c>
      <c r="O49" s="1" t="s">
        <v>217</v>
      </c>
    </row>
    <row r="50" spans="1:15" ht="75" x14ac:dyDescent="0.25">
      <c r="A50" s="1" t="s">
        <v>157</v>
      </c>
      <c r="B50" s="1"/>
      <c r="C50" s="1" t="s">
        <v>230</v>
      </c>
      <c r="D50" s="1">
        <v>9298</v>
      </c>
      <c r="E50" s="1">
        <v>984</v>
      </c>
      <c r="F50" s="1" t="s">
        <v>232</v>
      </c>
      <c r="G50" s="1" t="s">
        <v>233</v>
      </c>
      <c r="H50" s="1" t="s">
        <v>141</v>
      </c>
      <c r="I50" s="1" t="s">
        <v>65</v>
      </c>
      <c r="J50" s="1">
        <v>3</v>
      </c>
      <c r="K50" s="1" t="s">
        <v>142</v>
      </c>
      <c r="L50" s="1" t="s">
        <v>153</v>
      </c>
      <c r="M50" s="1" t="s">
        <v>28</v>
      </c>
      <c r="N50" s="1" t="str">
        <f>HYPERLINK("https://klocwork.india.ti.com:443/review/insight-review.html#issuedetails_goto:problemid=9298,project=MCU_PLUS_SDK_AM263X,searchquery=taxonomy:'C and C++' build:Build_Apr_13_2023_11_11_AM grouping:off ","KW Issue Link")</f>
        <v>KW Issue Link</v>
      </c>
      <c r="O50" s="1" t="s">
        <v>217</v>
      </c>
    </row>
    <row r="51" spans="1:15" ht="60" x14ac:dyDescent="0.25">
      <c r="A51" s="1" t="s">
        <v>157</v>
      </c>
      <c r="B51" s="1"/>
      <c r="C51" s="1" t="s">
        <v>234</v>
      </c>
      <c r="D51" s="1">
        <v>9382</v>
      </c>
      <c r="E51" s="1">
        <v>235</v>
      </c>
      <c r="F51" s="1" t="s">
        <v>209</v>
      </c>
      <c r="G51" s="1" t="s">
        <v>235</v>
      </c>
      <c r="H51" s="1" t="s">
        <v>141</v>
      </c>
      <c r="I51" s="1" t="s">
        <v>65</v>
      </c>
      <c r="J51" s="1">
        <v>3</v>
      </c>
      <c r="K51" s="1" t="s">
        <v>142</v>
      </c>
      <c r="L51" s="1" t="s">
        <v>153</v>
      </c>
      <c r="M51" s="1" t="s">
        <v>28</v>
      </c>
      <c r="N51" s="1" t="str">
        <f>HYPERLINK("https://klocwork.india.ti.com:443/review/insight-review.html#issuedetails_goto:problemid=9382,project=MCU_PLUS_SDK_AM263X,searchquery=taxonomy:'C and C++' build:Build_Apr_13_2023_11_11_AM grouping:off ","KW Issue Link")</f>
        <v>KW Issue Link</v>
      </c>
      <c r="O51" s="1" t="s">
        <v>236</v>
      </c>
    </row>
    <row r="52" spans="1:15" ht="60" x14ac:dyDescent="0.25">
      <c r="A52" s="1" t="s">
        <v>157</v>
      </c>
      <c r="B52" s="1"/>
      <c r="C52" s="1" t="s">
        <v>234</v>
      </c>
      <c r="D52" s="1">
        <v>9383</v>
      </c>
      <c r="E52" s="1">
        <v>323</v>
      </c>
      <c r="F52" s="1" t="s">
        <v>209</v>
      </c>
      <c r="G52" s="1" t="s">
        <v>237</v>
      </c>
      <c r="H52" s="1" t="s">
        <v>141</v>
      </c>
      <c r="I52" s="1" t="s">
        <v>65</v>
      </c>
      <c r="J52" s="1">
        <v>3</v>
      </c>
      <c r="K52" s="1" t="s">
        <v>142</v>
      </c>
      <c r="L52" s="1" t="s">
        <v>153</v>
      </c>
      <c r="M52" s="1" t="s">
        <v>28</v>
      </c>
      <c r="N52" s="1" t="str">
        <f>HYPERLINK("https://klocwork.india.ti.com:443/review/insight-review.html#issuedetails_goto:problemid=9383,project=MCU_PLUS_SDK_AM263X,searchquery=taxonomy:'C and C++' build:Build_Apr_13_2023_11_11_AM grouping:off ","KW Issue Link")</f>
        <v>KW Issue Link</v>
      </c>
      <c r="O52" s="1" t="s">
        <v>236</v>
      </c>
    </row>
    <row r="53" spans="1:15" ht="60" x14ac:dyDescent="0.25">
      <c r="A53" s="1" t="s">
        <v>157</v>
      </c>
      <c r="B53" s="1"/>
      <c r="C53" s="1" t="s">
        <v>234</v>
      </c>
      <c r="D53" s="1">
        <v>9384</v>
      </c>
      <c r="E53" s="1">
        <v>334</v>
      </c>
      <c r="F53" s="1" t="s">
        <v>209</v>
      </c>
      <c r="G53" s="1" t="s">
        <v>237</v>
      </c>
      <c r="H53" s="1" t="s">
        <v>141</v>
      </c>
      <c r="I53" s="1" t="s">
        <v>65</v>
      </c>
      <c r="J53" s="1">
        <v>3</v>
      </c>
      <c r="K53" s="1" t="s">
        <v>142</v>
      </c>
      <c r="L53" s="1" t="s">
        <v>153</v>
      </c>
      <c r="M53" s="1" t="s">
        <v>28</v>
      </c>
      <c r="N53" s="1" t="str">
        <f>HYPERLINK("https://klocwork.india.ti.com:443/review/insight-review.html#issuedetails_goto:problemid=9384,project=MCU_PLUS_SDK_AM263X,searchquery=taxonomy:'C and C++' build:Build_Apr_13_2023_11_11_AM grouping:off ","KW Issue Link")</f>
        <v>KW Issue Link</v>
      </c>
      <c r="O53" s="1" t="s">
        <v>236</v>
      </c>
    </row>
    <row r="54" spans="1:15" ht="60" x14ac:dyDescent="0.25">
      <c r="A54" s="1" t="s">
        <v>157</v>
      </c>
      <c r="B54" s="1"/>
      <c r="C54" s="1" t="s">
        <v>234</v>
      </c>
      <c r="D54" s="1">
        <v>9385</v>
      </c>
      <c r="E54" s="1">
        <v>329</v>
      </c>
      <c r="F54" s="1" t="s">
        <v>209</v>
      </c>
      <c r="G54" s="1" t="s">
        <v>237</v>
      </c>
      <c r="H54" s="1" t="s">
        <v>141</v>
      </c>
      <c r="I54" s="1" t="s">
        <v>65</v>
      </c>
      <c r="J54" s="1">
        <v>3</v>
      </c>
      <c r="K54" s="1" t="s">
        <v>142</v>
      </c>
      <c r="L54" s="1" t="s">
        <v>153</v>
      </c>
      <c r="M54" s="1" t="s">
        <v>28</v>
      </c>
      <c r="N54" s="1" t="str">
        <f>HYPERLINK("https://klocwork.india.ti.com:443/review/insight-review.html#issuedetails_goto:problemid=9385,project=MCU_PLUS_SDK_AM263X,searchquery=taxonomy:'C and C++' build:Build_Apr_13_2023_11_11_AM grouping:off ","KW Issue Link")</f>
        <v>KW Issue Link</v>
      </c>
      <c r="O54" s="1" t="s">
        <v>236</v>
      </c>
    </row>
    <row r="55" spans="1:15" ht="60" x14ac:dyDescent="0.25">
      <c r="A55" s="1" t="s">
        <v>157</v>
      </c>
      <c r="B55" s="1"/>
      <c r="C55" s="1" t="s">
        <v>234</v>
      </c>
      <c r="D55" s="1">
        <v>9386</v>
      </c>
      <c r="E55" s="1">
        <v>349</v>
      </c>
      <c r="F55" s="1" t="s">
        <v>209</v>
      </c>
      <c r="G55" s="1" t="s">
        <v>237</v>
      </c>
      <c r="H55" s="1" t="s">
        <v>141</v>
      </c>
      <c r="I55" s="1" t="s">
        <v>65</v>
      </c>
      <c r="J55" s="1">
        <v>3</v>
      </c>
      <c r="K55" s="1" t="s">
        <v>142</v>
      </c>
      <c r="L55" s="1" t="s">
        <v>153</v>
      </c>
      <c r="M55" s="1" t="s">
        <v>28</v>
      </c>
      <c r="N55" s="1" t="str">
        <f>HYPERLINK("https://klocwork.india.ti.com:443/review/insight-review.html#issuedetails_goto:problemid=9386,project=MCU_PLUS_SDK_AM263X,searchquery=taxonomy:'C and C++' build:Build_Apr_13_2023_11_11_AM grouping:off ","KW Issue Link")</f>
        <v>KW Issue Link</v>
      </c>
      <c r="O55" s="1" t="s">
        <v>236</v>
      </c>
    </row>
    <row r="56" spans="1:15" ht="60" x14ac:dyDescent="0.25">
      <c r="A56" s="1" t="s">
        <v>136</v>
      </c>
      <c r="B56" s="1"/>
      <c r="C56" s="1" t="s">
        <v>234</v>
      </c>
      <c r="D56" s="1">
        <v>9427</v>
      </c>
      <c r="E56" s="1">
        <v>2257</v>
      </c>
      <c r="F56" s="1" t="s">
        <v>238</v>
      </c>
      <c r="G56" s="1" t="s">
        <v>239</v>
      </c>
      <c r="H56" s="1" t="s">
        <v>141</v>
      </c>
      <c r="I56" s="1" t="s">
        <v>66</v>
      </c>
      <c r="J56" s="1">
        <v>4</v>
      </c>
      <c r="K56" s="1" t="s">
        <v>142</v>
      </c>
      <c r="L56" s="1" t="s">
        <v>153</v>
      </c>
      <c r="M56" s="1" t="s">
        <v>28</v>
      </c>
      <c r="N56" s="1" t="str">
        <f>HYPERLINK("https://klocwork.india.ti.com:443/review/insight-review.html#issuedetails_goto:problemid=9427,project=MCU_PLUS_SDK_AM263X,searchquery=taxonomy:'C and C++' build:Build_Apr_13_2023_11_11_AM grouping:off ","KW Issue Link")</f>
        <v>KW Issue Link</v>
      </c>
      <c r="O56" s="1" t="s">
        <v>236</v>
      </c>
    </row>
    <row r="57" spans="1:15" ht="60" x14ac:dyDescent="0.25">
      <c r="A57" s="1" t="s">
        <v>157</v>
      </c>
      <c r="B57" s="1"/>
      <c r="C57" s="1" t="s">
        <v>240</v>
      </c>
      <c r="D57" s="1">
        <v>18227</v>
      </c>
      <c r="E57" s="1">
        <v>958</v>
      </c>
      <c r="F57" s="1" t="s">
        <v>209</v>
      </c>
      <c r="G57" s="1" t="s">
        <v>241</v>
      </c>
      <c r="H57" s="1" t="s">
        <v>141</v>
      </c>
      <c r="I57" s="1" t="s">
        <v>65</v>
      </c>
      <c r="J57" s="1">
        <v>3</v>
      </c>
      <c r="K57" s="1" t="s">
        <v>142</v>
      </c>
      <c r="L57" s="1" t="s">
        <v>153</v>
      </c>
      <c r="M57" s="1" t="s">
        <v>28</v>
      </c>
      <c r="N57" s="1" t="str">
        <f>HYPERLINK("https://klocwork.india.ti.com:443/review/insight-review.html#issuedetails_goto:problemid=18227,project=MCU_PLUS_SDK_AM263X,searchquery=taxonomy:'C and C++' build:Build_Apr_13_2023_11_11_AM grouping:off ","KW Issue Link")</f>
        <v>KW Issue Link</v>
      </c>
      <c r="O57" s="1" t="s">
        <v>242</v>
      </c>
    </row>
    <row r="58" spans="1:15" ht="75" x14ac:dyDescent="0.25">
      <c r="A58" s="1" t="s">
        <v>149</v>
      </c>
      <c r="B58" s="1"/>
      <c r="C58" s="1" t="s">
        <v>243</v>
      </c>
      <c r="D58" s="1">
        <v>18329</v>
      </c>
      <c r="E58" s="1">
        <v>214</v>
      </c>
      <c r="F58" s="1" t="s">
        <v>244</v>
      </c>
      <c r="G58" s="1" t="s">
        <v>245</v>
      </c>
      <c r="H58" s="1" t="s">
        <v>141</v>
      </c>
      <c r="I58" s="1" t="s">
        <v>65</v>
      </c>
      <c r="J58" s="1">
        <v>3</v>
      </c>
      <c r="K58" s="1" t="s">
        <v>142</v>
      </c>
      <c r="L58" s="1" t="s">
        <v>153</v>
      </c>
      <c r="M58" s="1" t="s">
        <v>28</v>
      </c>
      <c r="N58" s="1" t="str">
        <f>HYPERLINK("https://klocwork.india.ti.com:443/review/insight-review.html#issuedetails_goto:problemid=18329,project=MCU_PLUS_SDK_AM263X,searchquery=taxonomy:'C and C++' build:Build_Apr_13_2023_11_11_AM grouping:off ","KW Issue Link")</f>
        <v>KW Issue Link</v>
      </c>
      <c r="O58" s="1" t="s">
        <v>246</v>
      </c>
    </row>
    <row r="59" spans="1:15" ht="75" x14ac:dyDescent="0.25">
      <c r="A59" s="1" t="s">
        <v>149</v>
      </c>
      <c r="B59" s="1"/>
      <c r="C59" s="1" t="s">
        <v>243</v>
      </c>
      <c r="D59" s="1">
        <v>18330</v>
      </c>
      <c r="E59" s="1">
        <v>317</v>
      </c>
      <c r="F59" s="1" t="s">
        <v>244</v>
      </c>
      <c r="G59" s="1" t="s">
        <v>247</v>
      </c>
      <c r="H59" s="1" t="s">
        <v>141</v>
      </c>
      <c r="I59" s="1" t="s">
        <v>65</v>
      </c>
      <c r="J59" s="1">
        <v>3</v>
      </c>
      <c r="K59" s="1" t="s">
        <v>142</v>
      </c>
      <c r="L59" s="1" t="s">
        <v>153</v>
      </c>
      <c r="M59" s="1" t="s">
        <v>28</v>
      </c>
      <c r="N59" s="1" t="str">
        <f>HYPERLINK("https://klocwork.india.ti.com:443/review/insight-review.html#issuedetails_goto:problemid=18330,project=MCU_PLUS_SDK_AM263X,searchquery=taxonomy:'C and C++' build:Build_Apr_13_2023_11_11_AM grouping:off ","KW Issue Link")</f>
        <v>KW Issue Link</v>
      </c>
      <c r="O59" s="1" t="s">
        <v>246</v>
      </c>
    </row>
    <row r="60" spans="1:15" ht="45" x14ac:dyDescent="0.25">
      <c r="A60" s="1" t="s">
        <v>155</v>
      </c>
      <c r="B60" s="1"/>
      <c r="C60" s="1" t="s">
        <v>243</v>
      </c>
      <c r="D60" s="1">
        <v>18331</v>
      </c>
      <c r="E60" s="1">
        <v>216</v>
      </c>
      <c r="F60" s="1" t="s">
        <v>156</v>
      </c>
      <c r="G60" s="1" t="s">
        <v>245</v>
      </c>
      <c r="H60" s="1" t="s">
        <v>141</v>
      </c>
      <c r="I60" s="1" t="s">
        <v>65</v>
      </c>
      <c r="J60" s="1">
        <v>3</v>
      </c>
      <c r="K60" s="1" t="s">
        <v>142</v>
      </c>
      <c r="L60" s="1" t="s">
        <v>153</v>
      </c>
      <c r="M60" s="1" t="s">
        <v>28</v>
      </c>
      <c r="N60" s="1" t="str">
        <f>HYPERLINK("https://klocwork.india.ti.com:443/review/insight-review.html#issuedetails_goto:problemid=18331,project=MCU_PLUS_SDK_AM263X,searchquery=taxonomy:'C and C++' build:Build_Apr_13_2023_11_11_AM grouping:off ","KW Issue Link")</f>
        <v>KW Issue Link</v>
      </c>
      <c r="O60" s="1" t="s">
        <v>246</v>
      </c>
    </row>
    <row r="61" spans="1:15" ht="45" x14ac:dyDescent="0.25">
      <c r="A61" s="1" t="s">
        <v>155</v>
      </c>
      <c r="B61" s="1"/>
      <c r="C61" s="1" t="s">
        <v>243</v>
      </c>
      <c r="D61" s="1">
        <v>18332</v>
      </c>
      <c r="E61" s="1">
        <v>319</v>
      </c>
      <c r="F61" s="1" t="s">
        <v>156</v>
      </c>
      <c r="G61" s="1" t="s">
        <v>247</v>
      </c>
      <c r="H61" s="1" t="s">
        <v>141</v>
      </c>
      <c r="I61" s="1" t="s">
        <v>65</v>
      </c>
      <c r="J61" s="1">
        <v>3</v>
      </c>
      <c r="K61" s="1" t="s">
        <v>142</v>
      </c>
      <c r="L61" s="1" t="s">
        <v>153</v>
      </c>
      <c r="M61" s="1" t="s">
        <v>28</v>
      </c>
      <c r="N61" s="1" t="str">
        <f>HYPERLINK("https://klocwork.india.ti.com:443/review/insight-review.html#issuedetails_goto:problemid=18332,project=MCU_PLUS_SDK_AM263X,searchquery=taxonomy:'C and C++' build:Build_Apr_13_2023_11_11_AM grouping:off ","KW Issue Link")</f>
        <v>KW Issue Link</v>
      </c>
      <c r="O61" s="1" t="s">
        <v>246</v>
      </c>
    </row>
    <row r="62" spans="1:15" ht="60" x14ac:dyDescent="0.25">
      <c r="A62" s="1" t="s">
        <v>157</v>
      </c>
      <c r="B62" s="1"/>
      <c r="C62" s="1" t="s">
        <v>248</v>
      </c>
      <c r="D62" s="1">
        <v>18638</v>
      </c>
      <c r="E62" s="1">
        <v>2077</v>
      </c>
      <c r="F62" s="1" t="s">
        <v>249</v>
      </c>
      <c r="G62" s="1" t="s">
        <v>250</v>
      </c>
      <c r="H62" s="1" t="s">
        <v>141</v>
      </c>
      <c r="I62" s="1" t="s">
        <v>65</v>
      </c>
      <c r="J62" s="1">
        <v>3</v>
      </c>
      <c r="K62" s="1" t="s">
        <v>142</v>
      </c>
      <c r="L62" s="1" t="s">
        <v>153</v>
      </c>
      <c r="M62" s="1" t="s">
        <v>28</v>
      </c>
      <c r="N62" s="1" t="str">
        <f>HYPERLINK("https://klocwork.india.ti.com:443/review/insight-review.html#issuedetails_goto:problemid=18638,project=MCU_PLUS_SDK_AM263X,searchquery=taxonomy:'C and C++' build:Build_Apr_13_2023_11_11_AM grouping:off ","KW Issue Link")</f>
        <v>KW Issue Link</v>
      </c>
      <c r="O62" s="1" t="s">
        <v>251</v>
      </c>
    </row>
    <row r="63" spans="1:15" ht="60" x14ac:dyDescent="0.25">
      <c r="A63" s="1" t="s">
        <v>157</v>
      </c>
      <c r="B63" s="1"/>
      <c r="C63" s="1" t="s">
        <v>252</v>
      </c>
      <c r="D63" s="1">
        <v>19904</v>
      </c>
      <c r="E63" s="1">
        <v>197</v>
      </c>
      <c r="F63" s="1" t="s">
        <v>209</v>
      </c>
      <c r="G63" s="1" t="s">
        <v>253</v>
      </c>
      <c r="H63" s="1" t="s">
        <v>141</v>
      </c>
      <c r="I63" s="1" t="s">
        <v>65</v>
      </c>
      <c r="J63" s="1">
        <v>3</v>
      </c>
      <c r="K63" s="1" t="s">
        <v>142</v>
      </c>
      <c r="L63" s="1" t="s">
        <v>153</v>
      </c>
      <c r="M63" s="1" t="s">
        <v>28</v>
      </c>
      <c r="N63" s="1" t="str">
        <f>HYPERLINK("https://klocwork.india.ti.com:443/review/insight-review.html#issuedetails_goto:problemid=19904,project=MCU_PLUS_SDK_AM263X,searchquery=taxonomy:'C and C++' build:Build_Apr_13_2023_11_11_AM grouping:off ","KW Issue Link")</f>
        <v>KW Issue Link</v>
      </c>
      <c r="O63" s="1" t="s">
        <v>254</v>
      </c>
    </row>
    <row r="64" spans="1:15" ht="60" x14ac:dyDescent="0.25">
      <c r="A64" s="1" t="s">
        <v>157</v>
      </c>
      <c r="B64" s="1"/>
      <c r="C64" s="1" t="s">
        <v>252</v>
      </c>
      <c r="D64" s="1">
        <v>19905</v>
      </c>
      <c r="E64" s="1">
        <v>289</v>
      </c>
      <c r="F64" s="1" t="s">
        <v>209</v>
      </c>
      <c r="G64" s="1" t="s">
        <v>255</v>
      </c>
      <c r="H64" s="1" t="s">
        <v>141</v>
      </c>
      <c r="I64" s="1" t="s">
        <v>65</v>
      </c>
      <c r="J64" s="1">
        <v>3</v>
      </c>
      <c r="K64" s="1" t="s">
        <v>142</v>
      </c>
      <c r="L64" s="1" t="s">
        <v>153</v>
      </c>
      <c r="M64" s="1" t="s">
        <v>28</v>
      </c>
      <c r="N64" s="1" t="str">
        <f>HYPERLINK("https://klocwork.india.ti.com:443/review/insight-review.html#issuedetails_goto:problemid=19905,project=MCU_PLUS_SDK_AM263X,searchquery=taxonomy:'C and C++' build:Build_Apr_13_2023_11_11_AM grouping:off ","KW Issue Link")</f>
        <v>KW Issue Link</v>
      </c>
      <c r="O64" s="1" t="s">
        <v>254</v>
      </c>
    </row>
    <row r="65" spans="1:15" ht="60" x14ac:dyDescent="0.25">
      <c r="A65" s="1" t="s">
        <v>157</v>
      </c>
      <c r="B65" s="1"/>
      <c r="C65" s="1" t="s">
        <v>252</v>
      </c>
      <c r="D65" s="1">
        <v>19906</v>
      </c>
      <c r="E65" s="1">
        <v>312</v>
      </c>
      <c r="F65" s="1" t="s">
        <v>209</v>
      </c>
      <c r="G65" s="1" t="s">
        <v>255</v>
      </c>
      <c r="H65" s="1" t="s">
        <v>141</v>
      </c>
      <c r="I65" s="1" t="s">
        <v>65</v>
      </c>
      <c r="J65" s="1">
        <v>3</v>
      </c>
      <c r="K65" s="1" t="s">
        <v>142</v>
      </c>
      <c r="L65" s="1" t="s">
        <v>153</v>
      </c>
      <c r="M65" s="1" t="s">
        <v>28</v>
      </c>
      <c r="N65" s="1" t="str">
        <f>HYPERLINK("https://klocwork.india.ti.com:443/review/insight-review.html#issuedetails_goto:problemid=19906,project=MCU_PLUS_SDK_AM263X,searchquery=taxonomy:'C and C++' build:Build_Apr_13_2023_11_11_AM grouping:off ","KW Issue Link")</f>
        <v>KW Issue Link</v>
      </c>
      <c r="O65" s="1" t="s">
        <v>254</v>
      </c>
    </row>
    <row r="66" spans="1:15" ht="60" x14ac:dyDescent="0.25">
      <c r="A66" s="1" t="s">
        <v>136</v>
      </c>
      <c r="B66" s="1"/>
      <c r="C66" s="1" t="s">
        <v>256</v>
      </c>
      <c r="D66" s="1">
        <v>20440</v>
      </c>
      <c r="E66" s="1">
        <v>109</v>
      </c>
      <c r="F66" s="1" t="s">
        <v>257</v>
      </c>
      <c r="G66" s="1" t="s">
        <v>258</v>
      </c>
      <c r="H66" s="1" t="s">
        <v>141</v>
      </c>
      <c r="I66" s="1" t="s">
        <v>66</v>
      </c>
      <c r="J66" s="1">
        <v>4</v>
      </c>
      <c r="K66" s="1" t="s">
        <v>142</v>
      </c>
      <c r="L66" s="1" t="s">
        <v>153</v>
      </c>
      <c r="M66" s="1" t="s">
        <v>28</v>
      </c>
      <c r="N66" s="1" t="str">
        <f>HYPERLINK("https://klocwork.india.ti.com:443/review/insight-review.html#issuedetails_goto:problemid=20440,project=MCU_PLUS_SDK_AM263X,searchquery=taxonomy:'C and C++' build:Build_Apr_13_2023_11_11_AM grouping:off ","KW Issue Link")</f>
        <v>KW Issue Link</v>
      </c>
      <c r="O66" s="1" t="s">
        <v>259</v>
      </c>
    </row>
    <row r="67" spans="1:15" ht="60" x14ac:dyDescent="0.25">
      <c r="A67" s="1" t="s">
        <v>157</v>
      </c>
      <c r="B67" s="1" t="s">
        <v>260</v>
      </c>
      <c r="C67" s="1" t="s">
        <v>256</v>
      </c>
      <c r="D67" s="1">
        <v>20463</v>
      </c>
      <c r="E67" s="1">
        <v>142</v>
      </c>
      <c r="F67" s="1" t="s">
        <v>209</v>
      </c>
      <c r="G67" s="1" t="s">
        <v>261</v>
      </c>
      <c r="H67" s="1" t="s">
        <v>141</v>
      </c>
      <c r="I67" s="1" t="s">
        <v>65</v>
      </c>
      <c r="J67" s="1">
        <v>3</v>
      </c>
      <c r="K67" s="1" t="s">
        <v>142</v>
      </c>
      <c r="L67" s="1" t="s">
        <v>143</v>
      </c>
      <c r="M67" s="1" t="s">
        <v>28</v>
      </c>
      <c r="N67" s="1" t="str">
        <f>HYPERLINK("https://klocwork.india.ti.com:443/review/insight-review.html#issuedetails_goto:problemid=20463,project=MCU_PLUS_SDK_AM263X,searchquery=taxonomy:'C and C++' build:Build_Apr_13_2023_11_11_AM grouping:off ","KW Issue Link")</f>
        <v>KW Issue Link</v>
      </c>
      <c r="O67" s="1" t="s">
        <v>259</v>
      </c>
    </row>
    <row r="68" spans="1:15" ht="60" x14ac:dyDescent="0.25">
      <c r="A68" s="1" t="s">
        <v>157</v>
      </c>
      <c r="B68" s="1" t="s">
        <v>260</v>
      </c>
      <c r="C68" s="1" t="s">
        <v>256</v>
      </c>
      <c r="D68" s="1">
        <v>20464</v>
      </c>
      <c r="E68" s="1">
        <v>147</v>
      </c>
      <c r="F68" s="1" t="s">
        <v>262</v>
      </c>
      <c r="G68" s="1" t="s">
        <v>261</v>
      </c>
      <c r="H68" s="1" t="s">
        <v>141</v>
      </c>
      <c r="I68" s="1" t="s">
        <v>65</v>
      </c>
      <c r="J68" s="1">
        <v>3</v>
      </c>
      <c r="K68" s="1" t="s">
        <v>142</v>
      </c>
      <c r="L68" s="1" t="s">
        <v>143</v>
      </c>
      <c r="M68" s="1" t="s">
        <v>28</v>
      </c>
      <c r="N68" s="1" t="str">
        <f>HYPERLINK("https://klocwork.india.ti.com:443/review/insight-review.html#issuedetails_goto:problemid=20464,project=MCU_PLUS_SDK_AM263X,searchquery=taxonomy:'C and C++' build:Build_Apr_13_2023_11_11_AM grouping:off ","KW Issue Link")</f>
        <v>KW Issue Link</v>
      </c>
      <c r="O68" s="1" t="s">
        <v>259</v>
      </c>
    </row>
    <row r="69" spans="1:15" ht="60" x14ac:dyDescent="0.25">
      <c r="A69" s="1" t="s">
        <v>157</v>
      </c>
      <c r="B69" s="1" t="s">
        <v>260</v>
      </c>
      <c r="C69" s="1" t="s">
        <v>256</v>
      </c>
      <c r="D69" s="1">
        <v>20465</v>
      </c>
      <c r="E69" s="1">
        <v>168</v>
      </c>
      <c r="F69" s="1" t="s">
        <v>209</v>
      </c>
      <c r="G69" s="1" t="s">
        <v>263</v>
      </c>
      <c r="H69" s="1" t="s">
        <v>141</v>
      </c>
      <c r="I69" s="1" t="s">
        <v>65</v>
      </c>
      <c r="J69" s="1">
        <v>3</v>
      </c>
      <c r="K69" s="1" t="s">
        <v>142</v>
      </c>
      <c r="L69" s="1" t="s">
        <v>143</v>
      </c>
      <c r="M69" s="1" t="s">
        <v>28</v>
      </c>
      <c r="N69" s="1" t="str">
        <f>HYPERLINK("https://klocwork.india.ti.com:443/review/insight-review.html#issuedetails_goto:problemid=20465,project=MCU_PLUS_SDK_AM263X,searchquery=taxonomy:'C and C++' build:Build_Apr_13_2023_11_11_AM grouping:off ","KW Issue Link")</f>
        <v>KW Issue Link</v>
      </c>
      <c r="O69" s="1" t="s">
        <v>259</v>
      </c>
    </row>
    <row r="70" spans="1:15" ht="75" x14ac:dyDescent="0.25">
      <c r="A70" s="1" t="s">
        <v>136</v>
      </c>
      <c r="B70" s="1"/>
      <c r="C70" s="1" t="s">
        <v>264</v>
      </c>
      <c r="D70" s="1">
        <v>20641</v>
      </c>
      <c r="E70" s="1">
        <v>521</v>
      </c>
      <c r="F70" s="1" t="s">
        <v>257</v>
      </c>
      <c r="G70" s="1" t="s">
        <v>265</v>
      </c>
      <c r="H70" s="1" t="s">
        <v>141</v>
      </c>
      <c r="I70" s="1" t="s">
        <v>66</v>
      </c>
      <c r="J70" s="1">
        <v>4</v>
      </c>
      <c r="K70" s="1" t="s">
        <v>142</v>
      </c>
      <c r="L70" s="1" t="s">
        <v>153</v>
      </c>
      <c r="M70" s="1" t="s">
        <v>28</v>
      </c>
      <c r="N70" s="1" t="str">
        <f>HYPERLINK("https://klocwork.india.ti.com:443/review/insight-review.html#issuedetails_goto:problemid=20641,project=MCU_PLUS_SDK_AM263X,searchquery=taxonomy:'C and C++' build:Build_Apr_13_2023_11_11_AM grouping:off ","KW Issue Link")</f>
        <v>KW Issue Link</v>
      </c>
      <c r="O70" s="1" t="s">
        <v>259</v>
      </c>
    </row>
    <row r="71" spans="1:15" ht="105" x14ac:dyDescent="0.25">
      <c r="A71" s="1" t="s">
        <v>149</v>
      </c>
      <c r="B71" s="1"/>
      <c r="C71" s="1" t="s">
        <v>266</v>
      </c>
      <c r="D71" s="1">
        <v>20796</v>
      </c>
      <c r="E71" s="1">
        <v>136</v>
      </c>
      <c r="F71" s="1" t="s">
        <v>267</v>
      </c>
      <c r="G71" s="1" t="s">
        <v>268</v>
      </c>
      <c r="H71" s="1" t="s">
        <v>141</v>
      </c>
      <c r="I71" s="1" t="s">
        <v>65</v>
      </c>
      <c r="J71" s="1">
        <v>3</v>
      </c>
      <c r="K71" s="1" t="s">
        <v>142</v>
      </c>
      <c r="L71" s="1" t="s">
        <v>153</v>
      </c>
      <c r="M71" s="1" t="s">
        <v>28</v>
      </c>
      <c r="N71" s="1" t="str">
        <f>HYPERLINK("https://klocwork.india.ti.com:443/review/insight-review.html#issuedetails_goto:problemid=20796,project=MCU_PLUS_SDK_AM263X,searchquery=taxonomy:'C and C++' build:Build_Apr_13_2023_11_11_AM grouping:off ","KW Issue Link")</f>
        <v>KW Issue Link</v>
      </c>
      <c r="O71" s="1" t="s">
        <v>259</v>
      </c>
    </row>
    <row r="72" spans="1:15" ht="60" x14ac:dyDescent="0.25">
      <c r="A72" s="1" t="s">
        <v>155</v>
      </c>
      <c r="B72" s="1"/>
      <c r="C72" s="1" t="s">
        <v>266</v>
      </c>
      <c r="D72" s="1">
        <v>20797</v>
      </c>
      <c r="E72" s="1">
        <v>139</v>
      </c>
      <c r="F72" s="1" t="s">
        <v>156</v>
      </c>
      <c r="G72" s="1" t="s">
        <v>268</v>
      </c>
      <c r="H72" s="1" t="s">
        <v>141</v>
      </c>
      <c r="I72" s="1" t="s">
        <v>65</v>
      </c>
      <c r="J72" s="1">
        <v>3</v>
      </c>
      <c r="K72" s="1" t="s">
        <v>142</v>
      </c>
      <c r="L72" s="1" t="s">
        <v>153</v>
      </c>
      <c r="M72" s="1" t="s">
        <v>28</v>
      </c>
      <c r="N72" s="1" t="str">
        <f>HYPERLINK("https://klocwork.india.ti.com:443/review/insight-review.html#issuedetails_goto:problemid=20797,project=MCU_PLUS_SDK_AM263X,searchquery=taxonomy:'C and C++' build:Build_Apr_13_2023_11_11_AM grouping:off ","KW Issue Link")</f>
        <v>KW Issue Link</v>
      </c>
      <c r="O72" s="1" t="s">
        <v>259</v>
      </c>
    </row>
    <row r="73" spans="1:15" ht="75" x14ac:dyDescent="0.25">
      <c r="A73" s="1" t="s">
        <v>136</v>
      </c>
      <c r="B73" s="1"/>
      <c r="C73" s="1" t="s">
        <v>269</v>
      </c>
      <c r="D73" s="1">
        <v>21819</v>
      </c>
      <c r="E73" s="1">
        <v>738</v>
      </c>
      <c r="F73" s="1" t="s">
        <v>257</v>
      </c>
      <c r="G73" s="1" t="s">
        <v>270</v>
      </c>
      <c r="H73" s="1" t="s">
        <v>141</v>
      </c>
      <c r="I73" s="1" t="s">
        <v>66</v>
      </c>
      <c r="J73" s="1">
        <v>4</v>
      </c>
      <c r="K73" s="1" t="s">
        <v>142</v>
      </c>
      <c r="L73" s="1" t="s">
        <v>153</v>
      </c>
      <c r="M73" s="1" t="s">
        <v>28</v>
      </c>
      <c r="N73" s="1" t="str">
        <f>HYPERLINK("https://klocwork.india.ti.com:443/review/insight-review.html#issuedetails_goto:problemid=21819,project=MCU_PLUS_SDK_AM263X,searchquery=taxonomy:'C and C++' build:Build_Apr_13_2023_11_11_AM grouping:off ","KW Issue Link")</f>
        <v>KW Issue Link</v>
      </c>
      <c r="O73" s="1" t="s">
        <v>271</v>
      </c>
    </row>
    <row r="74" spans="1:15" ht="75" x14ac:dyDescent="0.25">
      <c r="A74" s="1" t="s">
        <v>136</v>
      </c>
      <c r="B74" s="1"/>
      <c r="C74" s="1" t="s">
        <v>269</v>
      </c>
      <c r="D74" s="1">
        <v>21820</v>
      </c>
      <c r="E74" s="1">
        <v>788</v>
      </c>
      <c r="F74" s="1" t="s">
        <v>257</v>
      </c>
      <c r="G74" s="1" t="s">
        <v>272</v>
      </c>
      <c r="H74" s="1" t="s">
        <v>141</v>
      </c>
      <c r="I74" s="1" t="s">
        <v>66</v>
      </c>
      <c r="J74" s="1">
        <v>4</v>
      </c>
      <c r="K74" s="1" t="s">
        <v>142</v>
      </c>
      <c r="L74" s="1" t="s">
        <v>153</v>
      </c>
      <c r="M74" s="1" t="s">
        <v>28</v>
      </c>
      <c r="N74" s="1" t="str">
        <f>HYPERLINK("https://klocwork.india.ti.com:443/review/insight-review.html#issuedetails_goto:problemid=21820,project=MCU_PLUS_SDK_AM263X,searchquery=taxonomy:'C and C++' build:Build_Apr_13_2023_11_11_AM grouping:off ","KW Issue Link")</f>
        <v>KW Issue Link</v>
      </c>
      <c r="O74" s="1" t="s">
        <v>271</v>
      </c>
    </row>
    <row r="75" spans="1:15" ht="45" x14ac:dyDescent="0.25">
      <c r="A75" s="1" t="s">
        <v>157</v>
      </c>
      <c r="B75" s="1"/>
      <c r="C75" s="1" t="s">
        <v>273</v>
      </c>
      <c r="D75" s="1">
        <v>21829</v>
      </c>
      <c r="E75" s="1">
        <v>872</v>
      </c>
      <c r="F75" s="1" t="s">
        <v>274</v>
      </c>
      <c r="G75" s="1" t="s">
        <v>275</v>
      </c>
      <c r="H75" s="1" t="s">
        <v>141</v>
      </c>
      <c r="I75" s="1" t="s">
        <v>65</v>
      </c>
      <c r="J75" s="1">
        <v>3</v>
      </c>
      <c r="K75" s="1" t="s">
        <v>142</v>
      </c>
      <c r="L75" s="1" t="s">
        <v>153</v>
      </c>
      <c r="M75" s="1" t="s">
        <v>28</v>
      </c>
      <c r="N75" s="1" t="str">
        <f>HYPERLINK("https://klocwork.india.ti.com:443/review/insight-review.html#issuedetails_goto:problemid=21829,project=MCU_PLUS_SDK_AM263X,searchquery=taxonomy:'C and C++' build:Build_Apr_13_2023_11_11_AM grouping:off ","KW Issue Link")</f>
        <v>KW Issue Link</v>
      </c>
      <c r="O75" s="1" t="s">
        <v>276</v>
      </c>
    </row>
    <row r="76" spans="1:15" ht="45" x14ac:dyDescent="0.25">
      <c r="A76" s="1" t="s">
        <v>157</v>
      </c>
      <c r="B76" s="1"/>
      <c r="C76" s="1" t="s">
        <v>273</v>
      </c>
      <c r="D76" s="1">
        <v>21830</v>
      </c>
      <c r="E76" s="1">
        <v>877</v>
      </c>
      <c r="F76" s="1" t="s">
        <v>274</v>
      </c>
      <c r="G76" s="1" t="s">
        <v>275</v>
      </c>
      <c r="H76" s="1" t="s">
        <v>141</v>
      </c>
      <c r="I76" s="1" t="s">
        <v>65</v>
      </c>
      <c r="J76" s="1">
        <v>3</v>
      </c>
      <c r="K76" s="1" t="s">
        <v>142</v>
      </c>
      <c r="L76" s="1" t="s">
        <v>153</v>
      </c>
      <c r="M76" s="1" t="s">
        <v>28</v>
      </c>
      <c r="N76" s="1" t="str">
        <f>HYPERLINK("https://klocwork.india.ti.com:443/review/insight-review.html#issuedetails_goto:problemid=21830,project=MCU_PLUS_SDK_AM263X,searchquery=taxonomy:'C and C++' build:Build_Apr_13_2023_11_11_AM grouping:off ","KW Issue Link")</f>
        <v>KW Issue Link</v>
      </c>
      <c r="O76" s="1" t="s">
        <v>276</v>
      </c>
    </row>
    <row r="77" spans="1:15" ht="45" x14ac:dyDescent="0.25">
      <c r="A77" s="1" t="s">
        <v>157</v>
      </c>
      <c r="B77" s="1"/>
      <c r="C77" s="1" t="s">
        <v>277</v>
      </c>
      <c r="D77" s="1">
        <v>21843</v>
      </c>
      <c r="E77" s="1">
        <v>976</v>
      </c>
      <c r="F77" s="1" t="s">
        <v>274</v>
      </c>
      <c r="G77" s="1" t="s">
        <v>278</v>
      </c>
      <c r="H77" s="1" t="s">
        <v>141</v>
      </c>
      <c r="I77" s="1" t="s">
        <v>65</v>
      </c>
      <c r="J77" s="1">
        <v>3</v>
      </c>
      <c r="K77" s="1" t="s">
        <v>142</v>
      </c>
      <c r="L77" s="1" t="s">
        <v>153</v>
      </c>
      <c r="M77" s="1" t="s">
        <v>28</v>
      </c>
      <c r="N77" s="1" t="str">
        <f>HYPERLINK("https://klocwork.india.ti.com:443/review/insight-review.html#issuedetails_goto:problemid=21843,project=MCU_PLUS_SDK_AM263X,searchquery=taxonomy:'C and C++' build:Build_Apr_13_2023_11_11_AM grouping:off ","KW Issue Link")</f>
        <v>KW Issue Link</v>
      </c>
      <c r="O77" s="1" t="s">
        <v>276</v>
      </c>
    </row>
    <row r="78" spans="1:15" ht="45" x14ac:dyDescent="0.25">
      <c r="A78" s="1" t="s">
        <v>157</v>
      </c>
      <c r="B78" s="1"/>
      <c r="C78" s="1" t="s">
        <v>277</v>
      </c>
      <c r="D78" s="1">
        <v>21844</v>
      </c>
      <c r="E78" s="1">
        <v>981</v>
      </c>
      <c r="F78" s="1" t="s">
        <v>274</v>
      </c>
      <c r="G78" s="1" t="s">
        <v>278</v>
      </c>
      <c r="H78" s="1" t="s">
        <v>141</v>
      </c>
      <c r="I78" s="1" t="s">
        <v>65</v>
      </c>
      <c r="J78" s="1">
        <v>3</v>
      </c>
      <c r="K78" s="1" t="s">
        <v>142</v>
      </c>
      <c r="L78" s="1" t="s">
        <v>153</v>
      </c>
      <c r="M78" s="1" t="s">
        <v>28</v>
      </c>
      <c r="N78" s="1" t="str">
        <f>HYPERLINK("https://klocwork.india.ti.com:443/review/insight-review.html#issuedetails_goto:problemid=21844,project=MCU_PLUS_SDK_AM263X,searchquery=taxonomy:'C and C++' build:Build_Apr_13_2023_11_11_AM grouping:off ","KW Issue Link")</f>
        <v>KW Issue Link</v>
      </c>
      <c r="O78" s="1" t="s">
        <v>276</v>
      </c>
    </row>
    <row r="79" spans="1:15" ht="45" x14ac:dyDescent="0.25">
      <c r="A79" s="1" t="s">
        <v>157</v>
      </c>
      <c r="B79" s="1"/>
      <c r="C79" s="1" t="s">
        <v>277</v>
      </c>
      <c r="D79" s="1">
        <v>21845</v>
      </c>
      <c r="E79" s="1">
        <v>987</v>
      </c>
      <c r="F79" s="1" t="s">
        <v>274</v>
      </c>
      <c r="G79" s="1" t="s">
        <v>278</v>
      </c>
      <c r="H79" s="1" t="s">
        <v>141</v>
      </c>
      <c r="I79" s="1" t="s">
        <v>65</v>
      </c>
      <c r="J79" s="1">
        <v>3</v>
      </c>
      <c r="K79" s="1" t="s">
        <v>142</v>
      </c>
      <c r="L79" s="1" t="s">
        <v>153</v>
      </c>
      <c r="M79" s="1" t="s">
        <v>28</v>
      </c>
      <c r="N79" s="1" t="str">
        <f>HYPERLINK("https://klocwork.india.ti.com:443/review/insight-review.html#issuedetails_goto:problemid=21845,project=MCU_PLUS_SDK_AM263X,searchquery=taxonomy:'C and C++' build:Build_Apr_13_2023_11_11_AM grouping:off ","KW Issue Link")</f>
        <v>KW Issue Link</v>
      </c>
      <c r="O79" s="1" t="s">
        <v>276</v>
      </c>
    </row>
    <row r="80" spans="1:15" ht="60" x14ac:dyDescent="0.25">
      <c r="A80" s="1" t="s">
        <v>157</v>
      </c>
      <c r="B80" s="1"/>
      <c r="C80" s="1" t="s">
        <v>279</v>
      </c>
      <c r="D80" s="1">
        <v>21899</v>
      </c>
      <c r="E80" s="1">
        <v>274</v>
      </c>
      <c r="F80" s="1" t="s">
        <v>274</v>
      </c>
      <c r="G80" s="1" t="s">
        <v>280</v>
      </c>
      <c r="H80" s="1" t="s">
        <v>141</v>
      </c>
      <c r="I80" s="1" t="s">
        <v>65</v>
      </c>
      <c r="J80" s="1">
        <v>3</v>
      </c>
      <c r="K80" s="1" t="s">
        <v>142</v>
      </c>
      <c r="L80" s="1" t="s">
        <v>153</v>
      </c>
      <c r="M80" s="1" t="s">
        <v>28</v>
      </c>
      <c r="N80" s="1" t="str">
        <f>HYPERLINK("https://klocwork.india.ti.com:443/review/insight-review.html#issuedetails_goto:problemid=21899,project=MCU_PLUS_SDK_AM263X,searchquery=taxonomy:'C and C++' build:Build_Apr_13_2023_11_11_AM grouping:off ","KW Issue Link")</f>
        <v>KW Issue Link</v>
      </c>
      <c r="O80" s="1" t="s">
        <v>281</v>
      </c>
    </row>
    <row r="81" spans="1:15" ht="90" x14ac:dyDescent="0.25">
      <c r="A81" s="1" t="s">
        <v>149</v>
      </c>
      <c r="B81" s="1"/>
      <c r="C81" s="1" t="s">
        <v>279</v>
      </c>
      <c r="D81" s="1">
        <v>21901</v>
      </c>
      <c r="E81" s="1">
        <v>289</v>
      </c>
      <c r="F81" s="1" t="s">
        <v>282</v>
      </c>
      <c r="G81" s="1" t="s">
        <v>280</v>
      </c>
      <c r="H81" s="1" t="s">
        <v>141</v>
      </c>
      <c r="I81" s="1" t="s">
        <v>65</v>
      </c>
      <c r="J81" s="1">
        <v>3</v>
      </c>
      <c r="K81" s="1" t="s">
        <v>142</v>
      </c>
      <c r="L81" s="1" t="s">
        <v>153</v>
      </c>
      <c r="M81" s="1" t="s">
        <v>28</v>
      </c>
      <c r="N81" s="1" t="str">
        <f>HYPERLINK("https://klocwork.india.ti.com:443/review/insight-review.html#issuedetails_goto:problemid=21901,project=MCU_PLUS_SDK_AM263X,searchquery=taxonomy:'C and C++' build:Build_Apr_13_2023_11_11_AM grouping:off ","KW Issue Link")</f>
        <v>KW Issue Link</v>
      </c>
      <c r="O81" s="1" t="s">
        <v>281</v>
      </c>
    </row>
    <row r="82" spans="1:15" ht="60" x14ac:dyDescent="0.25">
      <c r="A82" s="1" t="s">
        <v>155</v>
      </c>
      <c r="B82" s="1"/>
      <c r="C82" s="1" t="s">
        <v>279</v>
      </c>
      <c r="D82" s="1">
        <v>21902</v>
      </c>
      <c r="E82" s="1">
        <v>291</v>
      </c>
      <c r="F82" s="1" t="s">
        <v>156</v>
      </c>
      <c r="G82" s="1" t="s">
        <v>280</v>
      </c>
      <c r="H82" s="1" t="s">
        <v>141</v>
      </c>
      <c r="I82" s="1" t="s">
        <v>65</v>
      </c>
      <c r="J82" s="1">
        <v>3</v>
      </c>
      <c r="K82" s="1" t="s">
        <v>142</v>
      </c>
      <c r="L82" s="1" t="s">
        <v>153</v>
      </c>
      <c r="M82" s="1" t="s">
        <v>28</v>
      </c>
      <c r="N82" s="1" t="str">
        <f>HYPERLINK("https://klocwork.india.ti.com:443/review/insight-review.html#issuedetails_goto:problemid=21902,project=MCU_PLUS_SDK_AM263X,searchquery=taxonomy:'C and C++' build:Build_Apr_13_2023_11_11_AM grouping:off ","KW Issue Link")</f>
        <v>KW Issue Link</v>
      </c>
      <c r="O82" s="1" t="s">
        <v>281</v>
      </c>
    </row>
    <row r="83" spans="1:15" ht="60" x14ac:dyDescent="0.25">
      <c r="A83" s="1" t="s">
        <v>283</v>
      </c>
      <c r="B83" s="1"/>
      <c r="C83" s="1" t="s">
        <v>284</v>
      </c>
      <c r="D83" s="1">
        <v>25371</v>
      </c>
      <c r="E83" s="1">
        <v>5212</v>
      </c>
      <c r="F83" s="1" t="s">
        <v>285</v>
      </c>
      <c r="G83" s="1" t="s">
        <v>286</v>
      </c>
      <c r="H83" s="1" t="s">
        <v>141</v>
      </c>
      <c r="I83" s="1" t="s">
        <v>66</v>
      </c>
      <c r="J83" s="1">
        <v>4</v>
      </c>
      <c r="K83" s="1" t="s">
        <v>142</v>
      </c>
      <c r="L83" s="1" t="s">
        <v>153</v>
      </c>
      <c r="M83" s="1" t="s">
        <v>28</v>
      </c>
      <c r="N83" s="1" t="str">
        <f>HYPERLINK("https://klocwork.india.ti.com:443/review/insight-review.html#issuedetails_goto:problemid=25371,project=MCU_PLUS_SDK_AM263X,searchquery=taxonomy:'C and C++' build:Build_Apr_13_2023_11_11_AM grouping:off ","KW Issue Link")</f>
        <v>KW Issue Link</v>
      </c>
      <c r="O83" s="1" t="s">
        <v>287</v>
      </c>
    </row>
    <row r="84" spans="1:15" ht="75" x14ac:dyDescent="0.25">
      <c r="A84" s="1" t="s">
        <v>157</v>
      </c>
      <c r="B84" s="1"/>
      <c r="C84" s="1" t="s">
        <v>288</v>
      </c>
      <c r="D84" s="1">
        <v>30739</v>
      </c>
      <c r="E84" s="1">
        <v>132</v>
      </c>
      <c r="F84" s="1" t="s">
        <v>289</v>
      </c>
      <c r="G84" s="1" t="s">
        <v>290</v>
      </c>
      <c r="H84" s="1" t="s">
        <v>141</v>
      </c>
      <c r="I84" s="1" t="s">
        <v>65</v>
      </c>
      <c r="J84" s="1">
        <v>3</v>
      </c>
      <c r="K84" s="1" t="s">
        <v>142</v>
      </c>
      <c r="L84" s="1" t="s">
        <v>153</v>
      </c>
      <c r="M84" s="1" t="s">
        <v>28</v>
      </c>
      <c r="N84" s="1" t="str">
        <f>HYPERLINK("https://klocwork.india.ti.com:443/review/insight-review.html#issuedetails_goto:problemid=30739,project=MCU_PLUS_SDK_AM263X,searchquery=taxonomy:'C and C++' build:Build_Apr_13_2023_11_11_AM grouping:off ","KW Issue Link")</f>
        <v>KW Issue Link</v>
      </c>
      <c r="O84" s="1" t="s">
        <v>291</v>
      </c>
    </row>
    <row r="85" spans="1:15" ht="75" x14ac:dyDescent="0.25">
      <c r="A85" s="1" t="s">
        <v>157</v>
      </c>
      <c r="B85" s="1"/>
      <c r="C85" s="1" t="s">
        <v>288</v>
      </c>
      <c r="D85" s="1">
        <v>30740</v>
      </c>
      <c r="E85" s="1">
        <v>143</v>
      </c>
      <c r="F85" s="1" t="s">
        <v>292</v>
      </c>
      <c r="G85" s="1" t="s">
        <v>290</v>
      </c>
      <c r="H85" s="1" t="s">
        <v>141</v>
      </c>
      <c r="I85" s="1" t="s">
        <v>65</v>
      </c>
      <c r="J85" s="1">
        <v>3</v>
      </c>
      <c r="K85" s="1" t="s">
        <v>142</v>
      </c>
      <c r="L85" s="1" t="s">
        <v>153</v>
      </c>
      <c r="M85" s="1" t="s">
        <v>28</v>
      </c>
      <c r="N85" s="1" t="str">
        <f>HYPERLINK("https://klocwork.india.ti.com:443/review/insight-review.html#issuedetails_goto:problemid=30740,project=MCU_PLUS_SDK_AM263X,searchquery=taxonomy:'C and C++' build:Build_Apr_13_2023_11_11_AM grouping:off ","KW Issue Link")</f>
        <v>KW Issue Link</v>
      </c>
      <c r="O85" s="1" t="s">
        <v>291</v>
      </c>
    </row>
    <row r="86" spans="1:15" ht="75" x14ac:dyDescent="0.25">
      <c r="A86" s="1" t="s">
        <v>149</v>
      </c>
      <c r="B86" s="1"/>
      <c r="C86" s="1" t="s">
        <v>293</v>
      </c>
      <c r="D86" s="1">
        <v>31063</v>
      </c>
      <c r="E86" s="1">
        <v>132</v>
      </c>
      <c r="F86" s="1" t="s">
        <v>294</v>
      </c>
      <c r="G86" s="1" t="s">
        <v>295</v>
      </c>
      <c r="H86" s="1" t="s">
        <v>141</v>
      </c>
      <c r="I86" s="1" t="s">
        <v>65</v>
      </c>
      <c r="J86" s="1">
        <v>3</v>
      </c>
      <c r="K86" s="1" t="s">
        <v>142</v>
      </c>
      <c r="L86" s="1" t="s">
        <v>153</v>
      </c>
      <c r="M86" s="1" t="s">
        <v>28</v>
      </c>
      <c r="N86" s="1" t="str">
        <f>HYPERLINK("https://klocwork.india.ti.com:443/review/insight-review.html#issuedetails_goto:problemid=31063,project=MCU_PLUS_SDK_AM263X,searchquery=taxonomy:'C and C++' build:Build_Apr_13_2023_11_11_AM grouping:off ","KW Issue Link")</f>
        <v>KW Issue Link</v>
      </c>
      <c r="O86" s="1" t="s">
        <v>291</v>
      </c>
    </row>
    <row r="87" spans="1:15" ht="90" x14ac:dyDescent="0.25">
      <c r="A87" s="1" t="s">
        <v>149</v>
      </c>
      <c r="B87" s="1"/>
      <c r="C87" s="1" t="s">
        <v>293</v>
      </c>
      <c r="D87" s="1">
        <v>31064</v>
      </c>
      <c r="E87" s="1">
        <v>1329</v>
      </c>
      <c r="F87" s="1" t="s">
        <v>296</v>
      </c>
      <c r="G87" s="1" t="s">
        <v>297</v>
      </c>
      <c r="H87" s="1" t="s">
        <v>141</v>
      </c>
      <c r="I87" s="1" t="s">
        <v>65</v>
      </c>
      <c r="J87" s="1">
        <v>3</v>
      </c>
      <c r="K87" s="1" t="s">
        <v>142</v>
      </c>
      <c r="L87" s="1" t="s">
        <v>153</v>
      </c>
      <c r="M87" s="1" t="s">
        <v>28</v>
      </c>
      <c r="N87" s="1" t="str">
        <f>HYPERLINK("https://klocwork.india.ti.com:443/review/insight-review.html#issuedetails_goto:problemid=31064,project=MCU_PLUS_SDK_AM263X,searchquery=taxonomy:'C and C++' build:Build_Apr_13_2023_11_11_AM grouping:off ","KW Issue Link")</f>
        <v>KW Issue Link</v>
      </c>
      <c r="O87" s="1" t="s">
        <v>291</v>
      </c>
    </row>
    <row r="88" spans="1:15" ht="60" x14ac:dyDescent="0.25">
      <c r="A88" s="1" t="s">
        <v>298</v>
      </c>
      <c r="B88" s="1" t="s">
        <v>299</v>
      </c>
      <c r="C88" s="1" t="s">
        <v>293</v>
      </c>
      <c r="D88" s="1">
        <v>31225</v>
      </c>
      <c r="E88" s="1">
        <v>658</v>
      </c>
      <c r="F88" s="1" t="s">
        <v>300</v>
      </c>
      <c r="G88" s="1" t="s">
        <v>301</v>
      </c>
      <c r="H88" s="1" t="s">
        <v>141</v>
      </c>
      <c r="I88" s="1" t="s">
        <v>63</v>
      </c>
      <c r="J88" s="1">
        <v>1</v>
      </c>
      <c r="K88" s="1" t="s">
        <v>142</v>
      </c>
      <c r="L88" s="1" t="s">
        <v>177</v>
      </c>
      <c r="M88" s="1" t="s">
        <v>28</v>
      </c>
      <c r="N88" s="1" t="str">
        <f>HYPERLINK("https://klocwork.india.ti.com:443/review/insight-review.html#issuedetails_goto:problemid=31225,project=MCU_PLUS_SDK_AM263X,searchquery=taxonomy:'C and C++' build:Build_Apr_13_2023_11_11_AM grouping:off ","KW Issue Link")</f>
        <v>KW Issue Link</v>
      </c>
      <c r="O88" s="1" t="s">
        <v>291</v>
      </c>
    </row>
    <row r="89" spans="1:15" ht="60" x14ac:dyDescent="0.25">
      <c r="A89" s="1" t="s">
        <v>302</v>
      </c>
      <c r="B89" s="1" t="s">
        <v>299</v>
      </c>
      <c r="C89" s="1" t="s">
        <v>303</v>
      </c>
      <c r="D89" s="1">
        <v>31856</v>
      </c>
      <c r="E89" s="1">
        <v>136</v>
      </c>
      <c r="F89" s="1" t="s">
        <v>304</v>
      </c>
      <c r="G89" s="1" t="s">
        <v>305</v>
      </c>
      <c r="H89" s="1" t="s">
        <v>141</v>
      </c>
      <c r="I89" s="1" t="s">
        <v>63</v>
      </c>
      <c r="J89" s="1">
        <v>1</v>
      </c>
      <c r="K89" s="1" t="s">
        <v>142</v>
      </c>
      <c r="L89" s="1" t="s">
        <v>177</v>
      </c>
      <c r="M89" s="1" t="s">
        <v>28</v>
      </c>
      <c r="N89" s="1" t="str">
        <f>HYPERLINK("https://klocwork.india.ti.com:443/review/insight-review.html#issuedetails_goto:problemid=31856,project=MCU_PLUS_SDK_AM263X,searchquery=taxonomy:'C and C++' build:Build_Apr_13_2023_11_11_AM grouping:off ","KW Issue Link")</f>
        <v>KW Issue Link</v>
      </c>
      <c r="O89" s="1" t="s">
        <v>291</v>
      </c>
    </row>
    <row r="90" spans="1:15" ht="60" x14ac:dyDescent="0.25">
      <c r="A90" s="1" t="s">
        <v>302</v>
      </c>
      <c r="B90" s="1" t="s">
        <v>299</v>
      </c>
      <c r="C90" s="1" t="s">
        <v>303</v>
      </c>
      <c r="D90" s="1">
        <v>31857</v>
      </c>
      <c r="E90" s="1">
        <v>139</v>
      </c>
      <c r="F90" s="1" t="s">
        <v>306</v>
      </c>
      <c r="G90" s="1" t="s">
        <v>305</v>
      </c>
      <c r="H90" s="1" t="s">
        <v>141</v>
      </c>
      <c r="I90" s="1" t="s">
        <v>63</v>
      </c>
      <c r="J90" s="1">
        <v>1</v>
      </c>
      <c r="K90" s="1" t="s">
        <v>142</v>
      </c>
      <c r="L90" s="1" t="s">
        <v>177</v>
      </c>
      <c r="M90" s="1" t="s">
        <v>28</v>
      </c>
      <c r="N90" s="1" t="str">
        <f>HYPERLINK("https://klocwork.india.ti.com:443/review/insight-review.html#issuedetails_goto:problemid=31857,project=MCU_PLUS_SDK_AM263X,searchquery=taxonomy:'C and C++' build:Build_Apr_13_2023_11_11_AM grouping:off ","KW Issue Link")</f>
        <v>KW Issue Link</v>
      </c>
      <c r="O90" s="1" t="s">
        <v>291</v>
      </c>
    </row>
    <row r="91" spans="1:15" ht="60" x14ac:dyDescent="0.25">
      <c r="A91" s="1" t="s">
        <v>302</v>
      </c>
      <c r="B91" s="1" t="s">
        <v>299</v>
      </c>
      <c r="C91" s="1" t="s">
        <v>303</v>
      </c>
      <c r="D91" s="1">
        <v>31858</v>
      </c>
      <c r="E91" s="1">
        <v>142</v>
      </c>
      <c r="F91" s="1" t="s">
        <v>307</v>
      </c>
      <c r="G91" s="1" t="s">
        <v>305</v>
      </c>
      <c r="H91" s="1" t="s">
        <v>141</v>
      </c>
      <c r="I91" s="1" t="s">
        <v>63</v>
      </c>
      <c r="J91" s="1">
        <v>1</v>
      </c>
      <c r="K91" s="1" t="s">
        <v>142</v>
      </c>
      <c r="L91" s="1" t="s">
        <v>177</v>
      </c>
      <c r="M91" s="1" t="s">
        <v>28</v>
      </c>
      <c r="N91" s="1" t="str">
        <f>HYPERLINK("https://klocwork.india.ti.com:443/review/insight-review.html#issuedetails_goto:problemid=31858,project=MCU_PLUS_SDK_AM263X,searchquery=taxonomy:'C and C++' build:Build_Apr_13_2023_11_11_AM grouping:off ","KW Issue Link")</f>
        <v>KW Issue Link</v>
      </c>
      <c r="O91" s="1" t="s">
        <v>291</v>
      </c>
    </row>
    <row r="92" spans="1:15" ht="60" x14ac:dyDescent="0.25">
      <c r="A92" s="1" t="s">
        <v>298</v>
      </c>
      <c r="B92" s="1" t="s">
        <v>299</v>
      </c>
      <c r="C92" s="1" t="s">
        <v>303</v>
      </c>
      <c r="D92" s="1">
        <v>31924</v>
      </c>
      <c r="E92" s="1">
        <v>364</v>
      </c>
      <c r="F92" s="1" t="s">
        <v>308</v>
      </c>
      <c r="G92" s="1" t="s">
        <v>309</v>
      </c>
      <c r="H92" s="1" t="s">
        <v>141</v>
      </c>
      <c r="I92" s="1" t="s">
        <v>63</v>
      </c>
      <c r="J92" s="1">
        <v>1</v>
      </c>
      <c r="K92" s="1" t="s">
        <v>142</v>
      </c>
      <c r="L92" s="1" t="s">
        <v>177</v>
      </c>
      <c r="M92" s="1" t="s">
        <v>28</v>
      </c>
      <c r="N92" s="1" t="str">
        <f>HYPERLINK("https://klocwork.india.ti.com:443/review/insight-review.html#issuedetails_goto:problemid=31924,project=MCU_PLUS_SDK_AM263X,searchquery=taxonomy:'C and C++' build:Build_Apr_13_2023_11_11_AM grouping:off ","KW Issue Link")</f>
        <v>KW Issue Link</v>
      </c>
      <c r="O92" s="1" t="s">
        <v>291</v>
      </c>
    </row>
    <row r="93" spans="1:15" ht="60" x14ac:dyDescent="0.25">
      <c r="A93" s="1" t="s">
        <v>298</v>
      </c>
      <c r="B93" s="1" t="s">
        <v>299</v>
      </c>
      <c r="C93" s="1" t="s">
        <v>303</v>
      </c>
      <c r="D93" s="1">
        <v>31925</v>
      </c>
      <c r="E93" s="1">
        <v>445</v>
      </c>
      <c r="F93" s="1" t="s">
        <v>310</v>
      </c>
      <c r="G93" s="1" t="s">
        <v>311</v>
      </c>
      <c r="H93" s="1" t="s">
        <v>141</v>
      </c>
      <c r="I93" s="1" t="s">
        <v>63</v>
      </c>
      <c r="J93" s="1">
        <v>1</v>
      </c>
      <c r="K93" s="1" t="s">
        <v>142</v>
      </c>
      <c r="L93" s="1" t="s">
        <v>177</v>
      </c>
      <c r="M93" s="1" t="s">
        <v>28</v>
      </c>
      <c r="N93" s="1" t="str">
        <f>HYPERLINK("https://klocwork.india.ti.com:443/review/insight-review.html#issuedetails_goto:problemid=31925,project=MCU_PLUS_SDK_AM263X,searchquery=taxonomy:'C and C++' build:Build_Apr_13_2023_11_11_AM grouping:off ","KW Issue Link")</f>
        <v>KW Issue Link</v>
      </c>
      <c r="O93" s="1" t="s">
        <v>291</v>
      </c>
    </row>
    <row r="94" spans="1:15" ht="75" x14ac:dyDescent="0.25">
      <c r="A94" s="1" t="s">
        <v>298</v>
      </c>
      <c r="B94" s="1" t="s">
        <v>299</v>
      </c>
      <c r="C94" s="1" t="s">
        <v>303</v>
      </c>
      <c r="D94" s="1">
        <v>31926</v>
      </c>
      <c r="E94" s="1">
        <v>489</v>
      </c>
      <c r="F94" s="1" t="s">
        <v>312</v>
      </c>
      <c r="G94" s="1" t="s">
        <v>311</v>
      </c>
      <c r="H94" s="1" t="s">
        <v>141</v>
      </c>
      <c r="I94" s="1" t="s">
        <v>63</v>
      </c>
      <c r="J94" s="1">
        <v>1</v>
      </c>
      <c r="K94" s="1" t="s">
        <v>142</v>
      </c>
      <c r="L94" s="1" t="s">
        <v>177</v>
      </c>
      <c r="M94" s="1" t="s">
        <v>28</v>
      </c>
      <c r="N94" s="1" t="str">
        <f>HYPERLINK("https://klocwork.india.ti.com:443/review/insight-review.html#issuedetails_goto:problemid=31926,project=MCU_PLUS_SDK_AM263X,searchquery=taxonomy:'C and C++' build:Build_Apr_13_2023_11_11_AM grouping:off ","KW Issue Link")</f>
        <v>KW Issue Link</v>
      </c>
      <c r="O94" s="1" t="s">
        <v>291</v>
      </c>
    </row>
    <row r="95" spans="1:15" ht="75" x14ac:dyDescent="0.25">
      <c r="A95" s="1" t="s">
        <v>298</v>
      </c>
      <c r="B95" s="1" t="s">
        <v>299</v>
      </c>
      <c r="C95" s="1" t="s">
        <v>303</v>
      </c>
      <c r="D95" s="1">
        <v>31927</v>
      </c>
      <c r="E95" s="1">
        <v>492</v>
      </c>
      <c r="F95" s="1" t="s">
        <v>313</v>
      </c>
      <c r="G95" s="1" t="s">
        <v>311</v>
      </c>
      <c r="H95" s="1" t="s">
        <v>141</v>
      </c>
      <c r="I95" s="1" t="s">
        <v>63</v>
      </c>
      <c r="J95" s="1">
        <v>1</v>
      </c>
      <c r="K95" s="1" t="s">
        <v>142</v>
      </c>
      <c r="L95" s="1" t="s">
        <v>177</v>
      </c>
      <c r="M95" s="1" t="s">
        <v>28</v>
      </c>
      <c r="N95" s="1" t="str">
        <f>HYPERLINK("https://klocwork.india.ti.com:443/review/insight-review.html#issuedetails_goto:problemid=31927,project=MCU_PLUS_SDK_AM263X,searchquery=taxonomy:'C and C++' build:Build_Apr_13_2023_11_11_AM grouping:off ","KW Issue Link")</f>
        <v>KW Issue Link</v>
      </c>
      <c r="O95" s="1" t="s">
        <v>291</v>
      </c>
    </row>
    <row r="96" spans="1:15" ht="60" x14ac:dyDescent="0.25">
      <c r="A96" s="1" t="s">
        <v>298</v>
      </c>
      <c r="B96" s="1" t="s">
        <v>299</v>
      </c>
      <c r="C96" s="1" t="s">
        <v>303</v>
      </c>
      <c r="D96" s="1">
        <v>31928</v>
      </c>
      <c r="E96" s="1">
        <v>931</v>
      </c>
      <c r="F96" s="1" t="s">
        <v>314</v>
      </c>
      <c r="G96" s="1" t="s">
        <v>315</v>
      </c>
      <c r="H96" s="1" t="s">
        <v>141</v>
      </c>
      <c r="I96" s="1" t="s">
        <v>63</v>
      </c>
      <c r="J96" s="1">
        <v>1</v>
      </c>
      <c r="K96" s="1" t="s">
        <v>142</v>
      </c>
      <c r="L96" s="1" t="s">
        <v>177</v>
      </c>
      <c r="M96" s="1" t="s">
        <v>28</v>
      </c>
      <c r="N96" s="1" t="str">
        <f>HYPERLINK("https://klocwork.india.ti.com:443/review/insight-review.html#issuedetails_goto:problemid=31928,project=MCU_PLUS_SDK_AM263X,searchquery=taxonomy:'C and C++' build:Build_Apr_13_2023_11_11_AM grouping:off ","KW Issue Link")</f>
        <v>KW Issue Link</v>
      </c>
      <c r="O96" s="1" t="s">
        <v>291</v>
      </c>
    </row>
    <row r="97" spans="1:15" ht="75" x14ac:dyDescent="0.25">
      <c r="A97" s="1" t="s">
        <v>298</v>
      </c>
      <c r="B97" s="1" t="s">
        <v>299</v>
      </c>
      <c r="C97" s="1" t="s">
        <v>303</v>
      </c>
      <c r="D97" s="1">
        <v>31929</v>
      </c>
      <c r="E97" s="1">
        <v>937</v>
      </c>
      <c r="F97" s="1" t="s">
        <v>316</v>
      </c>
      <c r="G97" s="1" t="s">
        <v>315</v>
      </c>
      <c r="H97" s="1" t="s">
        <v>141</v>
      </c>
      <c r="I97" s="1" t="s">
        <v>63</v>
      </c>
      <c r="J97" s="1">
        <v>1</v>
      </c>
      <c r="K97" s="1" t="s">
        <v>142</v>
      </c>
      <c r="L97" s="1" t="s">
        <v>177</v>
      </c>
      <c r="M97" s="1" t="s">
        <v>28</v>
      </c>
      <c r="N97" s="1" t="str">
        <f>HYPERLINK("https://klocwork.india.ti.com:443/review/insight-review.html#issuedetails_goto:problemid=31929,project=MCU_PLUS_SDK_AM263X,searchquery=taxonomy:'C and C++' build:Build_Apr_13_2023_11_11_AM grouping:off ","KW Issue Link")</f>
        <v>KW Issue Link</v>
      </c>
      <c r="O97" s="1" t="s">
        <v>291</v>
      </c>
    </row>
    <row r="98" spans="1:15" ht="90" x14ac:dyDescent="0.25">
      <c r="A98" s="1" t="s">
        <v>298</v>
      </c>
      <c r="B98" s="1" t="s">
        <v>299</v>
      </c>
      <c r="C98" s="1" t="s">
        <v>303</v>
      </c>
      <c r="D98" s="1">
        <v>31930</v>
      </c>
      <c r="E98" s="1">
        <v>1336</v>
      </c>
      <c r="F98" s="1" t="s">
        <v>317</v>
      </c>
      <c r="G98" s="1" t="s">
        <v>318</v>
      </c>
      <c r="H98" s="1" t="s">
        <v>141</v>
      </c>
      <c r="I98" s="1" t="s">
        <v>63</v>
      </c>
      <c r="J98" s="1">
        <v>1</v>
      </c>
      <c r="K98" s="1" t="s">
        <v>142</v>
      </c>
      <c r="L98" s="1" t="s">
        <v>177</v>
      </c>
      <c r="M98" s="1" t="s">
        <v>28</v>
      </c>
      <c r="N98" s="1" t="str">
        <f>HYPERLINK("https://klocwork.india.ti.com:443/review/insight-review.html#issuedetails_goto:problemid=31930,project=MCU_PLUS_SDK_AM263X,searchquery=taxonomy:'C and C++' build:Build_Apr_13_2023_11_11_AM grouping:off ","KW Issue Link")</f>
        <v>KW Issue Link</v>
      </c>
      <c r="O98" s="1" t="s">
        <v>291</v>
      </c>
    </row>
    <row r="99" spans="1:15" ht="60" x14ac:dyDescent="0.25">
      <c r="A99" s="1" t="s">
        <v>298</v>
      </c>
      <c r="B99" s="1" t="s">
        <v>299</v>
      </c>
      <c r="C99" s="1" t="s">
        <v>303</v>
      </c>
      <c r="D99" s="1">
        <v>31931</v>
      </c>
      <c r="E99" s="1">
        <v>1652</v>
      </c>
      <c r="F99" s="1" t="s">
        <v>319</v>
      </c>
      <c r="G99" s="1" t="s">
        <v>320</v>
      </c>
      <c r="H99" s="1" t="s">
        <v>141</v>
      </c>
      <c r="I99" s="1" t="s">
        <v>63</v>
      </c>
      <c r="J99" s="1">
        <v>1</v>
      </c>
      <c r="K99" s="1" t="s">
        <v>142</v>
      </c>
      <c r="L99" s="1" t="s">
        <v>177</v>
      </c>
      <c r="M99" s="1" t="s">
        <v>28</v>
      </c>
      <c r="N99" s="1" t="str">
        <f>HYPERLINK("https://klocwork.india.ti.com:443/review/insight-review.html#issuedetails_goto:problemid=31931,project=MCU_PLUS_SDK_AM263X,searchquery=taxonomy:'C and C++' build:Build_Apr_13_2023_11_11_AM grouping:off ","KW Issue Link")</f>
        <v>KW Issue Link</v>
      </c>
      <c r="O99" s="1" t="s">
        <v>291</v>
      </c>
    </row>
    <row r="100" spans="1:15" ht="75" x14ac:dyDescent="0.25">
      <c r="A100" s="1" t="s">
        <v>298</v>
      </c>
      <c r="B100" s="1" t="s">
        <v>299</v>
      </c>
      <c r="C100" s="1" t="s">
        <v>303</v>
      </c>
      <c r="D100" s="1">
        <v>31932</v>
      </c>
      <c r="E100" s="1">
        <v>1656</v>
      </c>
      <c r="F100" s="1" t="s">
        <v>321</v>
      </c>
      <c r="G100" s="1" t="s">
        <v>320</v>
      </c>
      <c r="H100" s="1" t="s">
        <v>141</v>
      </c>
      <c r="I100" s="1" t="s">
        <v>63</v>
      </c>
      <c r="J100" s="1">
        <v>1</v>
      </c>
      <c r="K100" s="1" t="s">
        <v>142</v>
      </c>
      <c r="L100" s="1" t="s">
        <v>177</v>
      </c>
      <c r="M100" s="1" t="s">
        <v>28</v>
      </c>
      <c r="N100" s="1" t="str">
        <f>HYPERLINK("https://klocwork.india.ti.com:443/review/insight-review.html#issuedetails_goto:problemid=31932,project=MCU_PLUS_SDK_AM263X,searchquery=taxonomy:'C and C++' build:Build_Apr_13_2023_11_11_AM grouping:off ","KW Issue Link")</f>
        <v>KW Issue Link</v>
      </c>
      <c r="O100" s="1" t="s">
        <v>291</v>
      </c>
    </row>
    <row r="101" spans="1:15" ht="60" x14ac:dyDescent="0.25">
      <c r="A101" s="1" t="s">
        <v>155</v>
      </c>
      <c r="B101" s="1"/>
      <c r="C101" s="1" t="s">
        <v>303</v>
      </c>
      <c r="D101" s="1">
        <v>32013</v>
      </c>
      <c r="E101" s="1">
        <v>481</v>
      </c>
      <c r="F101" s="1" t="s">
        <v>156</v>
      </c>
      <c r="G101" s="1" t="s">
        <v>311</v>
      </c>
      <c r="H101" s="1" t="s">
        <v>141</v>
      </c>
      <c r="I101" s="1" t="s">
        <v>65</v>
      </c>
      <c r="J101" s="1">
        <v>3</v>
      </c>
      <c r="K101" s="1" t="s">
        <v>142</v>
      </c>
      <c r="L101" s="1" t="s">
        <v>153</v>
      </c>
      <c r="M101" s="1" t="s">
        <v>28</v>
      </c>
      <c r="N101" s="1" t="str">
        <f>HYPERLINK("https://klocwork.india.ti.com:443/review/insight-review.html#issuedetails_goto:problemid=32013,project=MCU_PLUS_SDK_AM263X,searchquery=taxonomy:'C and C++' build:Build_Apr_13_2023_11_11_AM grouping:off ","KW Issue Link")</f>
        <v>KW Issue Link</v>
      </c>
      <c r="O101" s="1" t="s">
        <v>291</v>
      </c>
    </row>
    <row r="102" spans="1:15" ht="60" x14ac:dyDescent="0.25">
      <c r="A102" s="1" t="s">
        <v>155</v>
      </c>
      <c r="B102" s="1"/>
      <c r="C102" s="1" t="s">
        <v>303</v>
      </c>
      <c r="D102" s="1">
        <v>32014</v>
      </c>
      <c r="E102" s="1">
        <v>1042</v>
      </c>
      <c r="F102" s="1" t="s">
        <v>156</v>
      </c>
      <c r="G102" s="1" t="s">
        <v>315</v>
      </c>
      <c r="H102" s="1" t="s">
        <v>141</v>
      </c>
      <c r="I102" s="1" t="s">
        <v>65</v>
      </c>
      <c r="J102" s="1">
        <v>3</v>
      </c>
      <c r="K102" s="1" t="s">
        <v>142</v>
      </c>
      <c r="L102" s="1" t="s">
        <v>153</v>
      </c>
      <c r="M102" s="1" t="s">
        <v>28</v>
      </c>
      <c r="N102" s="1" t="str">
        <f>HYPERLINK("https://klocwork.india.ti.com:443/review/insight-review.html#issuedetails_goto:problemid=32014,project=MCU_PLUS_SDK_AM263X,searchquery=taxonomy:'C and C++' build:Build_Apr_13_2023_11_11_AM grouping:off ","KW Issue Link")</f>
        <v>KW Issue Link</v>
      </c>
      <c r="O102" s="1" t="s">
        <v>291</v>
      </c>
    </row>
    <row r="103" spans="1:15" ht="60" x14ac:dyDescent="0.25">
      <c r="A103" s="1" t="s">
        <v>155</v>
      </c>
      <c r="B103" s="1"/>
      <c r="C103" s="1" t="s">
        <v>303</v>
      </c>
      <c r="D103" s="1">
        <v>32015</v>
      </c>
      <c r="E103" s="1">
        <v>1086</v>
      </c>
      <c r="F103" s="1" t="s">
        <v>156</v>
      </c>
      <c r="G103" s="1" t="s">
        <v>315</v>
      </c>
      <c r="H103" s="1" t="s">
        <v>141</v>
      </c>
      <c r="I103" s="1" t="s">
        <v>65</v>
      </c>
      <c r="J103" s="1">
        <v>3</v>
      </c>
      <c r="K103" s="1" t="s">
        <v>142</v>
      </c>
      <c r="L103" s="1" t="s">
        <v>153</v>
      </c>
      <c r="M103" s="1" t="s">
        <v>28</v>
      </c>
      <c r="N103" s="1" t="str">
        <f>HYPERLINK("https://klocwork.india.ti.com:443/review/insight-review.html#issuedetails_goto:problemid=32015,project=MCU_PLUS_SDK_AM263X,searchquery=taxonomy:'C and C++' build:Build_Apr_13_2023_11_11_AM grouping:off ","KW Issue Link")</f>
        <v>KW Issue Link</v>
      </c>
      <c r="O103" s="1" t="s">
        <v>291</v>
      </c>
    </row>
    <row r="104" spans="1:15" ht="60" x14ac:dyDescent="0.25">
      <c r="A104" s="1" t="s">
        <v>155</v>
      </c>
      <c r="B104" s="1"/>
      <c r="C104" s="1" t="s">
        <v>303</v>
      </c>
      <c r="D104" s="1">
        <v>32016</v>
      </c>
      <c r="E104" s="1">
        <v>1178</v>
      </c>
      <c r="F104" s="1" t="s">
        <v>156</v>
      </c>
      <c r="G104" s="1" t="s">
        <v>322</v>
      </c>
      <c r="H104" s="1" t="s">
        <v>141</v>
      </c>
      <c r="I104" s="1" t="s">
        <v>65</v>
      </c>
      <c r="J104" s="1">
        <v>3</v>
      </c>
      <c r="K104" s="1" t="s">
        <v>142</v>
      </c>
      <c r="L104" s="1" t="s">
        <v>153</v>
      </c>
      <c r="M104" s="1" t="s">
        <v>28</v>
      </c>
      <c r="N104" s="1" t="str">
        <f>HYPERLINK("https://klocwork.india.ti.com:443/review/insight-review.html#issuedetails_goto:problemid=32016,project=MCU_PLUS_SDK_AM263X,searchquery=taxonomy:'C and C++' build:Build_Apr_13_2023_11_11_AM grouping:off ","KW Issue Link")</f>
        <v>KW Issue Link</v>
      </c>
      <c r="O104" s="1" t="s">
        <v>291</v>
      </c>
    </row>
    <row r="105" spans="1:15" ht="60" x14ac:dyDescent="0.25">
      <c r="A105" s="1" t="s">
        <v>155</v>
      </c>
      <c r="B105" s="1"/>
      <c r="C105" s="1" t="s">
        <v>303</v>
      </c>
      <c r="D105" s="1">
        <v>32017</v>
      </c>
      <c r="E105" s="1">
        <v>1327</v>
      </c>
      <c r="F105" s="1" t="s">
        <v>156</v>
      </c>
      <c r="G105" s="1" t="s">
        <v>318</v>
      </c>
      <c r="H105" s="1" t="s">
        <v>141</v>
      </c>
      <c r="I105" s="1" t="s">
        <v>65</v>
      </c>
      <c r="J105" s="1">
        <v>3</v>
      </c>
      <c r="K105" s="1" t="s">
        <v>142</v>
      </c>
      <c r="L105" s="1" t="s">
        <v>153</v>
      </c>
      <c r="M105" s="1" t="s">
        <v>28</v>
      </c>
      <c r="N105" s="1" t="str">
        <f>HYPERLINK("https://klocwork.india.ti.com:443/review/insight-review.html#issuedetails_goto:problemid=32017,project=MCU_PLUS_SDK_AM263X,searchquery=taxonomy:'C and C++' build:Build_Apr_13_2023_11_11_AM grouping:off ","KW Issue Link")</f>
        <v>KW Issue Link</v>
      </c>
      <c r="O105" s="1" t="s">
        <v>291</v>
      </c>
    </row>
    <row r="106" spans="1:15" ht="60" x14ac:dyDescent="0.25">
      <c r="A106" s="1" t="s">
        <v>155</v>
      </c>
      <c r="B106" s="1"/>
      <c r="C106" s="1" t="s">
        <v>303</v>
      </c>
      <c r="D106" s="1">
        <v>32018</v>
      </c>
      <c r="E106" s="1">
        <v>1986</v>
      </c>
      <c r="F106" s="1" t="s">
        <v>156</v>
      </c>
      <c r="G106" s="1" t="s">
        <v>323</v>
      </c>
      <c r="H106" s="1" t="s">
        <v>141</v>
      </c>
      <c r="I106" s="1" t="s">
        <v>65</v>
      </c>
      <c r="J106" s="1">
        <v>3</v>
      </c>
      <c r="K106" s="1" t="s">
        <v>142</v>
      </c>
      <c r="L106" s="1" t="s">
        <v>153</v>
      </c>
      <c r="M106" s="1" t="s">
        <v>28</v>
      </c>
      <c r="N106" s="1" t="str">
        <f>HYPERLINK("https://klocwork.india.ti.com:443/review/insight-review.html#issuedetails_goto:problemid=32018,project=MCU_PLUS_SDK_AM263X,searchquery=taxonomy:'C and C++' build:Build_Apr_13_2023_11_11_AM grouping:off ","KW Issue Link")</f>
        <v>KW Issue Link</v>
      </c>
      <c r="O106" s="1" t="s">
        <v>291</v>
      </c>
    </row>
    <row r="107" spans="1:15" ht="90" x14ac:dyDescent="0.25">
      <c r="A107" s="1" t="s">
        <v>149</v>
      </c>
      <c r="B107" s="1"/>
      <c r="C107" s="1" t="s">
        <v>303</v>
      </c>
      <c r="D107" s="1">
        <v>32027</v>
      </c>
      <c r="E107" s="1">
        <v>1021</v>
      </c>
      <c r="F107" s="1" t="s">
        <v>324</v>
      </c>
      <c r="G107" s="1" t="s">
        <v>315</v>
      </c>
      <c r="H107" s="1" t="s">
        <v>141</v>
      </c>
      <c r="I107" s="1" t="s">
        <v>65</v>
      </c>
      <c r="J107" s="1">
        <v>3</v>
      </c>
      <c r="K107" s="1" t="s">
        <v>142</v>
      </c>
      <c r="L107" s="1" t="s">
        <v>153</v>
      </c>
      <c r="M107" s="1" t="s">
        <v>28</v>
      </c>
      <c r="N107" s="1" t="str">
        <f>HYPERLINK("https://klocwork.india.ti.com:443/review/insight-review.html#issuedetails_goto:problemid=32027,project=MCU_PLUS_SDK_AM263X,searchquery=taxonomy:'C and C++' build:Build_Apr_13_2023_11_11_AM grouping:off ","KW Issue Link")</f>
        <v>KW Issue Link</v>
      </c>
      <c r="O107" s="1" t="s">
        <v>291</v>
      </c>
    </row>
    <row r="108" spans="1:15" ht="90" x14ac:dyDescent="0.25">
      <c r="A108" s="1" t="s">
        <v>149</v>
      </c>
      <c r="B108" s="1"/>
      <c r="C108" s="1" t="s">
        <v>303</v>
      </c>
      <c r="D108" s="1">
        <v>32028</v>
      </c>
      <c r="E108" s="1">
        <v>1056</v>
      </c>
      <c r="F108" s="1" t="s">
        <v>325</v>
      </c>
      <c r="G108" s="1" t="s">
        <v>315</v>
      </c>
      <c r="H108" s="1" t="s">
        <v>141</v>
      </c>
      <c r="I108" s="1" t="s">
        <v>65</v>
      </c>
      <c r="J108" s="1">
        <v>3</v>
      </c>
      <c r="K108" s="1" t="s">
        <v>142</v>
      </c>
      <c r="L108" s="1" t="s">
        <v>153</v>
      </c>
      <c r="M108" s="1" t="s">
        <v>28</v>
      </c>
      <c r="N108" s="1" t="str">
        <f>HYPERLINK("https://klocwork.india.ti.com:443/review/insight-review.html#issuedetails_goto:problemid=32028,project=MCU_PLUS_SDK_AM263X,searchquery=taxonomy:'C and C++' build:Build_Apr_13_2023_11_11_AM grouping:off ","KW Issue Link")</f>
        <v>KW Issue Link</v>
      </c>
      <c r="O108" s="1" t="s">
        <v>291</v>
      </c>
    </row>
    <row r="109" spans="1:15" ht="105" x14ac:dyDescent="0.25">
      <c r="A109" s="1" t="s">
        <v>149</v>
      </c>
      <c r="B109" s="1"/>
      <c r="C109" s="1" t="s">
        <v>303</v>
      </c>
      <c r="D109" s="1">
        <v>32029</v>
      </c>
      <c r="E109" s="1">
        <v>1177</v>
      </c>
      <c r="F109" s="1" t="s">
        <v>326</v>
      </c>
      <c r="G109" s="1" t="s">
        <v>322</v>
      </c>
      <c r="H109" s="1" t="s">
        <v>141</v>
      </c>
      <c r="I109" s="1" t="s">
        <v>65</v>
      </c>
      <c r="J109" s="1">
        <v>3</v>
      </c>
      <c r="K109" s="1" t="s">
        <v>142</v>
      </c>
      <c r="L109" s="1" t="s">
        <v>153</v>
      </c>
      <c r="M109" s="1" t="s">
        <v>28</v>
      </c>
      <c r="N109" s="1" t="str">
        <f>HYPERLINK("https://klocwork.india.ti.com:443/review/insight-review.html#issuedetails_goto:problemid=32029,project=MCU_PLUS_SDK_AM263X,searchquery=taxonomy:'C and C++' build:Build_Apr_13_2023_11_11_AM grouping:off ","KW Issue Link")</f>
        <v>KW Issue Link</v>
      </c>
      <c r="O109" s="1" t="s">
        <v>291</v>
      </c>
    </row>
    <row r="110" spans="1:15" ht="105" x14ac:dyDescent="0.25">
      <c r="A110" s="1" t="s">
        <v>149</v>
      </c>
      <c r="B110" s="1"/>
      <c r="C110" s="1" t="s">
        <v>303</v>
      </c>
      <c r="D110" s="1">
        <v>32030</v>
      </c>
      <c r="E110" s="1">
        <v>1985</v>
      </c>
      <c r="F110" s="1" t="s">
        <v>326</v>
      </c>
      <c r="G110" s="1" t="s">
        <v>323</v>
      </c>
      <c r="H110" s="1" t="s">
        <v>141</v>
      </c>
      <c r="I110" s="1" t="s">
        <v>65</v>
      </c>
      <c r="J110" s="1">
        <v>3</v>
      </c>
      <c r="K110" s="1" t="s">
        <v>142</v>
      </c>
      <c r="L110" s="1" t="s">
        <v>153</v>
      </c>
      <c r="M110" s="1" t="s">
        <v>28</v>
      </c>
      <c r="N110" s="1" t="str">
        <f>HYPERLINK("https://klocwork.india.ti.com:443/review/insight-review.html#issuedetails_goto:problemid=32030,project=MCU_PLUS_SDK_AM263X,searchquery=taxonomy:'C and C++' build:Build_Apr_13_2023_11_11_AM grouping:off ","KW Issue Link")</f>
        <v>KW Issue Link</v>
      </c>
      <c r="O110" s="1" t="s">
        <v>291</v>
      </c>
    </row>
    <row r="111" spans="1:15" ht="90" x14ac:dyDescent="0.25">
      <c r="A111" s="1" t="s">
        <v>327</v>
      </c>
      <c r="B111" s="1" t="s">
        <v>299</v>
      </c>
      <c r="C111" s="1" t="s">
        <v>303</v>
      </c>
      <c r="D111" s="1">
        <v>32035</v>
      </c>
      <c r="E111" s="1">
        <v>1336</v>
      </c>
      <c r="F111" s="1" t="s">
        <v>328</v>
      </c>
      <c r="G111" s="1" t="s">
        <v>318</v>
      </c>
      <c r="H111" s="1" t="s">
        <v>141</v>
      </c>
      <c r="I111" s="1" t="s">
        <v>63</v>
      </c>
      <c r="J111" s="1">
        <v>1</v>
      </c>
      <c r="K111" s="1" t="s">
        <v>142</v>
      </c>
      <c r="L111" s="1" t="s">
        <v>177</v>
      </c>
      <c r="M111" s="1" t="s">
        <v>28</v>
      </c>
      <c r="N111" s="1" t="str">
        <f>HYPERLINK("https://klocwork.india.ti.com:443/review/insight-review.html#issuedetails_goto:problemid=32035,project=MCU_PLUS_SDK_AM263X,searchquery=taxonomy:'C and C++' build:Build_Apr_13_2023_11_11_AM grouping:off ","KW Issue Link")</f>
        <v>KW Issue Link</v>
      </c>
      <c r="O111" s="1" t="s">
        <v>291</v>
      </c>
    </row>
    <row r="112" spans="1:15" ht="60" x14ac:dyDescent="0.25">
      <c r="A112" s="1" t="s">
        <v>157</v>
      </c>
      <c r="B112" s="1"/>
      <c r="C112" s="1" t="s">
        <v>303</v>
      </c>
      <c r="D112" s="1">
        <v>32036</v>
      </c>
      <c r="E112" s="1">
        <v>1407</v>
      </c>
      <c r="F112" s="1" t="s">
        <v>329</v>
      </c>
      <c r="G112" s="1" t="s">
        <v>330</v>
      </c>
      <c r="H112" s="1" t="s">
        <v>141</v>
      </c>
      <c r="I112" s="1" t="s">
        <v>65</v>
      </c>
      <c r="J112" s="1">
        <v>3</v>
      </c>
      <c r="K112" s="1" t="s">
        <v>142</v>
      </c>
      <c r="L112" s="1" t="s">
        <v>153</v>
      </c>
      <c r="M112" s="1" t="s">
        <v>28</v>
      </c>
      <c r="N112" s="1" t="str">
        <f>HYPERLINK("https://klocwork.india.ti.com:443/review/insight-review.html#issuedetails_goto:problemid=32036,project=MCU_PLUS_SDK_AM263X,searchquery=taxonomy:'C and C++' build:Build_Apr_13_2023_11_11_AM grouping:off ","KW Issue Link")</f>
        <v>KW Issue Link</v>
      </c>
      <c r="O112" s="1" t="s">
        <v>291</v>
      </c>
    </row>
    <row r="113" spans="1:15" ht="75" x14ac:dyDescent="0.25">
      <c r="A113" s="1" t="s">
        <v>298</v>
      </c>
      <c r="B113" s="1" t="s">
        <v>299</v>
      </c>
      <c r="C113" s="1" t="s">
        <v>331</v>
      </c>
      <c r="D113" s="1">
        <v>32458</v>
      </c>
      <c r="E113" s="1">
        <v>141</v>
      </c>
      <c r="F113" s="1" t="s">
        <v>332</v>
      </c>
      <c r="G113" s="1" t="s">
        <v>333</v>
      </c>
      <c r="H113" s="1" t="s">
        <v>141</v>
      </c>
      <c r="I113" s="1" t="s">
        <v>63</v>
      </c>
      <c r="J113" s="1">
        <v>1</v>
      </c>
      <c r="K113" s="1" t="s">
        <v>142</v>
      </c>
      <c r="L113" s="1" t="s">
        <v>177</v>
      </c>
      <c r="M113" s="1" t="s">
        <v>28</v>
      </c>
      <c r="N113" s="1" t="str">
        <f>HYPERLINK("https://klocwork.india.ti.com:443/review/insight-review.html#issuedetails_goto:problemid=32458,project=MCU_PLUS_SDK_AM263X,searchquery=taxonomy:'C and C++' build:Build_Apr_13_2023_11_11_AM grouping:off ","KW Issue Link")</f>
        <v>KW Issue Link</v>
      </c>
      <c r="O113" s="1" t="s">
        <v>291</v>
      </c>
    </row>
    <row r="114" spans="1:15" ht="75" x14ac:dyDescent="0.25">
      <c r="A114" s="1" t="s">
        <v>298</v>
      </c>
      <c r="B114" s="1" t="s">
        <v>299</v>
      </c>
      <c r="C114" s="1" t="s">
        <v>331</v>
      </c>
      <c r="D114" s="1">
        <v>32459</v>
      </c>
      <c r="E114" s="1">
        <v>145</v>
      </c>
      <c r="F114" s="1" t="s">
        <v>334</v>
      </c>
      <c r="G114" s="1" t="s">
        <v>333</v>
      </c>
      <c r="H114" s="1" t="s">
        <v>141</v>
      </c>
      <c r="I114" s="1" t="s">
        <v>63</v>
      </c>
      <c r="J114" s="1">
        <v>1</v>
      </c>
      <c r="K114" s="1" t="s">
        <v>142</v>
      </c>
      <c r="L114" s="1" t="s">
        <v>177</v>
      </c>
      <c r="M114" s="1" t="s">
        <v>28</v>
      </c>
      <c r="N114" s="1" t="str">
        <f>HYPERLINK("https://klocwork.india.ti.com:443/review/insight-review.html#issuedetails_goto:problemid=32459,project=MCU_PLUS_SDK_AM263X,searchquery=taxonomy:'C and C++' build:Build_Apr_13_2023_11_11_AM grouping:off ","KW Issue Link")</f>
        <v>KW Issue Link</v>
      </c>
      <c r="O114" s="1" t="s">
        <v>291</v>
      </c>
    </row>
    <row r="115" spans="1:15" ht="75" x14ac:dyDescent="0.25">
      <c r="A115" s="1" t="s">
        <v>298</v>
      </c>
      <c r="B115" s="1" t="s">
        <v>299</v>
      </c>
      <c r="C115" s="1" t="s">
        <v>331</v>
      </c>
      <c r="D115" s="1">
        <v>32460</v>
      </c>
      <c r="E115" s="1">
        <v>174</v>
      </c>
      <c r="F115" s="1" t="s">
        <v>335</v>
      </c>
      <c r="G115" s="1" t="s">
        <v>336</v>
      </c>
      <c r="H115" s="1" t="s">
        <v>141</v>
      </c>
      <c r="I115" s="1" t="s">
        <v>63</v>
      </c>
      <c r="J115" s="1">
        <v>1</v>
      </c>
      <c r="K115" s="1" t="s">
        <v>142</v>
      </c>
      <c r="L115" s="1" t="s">
        <v>177</v>
      </c>
      <c r="M115" s="1" t="s">
        <v>28</v>
      </c>
      <c r="N115" s="1" t="str">
        <f>HYPERLINK("https://klocwork.india.ti.com:443/review/insight-review.html#issuedetails_goto:problemid=32460,project=MCU_PLUS_SDK_AM263X,searchquery=taxonomy:'C and C++' build:Build_Apr_13_2023_11_11_AM grouping:off ","KW Issue Link")</f>
        <v>KW Issue Link</v>
      </c>
      <c r="O115" s="1" t="s">
        <v>291</v>
      </c>
    </row>
    <row r="116" spans="1:15" ht="75" x14ac:dyDescent="0.25">
      <c r="A116" s="1" t="s">
        <v>298</v>
      </c>
      <c r="B116" s="1" t="s">
        <v>299</v>
      </c>
      <c r="C116" s="1" t="s">
        <v>331</v>
      </c>
      <c r="D116" s="1">
        <v>32461</v>
      </c>
      <c r="E116" s="1">
        <v>178</v>
      </c>
      <c r="F116" s="1" t="s">
        <v>337</v>
      </c>
      <c r="G116" s="1" t="s">
        <v>336</v>
      </c>
      <c r="H116" s="1" t="s">
        <v>141</v>
      </c>
      <c r="I116" s="1" t="s">
        <v>63</v>
      </c>
      <c r="J116" s="1">
        <v>1</v>
      </c>
      <c r="K116" s="1" t="s">
        <v>142</v>
      </c>
      <c r="L116" s="1" t="s">
        <v>177</v>
      </c>
      <c r="M116" s="1" t="s">
        <v>28</v>
      </c>
      <c r="N116" s="1" t="str">
        <f>HYPERLINK("https://klocwork.india.ti.com:443/review/insight-review.html#issuedetails_goto:problemid=32461,project=MCU_PLUS_SDK_AM263X,searchquery=taxonomy:'C and C++' build:Build_Apr_13_2023_11_11_AM grouping:off ","KW Issue Link")</f>
        <v>KW Issue Link</v>
      </c>
      <c r="O116" s="1" t="s">
        <v>291</v>
      </c>
    </row>
    <row r="117" spans="1:15" ht="75" x14ac:dyDescent="0.25">
      <c r="A117" s="1" t="s">
        <v>298</v>
      </c>
      <c r="B117" s="1" t="s">
        <v>299</v>
      </c>
      <c r="C117" s="1" t="s">
        <v>331</v>
      </c>
      <c r="D117" s="1">
        <v>32462</v>
      </c>
      <c r="E117" s="1">
        <v>421</v>
      </c>
      <c r="F117" s="1" t="s">
        <v>338</v>
      </c>
      <c r="G117" s="1" t="s">
        <v>339</v>
      </c>
      <c r="H117" s="1" t="s">
        <v>141</v>
      </c>
      <c r="I117" s="1" t="s">
        <v>63</v>
      </c>
      <c r="J117" s="1">
        <v>1</v>
      </c>
      <c r="K117" s="1" t="s">
        <v>142</v>
      </c>
      <c r="L117" s="1" t="s">
        <v>177</v>
      </c>
      <c r="M117" s="1" t="s">
        <v>28</v>
      </c>
      <c r="N117" s="1" t="str">
        <f>HYPERLINK("https://klocwork.india.ti.com:443/review/insight-review.html#issuedetails_goto:problemid=32462,project=MCU_PLUS_SDK_AM263X,searchquery=taxonomy:'C and C++' build:Build_Apr_13_2023_11_11_AM grouping:off ","KW Issue Link")</f>
        <v>KW Issue Link</v>
      </c>
      <c r="O117" s="1" t="s">
        <v>291</v>
      </c>
    </row>
    <row r="118" spans="1:15" ht="75" x14ac:dyDescent="0.25">
      <c r="A118" s="1" t="s">
        <v>298</v>
      </c>
      <c r="B118" s="1" t="s">
        <v>299</v>
      </c>
      <c r="C118" s="1" t="s">
        <v>331</v>
      </c>
      <c r="D118" s="1">
        <v>32463</v>
      </c>
      <c r="E118" s="1">
        <v>435</v>
      </c>
      <c r="F118" s="1" t="s">
        <v>340</v>
      </c>
      <c r="G118" s="1" t="s">
        <v>339</v>
      </c>
      <c r="H118" s="1" t="s">
        <v>141</v>
      </c>
      <c r="I118" s="1" t="s">
        <v>63</v>
      </c>
      <c r="J118" s="1">
        <v>1</v>
      </c>
      <c r="K118" s="1" t="s">
        <v>142</v>
      </c>
      <c r="L118" s="1" t="s">
        <v>177</v>
      </c>
      <c r="M118" s="1" t="s">
        <v>28</v>
      </c>
      <c r="N118" s="1" t="str">
        <f>HYPERLINK("https://klocwork.india.ti.com:443/review/insight-review.html#issuedetails_goto:problemid=32463,project=MCU_PLUS_SDK_AM263X,searchquery=taxonomy:'C and C++' build:Build_Apr_13_2023_11_11_AM grouping:off ","KW Issue Link")</f>
        <v>KW Issue Link</v>
      </c>
      <c r="O118" s="1" t="s">
        <v>291</v>
      </c>
    </row>
    <row r="119" spans="1:15" ht="75" x14ac:dyDescent="0.25">
      <c r="A119" s="1" t="s">
        <v>298</v>
      </c>
      <c r="B119" s="1" t="s">
        <v>299</v>
      </c>
      <c r="C119" s="1" t="s">
        <v>331</v>
      </c>
      <c r="D119" s="1">
        <v>32464</v>
      </c>
      <c r="E119" s="1">
        <v>530</v>
      </c>
      <c r="F119" s="1" t="s">
        <v>341</v>
      </c>
      <c r="G119" s="1" t="s">
        <v>342</v>
      </c>
      <c r="H119" s="1" t="s">
        <v>141</v>
      </c>
      <c r="I119" s="1" t="s">
        <v>63</v>
      </c>
      <c r="J119" s="1">
        <v>1</v>
      </c>
      <c r="K119" s="1" t="s">
        <v>142</v>
      </c>
      <c r="L119" s="1" t="s">
        <v>177</v>
      </c>
      <c r="M119" s="1" t="s">
        <v>28</v>
      </c>
      <c r="N119" s="1" t="str">
        <f>HYPERLINK("https://klocwork.india.ti.com:443/review/insight-review.html#issuedetails_goto:problemid=32464,project=MCU_PLUS_SDK_AM263X,searchquery=taxonomy:'C and C++' build:Build_Apr_13_2023_11_11_AM grouping:off ","KW Issue Link")</f>
        <v>KW Issue Link</v>
      </c>
      <c r="O119" s="1" t="s">
        <v>291</v>
      </c>
    </row>
    <row r="120" spans="1:15" ht="75" x14ac:dyDescent="0.25">
      <c r="A120" s="1" t="s">
        <v>298</v>
      </c>
      <c r="B120" s="1" t="s">
        <v>299</v>
      </c>
      <c r="C120" s="1" t="s">
        <v>331</v>
      </c>
      <c r="D120" s="1">
        <v>32465</v>
      </c>
      <c r="E120" s="1">
        <v>533</v>
      </c>
      <c r="F120" s="1" t="s">
        <v>343</v>
      </c>
      <c r="G120" s="1" t="s">
        <v>342</v>
      </c>
      <c r="H120" s="1" t="s">
        <v>141</v>
      </c>
      <c r="I120" s="1" t="s">
        <v>63</v>
      </c>
      <c r="J120" s="1">
        <v>1</v>
      </c>
      <c r="K120" s="1" t="s">
        <v>142</v>
      </c>
      <c r="L120" s="1" t="s">
        <v>177</v>
      </c>
      <c r="M120" s="1" t="s">
        <v>28</v>
      </c>
      <c r="N120" s="1" t="str">
        <f>HYPERLINK("https://klocwork.india.ti.com:443/review/insight-review.html#issuedetails_goto:problemid=32465,project=MCU_PLUS_SDK_AM263X,searchquery=taxonomy:'C and C++' build:Build_Apr_13_2023_11_11_AM grouping:off ","KW Issue Link")</f>
        <v>KW Issue Link</v>
      </c>
      <c r="O120" s="1" t="s">
        <v>291</v>
      </c>
    </row>
    <row r="121" spans="1:15" ht="75" x14ac:dyDescent="0.25">
      <c r="A121" s="1" t="s">
        <v>302</v>
      </c>
      <c r="B121" s="1" t="s">
        <v>299</v>
      </c>
      <c r="C121" s="1" t="s">
        <v>331</v>
      </c>
      <c r="D121" s="1">
        <v>32599</v>
      </c>
      <c r="E121" s="1">
        <v>540</v>
      </c>
      <c r="F121" s="1" t="s">
        <v>344</v>
      </c>
      <c r="G121" s="1" t="s">
        <v>342</v>
      </c>
      <c r="H121" s="1" t="s">
        <v>141</v>
      </c>
      <c r="I121" s="1" t="s">
        <v>63</v>
      </c>
      <c r="J121" s="1">
        <v>1</v>
      </c>
      <c r="K121" s="1" t="s">
        <v>142</v>
      </c>
      <c r="L121" s="1" t="s">
        <v>177</v>
      </c>
      <c r="M121" s="1" t="s">
        <v>28</v>
      </c>
      <c r="N121" s="1" t="str">
        <f>HYPERLINK("https://klocwork.india.ti.com:443/review/insight-review.html#issuedetails_goto:problemid=32599,project=MCU_PLUS_SDK_AM263X,searchquery=taxonomy:'C and C++' build:Build_Apr_13_2023_11_11_AM grouping:off ","KW Issue Link")</f>
        <v>KW Issue Link</v>
      </c>
      <c r="O121" s="1" t="s">
        <v>291</v>
      </c>
    </row>
    <row r="122" spans="1:15" ht="75" x14ac:dyDescent="0.25">
      <c r="A122" s="1" t="s">
        <v>157</v>
      </c>
      <c r="B122" s="1"/>
      <c r="C122" s="1" t="s">
        <v>345</v>
      </c>
      <c r="D122" s="1">
        <v>32687</v>
      </c>
      <c r="E122" s="1">
        <v>167</v>
      </c>
      <c r="F122" s="1" t="s">
        <v>346</v>
      </c>
      <c r="G122" s="1" t="s">
        <v>347</v>
      </c>
      <c r="H122" s="1" t="s">
        <v>141</v>
      </c>
      <c r="I122" s="1" t="s">
        <v>65</v>
      </c>
      <c r="J122" s="1">
        <v>3</v>
      </c>
      <c r="K122" s="1" t="s">
        <v>142</v>
      </c>
      <c r="L122" s="1" t="s">
        <v>153</v>
      </c>
      <c r="M122" s="1" t="s">
        <v>28</v>
      </c>
      <c r="N122" s="1" t="str">
        <f>HYPERLINK("https://klocwork.india.ti.com:443/review/insight-review.html#issuedetails_goto:problemid=32687,project=MCU_PLUS_SDK_AM263X,searchquery=taxonomy:'C and C++' build:Build_Apr_13_2023_11_11_AM grouping:off ","KW Issue Link")</f>
        <v>KW Issue Link</v>
      </c>
      <c r="O122" s="1" t="s">
        <v>291</v>
      </c>
    </row>
    <row r="123" spans="1:15" ht="75" x14ac:dyDescent="0.25">
      <c r="A123" s="1" t="s">
        <v>157</v>
      </c>
      <c r="B123" s="1"/>
      <c r="C123" s="1" t="s">
        <v>345</v>
      </c>
      <c r="D123" s="1">
        <v>32688</v>
      </c>
      <c r="E123" s="1">
        <v>167</v>
      </c>
      <c r="F123" s="1" t="s">
        <v>348</v>
      </c>
      <c r="G123" s="1" t="s">
        <v>347</v>
      </c>
      <c r="H123" s="1" t="s">
        <v>141</v>
      </c>
      <c r="I123" s="1" t="s">
        <v>65</v>
      </c>
      <c r="J123" s="1">
        <v>3</v>
      </c>
      <c r="K123" s="1" t="s">
        <v>142</v>
      </c>
      <c r="L123" s="1" t="s">
        <v>153</v>
      </c>
      <c r="M123" s="1" t="s">
        <v>28</v>
      </c>
      <c r="N123" s="1" t="str">
        <f>HYPERLINK("https://klocwork.india.ti.com:443/review/insight-review.html#issuedetails_goto:problemid=32688,project=MCU_PLUS_SDK_AM263X,searchquery=taxonomy:'C and C++' build:Build_Apr_13_2023_11_11_AM grouping:off ","KW Issue Link")</f>
        <v>KW Issue Link</v>
      </c>
      <c r="O123" s="1" t="s">
        <v>291</v>
      </c>
    </row>
    <row r="124" spans="1:15" ht="75" x14ac:dyDescent="0.25">
      <c r="A124" s="1" t="s">
        <v>298</v>
      </c>
      <c r="B124" s="1" t="s">
        <v>299</v>
      </c>
      <c r="C124" s="1" t="s">
        <v>345</v>
      </c>
      <c r="D124" s="1">
        <v>32689</v>
      </c>
      <c r="E124" s="1">
        <v>186</v>
      </c>
      <c r="F124" s="1" t="s">
        <v>349</v>
      </c>
      <c r="G124" s="1" t="s">
        <v>350</v>
      </c>
      <c r="H124" s="1" t="s">
        <v>141</v>
      </c>
      <c r="I124" s="1" t="s">
        <v>63</v>
      </c>
      <c r="J124" s="1">
        <v>1</v>
      </c>
      <c r="K124" s="1" t="s">
        <v>142</v>
      </c>
      <c r="L124" s="1" t="s">
        <v>177</v>
      </c>
      <c r="M124" s="1" t="s">
        <v>28</v>
      </c>
      <c r="N124" s="1" t="str">
        <f>HYPERLINK("https://klocwork.india.ti.com:443/review/insight-review.html#issuedetails_goto:problemid=32689,project=MCU_PLUS_SDK_AM263X,searchquery=taxonomy:'C and C++' build:Build_Apr_13_2023_11_11_AM grouping:off ","KW Issue Link")</f>
        <v>KW Issue Link</v>
      </c>
      <c r="O124" s="1" t="s">
        <v>291</v>
      </c>
    </row>
    <row r="125" spans="1:15" ht="75" x14ac:dyDescent="0.25">
      <c r="A125" s="1" t="s">
        <v>145</v>
      </c>
      <c r="B125" s="1" t="s">
        <v>299</v>
      </c>
      <c r="C125" s="1" t="s">
        <v>351</v>
      </c>
      <c r="D125" s="1">
        <v>32733</v>
      </c>
      <c r="E125" s="1">
        <v>177</v>
      </c>
      <c r="F125" s="1" t="s">
        <v>147</v>
      </c>
      <c r="G125" s="1" t="s">
        <v>352</v>
      </c>
      <c r="H125" s="1" t="s">
        <v>141</v>
      </c>
      <c r="I125" s="1" t="s">
        <v>64</v>
      </c>
      <c r="J125" s="1">
        <v>2</v>
      </c>
      <c r="K125" s="1" t="s">
        <v>142</v>
      </c>
      <c r="L125" s="1" t="s">
        <v>177</v>
      </c>
      <c r="M125" s="1" t="s">
        <v>28</v>
      </c>
      <c r="N125" s="1" t="str">
        <f>HYPERLINK("https://klocwork.india.ti.com:443/review/insight-review.html#issuedetails_goto:problemid=32733,project=MCU_PLUS_SDK_AM263X,searchquery=taxonomy:'C and C++' build:Build_Apr_13_2023_11_11_AM grouping:off ","KW Issue Link")</f>
        <v>KW Issue Link</v>
      </c>
      <c r="O125" s="1" t="s">
        <v>353</v>
      </c>
    </row>
    <row r="126" spans="1:15" ht="60" x14ac:dyDescent="0.25">
      <c r="A126" s="1" t="s">
        <v>157</v>
      </c>
      <c r="B126" s="1"/>
      <c r="C126" s="1" t="s">
        <v>354</v>
      </c>
      <c r="D126" s="1">
        <v>33675</v>
      </c>
      <c r="E126" s="1">
        <v>782</v>
      </c>
      <c r="F126" s="1" t="s">
        <v>262</v>
      </c>
      <c r="G126" s="1" t="s">
        <v>355</v>
      </c>
      <c r="H126" s="1" t="s">
        <v>141</v>
      </c>
      <c r="I126" s="1" t="s">
        <v>65</v>
      </c>
      <c r="J126" s="1">
        <v>3</v>
      </c>
      <c r="K126" s="1" t="s">
        <v>142</v>
      </c>
      <c r="L126" s="1" t="s">
        <v>153</v>
      </c>
      <c r="M126" s="1" t="s">
        <v>28</v>
      </c>
      <c r="N126" s="1" t="str">
        <f>HYPERLINK("https://klocwork.india.ti.com:443/review/insight-review.html#issuedetails_goto:problemid=33675,project=MCU_PLUS_SDK_AM263X,searchquery=taxonomy:'C and C++' build:Build_Apr_13_2023_11_11_AM grouping:off ","KW Issue Link")</f>
        <v>KW Issue Link</v>
      </c>
      <c r="O126" s="1" t="s">
        <v>356</v>
      </c>
    </row>
    <row r="127" spans="1:15" ht="60" x14ac:dyDescent="0.25">
      <c r="A127" s="1" t="s">
        <v>157</v>
      </c>
      <c r="B127" s="1"/>
      <c r="C127" s="1" t="s">
        <v>354</v>
      </c>
      <c r="D127" s="1">
        <v>33676</v>
      </c>
      <c r="E127" s="1">
        <v>1473</v>
      </c>
      <c r="F127" s="1" t="s">
        <v>262</v>
      </c>
      <c r="G127" s="1" t="s">
        <v>357</v>
      </c>
      <c r="H127" s="1" t="s">
        <v>141</v>
      </c>
      <c r="I127" s="1" t="s">
        <v>65</v>
      </c>
      <c r="J127" s="1">
        <v>3</v>
      </c>
      <c r="K127" s="1" t="s">
        <v>142</v>
      </c>
      <c r="L127" s="1" t="s">
        <v>153</v>
      </c>
      <c r="M127" s="1" t="s">
        <v>28</v>
      </c>
      <c r="N127" s="1" t="str">
        <f>HYPERLINK("https://klocwork.india.ti.com:443/review/insight-review.html#issuedetails_goto:problemid=33676,project=MCU_PLUS_SDK_AM263X,searchquery=taxonomy:'C and C++' build:Build_Apr_13_2023_11_11_AM grouping:off ","KW Issue Link")</f>
        <v>KW Issue Link</v>
      </c>
      <c r="O127" s="1" t="s">
        <v>356</v>
      </c>
    </row>
    <row r="128" spans="1:15" ht="60" x14ac:dyDescent="0.25">
      <c r="A128" s="1" t="s">
        <v>157</v>
      </c>
      <c r="B128" s="1"/>
      <c r="C128" s="1" t="s">
        <v>358</v>
      </c>
      <c r="D128" s="1">
        <v>35351</v>
      </c>
      <c r="E128" s="1">
        <v>375</v>
      </c>
      <c r="F128" s="1" t="s">
        <v>262</v>
      </c>
      <c r="G128" s="1" t="s">
        <v>359</v>
      </c>
      <c r="H128" s="1" t="s">
        <v>141</v>
      </c>
      <c r="I128" s="1" t="s">
        <v>65</v>
      </c>
      <c r="J128" s="1">
        <v>3</v>
      </c>
      <c r="K128" s="1" t="s">
        <v>142</v>
      </c>
      <c r="L128" s="1" t="s">
        <v>153</v>
      </c>
      <c r="M128" s="1" t="s">
        <v>28</v>
      </c>
      <c r="N128" s="1" t="str">
        <f>HYPERLINK("https://klocwork.india.ti.com:443/review/insight-review.html#issuedetails_goto:problemid=35351,project=MCU_PLUS_SDK_AM263X,searchquery=taxonomy:'C and C++' build:Build_Apr_13_2023_11_11_AM grouping:off ","KW Issue Link")</f>
        <v>KW Issue Link</v>
      </c>
      <c r="O128" s="1" t="s">
        <v>356</v>
      </c>
    </row>
    <row r="129" spans="1:15" ht="75" x14ac:dyDescent="0.25">
      <c r="A129" s="1" t="s">
        <v>157</v>
      </c>
      <c r="B129" s="1"/>
      <c r="C129" s="1" t="s">
        <v>360</v>
      </c>
      <c r="D129" s="1">
        <v>35476</v>
      </c>
      <c r="E129" s="1">
        <v>377</v>
      </c>
      <c r="F129" s="1" t="s">
        <v>262</v>
      </c>
      <c r="G129" s="1" t="s">
        <v>361</v>
      </c>
      <c r="H129" s="1" t="s">
        <v>141</v>
      </c>
      <c r="I129" s="1" t="s">
        <v>65</v>
      </c>
      <c r="J129" s="1">
        <v>3</v>
      </c>
      <c r="K129" s="1" t="s">
        <v>142</v>
      </c>
      <c r="L129" s="1" t="s">
        <v>153</v>
      </c>
      <c r="M129" s="1" t="s">
        <v>28</v>
      </c>
      <c r="N129" s="1" t="str">
        <f>HYPERLINK("https://klocwork.india.ti.com:443/review/insight-review.html#issuedetails_goto:problemid=35476,project=MCU_PLUS_SDK_AM263X,searchquery=taxonomy:'C and C++' build:Build_Apr_13_2023_11_11_AM grouping:off ","KW Issue Link")</f>
        <v>KW Issue Link</v>
      </c>
      <c r="O129" s="1" t="s">
        <v>356</v>
      </c>
    </row>
    <row r="130" spans="1:15" ht="60" x14ac:dyDescent="0.25">
      <c r="A130" s="1" t="s">
        <v>157</v>
      </c>
      <c r="B130" s="1"/>
      <c r="C130" s="1" t="s">
        <v>362</v>
      </c>
      <c r="D130" s="1">
        <v>35715</v>
      </c>
      <c r="E130" s="1">
        <v>650</v>
      </c>
      <c r="F130" s="1" t="s">
        <v>262</v>
      </c>
      <c r="G130" s="1" t="s">
        <v>363</v>
      </c>
      <c r="H130" s="1" t="s">
        <v>141</v>
      </c>
      <c r="I130" s="1" t="s">
        <v>65</v>
      </c>
      <c r="J130" s="1">
        <v>3</v>
      </c>
      <c r="K130" s="1" t="s">
        <v>142</v>
      </c>
      <c r="L130" s="1" t="s">
        <v>153</v>
      </c>
      <c r="M130" s="1" t="s">
        <v>28</v>
      </c>
      <c r="N130" s="1" t="str">
        <f>HYPERLINK("https://klocwork.india.ti.com:443/review/insight-review.html#issuedetails_goto:problemid=35715,project=MCU_PLUS_SDK_AM263X,searchquery=taxonomy:'C and C++' build:Build_Apr_13_2023_11_11_AM grouping:off ","KW Issue Link")</f>
        <v>KW Issue Link</v>
      </c>
      <c r="O130" s="1" t="s">
        <v>356</v>
      </c>
    </row>
    <row r="131" spans="1:15" ht="60" x14ac:dyDescent="0.25">
      <c r="A131" s="1" t="s">
        <v>157</v>
      </c>
      <c r="B131" s="1"/>
      <c r="C131" s="1" t="s">
        <v>364</v>
      </c>
      <c r="D131" s="1">
        <v>35875</v>
      </c>
      <c r="E131" s="1">
        <v>333</v>
      </c>
      <c r="F131" s="1" t="s">
        <v>262</v>
      </c>
      <c r="G131" s="1" t="s">
        <v>365</v>
      </c>
      <c r="H131" s="1" t="s">
        <v>141</v>
      </c>
      <c r="I131" s="1" t="s">
        <v>65</v>
      </c>
      <c r="J131" s="1">
        <v>3</v>
      </c>
      <c r="K131" s="1" t="s">
        <v>142</v>
      </c>
      <c r="L131" s="1" t="s">
        <v>153</v>
      </c>
      <c r="M131" s="1" t="s">
        <v>28</v>
      </c>
      <c r="N131" s="1" t="str">
        <f>HYPERLINK("https://klocwork.india.ti.com:443/review/insight-review.html#issuedetails_goto:problemid=35875,project=MCU_PLUS_SDK_AM263X,searchquery=taxonomy:'C and C++' build:Build_Apr_13_2023_11_11_AM grouping:off ","KW Issue Link")</f>
        <v>KW Issue Link</v>
      </c>
      <c r="O131" s="1" t="s">
        <v>356</v>
      </c>
    </row>
    <row r="132" spans="1:15" ht="60" x14ac:dyDescent="0.25">
      <c r="A132" s="1" t="s">
        <v>136</v>
      </c>
      <c r="B132" s="1"/>
      <c r="C132" s="1" t="s">
        <v>366</v>
      </c>
      <c r="D132" s="1">
        <v>35938</v>
      </c>
      <c r="E132" s="1">
        <v>234</v>
      </c>
      <c r="F132" s="1" t="s">
        <v>367</v>
      </c>
      <c r="G132" s="1" t="s">
        <v>368</v>
      </c>
      <c r="H132" s="1" t="s">
        <v>141</v>
      </c>
      <c r="I132" s="1" t="s">
        <v>66</v>
      </c>
      <c r="J132" s="1">
        <v>4</v>
      </c>
      <c r="K132" s="1" t="s">
        <v>142</v>
      </c>
      <c r="L132" s="1" t="s">
        <v>153</v>
      </c>
      <c r="M132" s="1" t="s">
        <v>28</v>
      </c>
      <c r="N132" s="1" t="str">
        <f>HYPERLINK("https://klocwork.india.ti.com:443/review/insight-review.html#issuedetails_goto:problemid=35938,project=MCU_PLUS_SDK_AM263X,searchquery=taxonomy:'C and C++' build:Build_Apr_13_2023_11_11_AM grouping:off ","KW Issue Link")</f>
        <v>KW Issue Link</v>
      </c>
      <c r="O132" s="1" t="s">
        <v>291</v>
      </c>
    </row>
    <row r="133" spans="1:15" ht="75" x14ac:dyDescent="0.25">
      <c r="A133" s="1" t="s">
        <v>298</v>
      </c>
      <c r="B133" s="1" t="s">
        <v>299</v>
      </c>
      <c r="C133" s="1" t="s">
        <v>369</v>
      </c>
      <c r="D133" s="1">
        <v>37173</v>
      </c>
      <c r="E133" s="1">
        <v>695</v>
      </c>
      <c r="F133" s="1" t="s">
        <v>370</v>
      </c>
      <c r="G133" s="1" t="s">
        <v>371</v>
      </c>
      <c r="H133" s="1" t="s">
        <v>141</v>
      </c>
      <c r="I133" s="1" t="s">
        <v>63</v>
      </c>
      <c r="J133" s="1">
        <v>1</v>
      </c>
      <c r="K133" s="1" t="s">
        <v>142</v>
      </c>
      <c r="L133" s="1" t="s">
        <v>177</v>
      </c>
      <c r="M133" s="1" t="s">
        <v>28</v>
      </c>
      <c r="N133" s="1" t="str">
        <f>HYPERLINK("https://klocwork.india.ti.com:443/review/insight-review.html#issuedetails_goto:problemid=37173,project=MCU_PLUS_SDK_AM263X,searchquery=taxonomy:'C and C++' build:Build_Apr_13_2023_11_11_AM grouping:off ","KW Issue Link")</f>
        <v>KW Issue Link</v>
      </c>
      <c r="O133" s="1" t="s">
        <v>291</v>
      </c>
    </row>
    <row r="134" spans="1:15" ht="75" x14ac:dyDescent="0.25">
      <c r="A134" s="1" t="s">
        <v>298</v>
      </c>
      <c r="B134" s="1" t="s">
        <v>299</v>
      </c>
      <c r="C134" s="1" t="s">
        <v>369</v>
      </c>
      <c r="D134" s="1">
        <v>37174</v>
      </c>
      <c r="E134" s="1">
        <v>698</v>
      </c>
      <c r="F134" s="1" t="s">
        <v>372</v>
      </c>
      <c r="G134" s="1" t="s">
        <v>371</v>
      </c>
      <c r="H134" s="1" t="s">
        <v>141</v>
      </c>
      <c r="I134" s="1" t="s">
        <v>63</v>
      </c>
      <c r="J134" s="1">
        <v>1</v>
      </c>
      <c r="K134" s="1" t="s">
        <v>142</v>
      </c>
      <c r="L134" s="1" t="s">
        <v>177</v>
      </c>
      <c r="M134" s="1" t="s">
        <v>28</v>
      </c>
      <c r="N134" s="1" t="str">
        <f>HYPERLINK("https://klocwork.india.ti.com:443/review/insight-review.html#issuedetails_goto:problemid=37174,project=MCU_PLUS_SDK_AM263X,searchquery=taxonomy:'C and C++' build:Build_Apr_13_2023_11_11_AM grouping:off ","KW Issue Link")</f>
        <v>KW Issue Link</v>
      </c>
      <c r="O134" s="1" t="s">
        <v>291</v>
      </c>
    </row>
    <row r="135" spans="1:15" ht="75" x14ac:dyDescent="0.25">
      <c r="A135" s="1" t="s">
        <v>298</v>
      </c>
      <c r="B135" s="1" t="s">
        <v>299</v>
      </c>
      <c r="C135" s="1" t="s">
        <v>369</v>
      </c>
      <c r="D135" s="1">
        <v>37175</v>
      </c>
      <c r="E135" s="1">
        <v>717</v>
      </c>
      <c r="F135" s="1" t="s">
        <v>373</v>
      </c>
      <c r="G135" s="1" t="s">
        <v>374</v>
      </c>
      <c r="H135" s="1" t="s">
        <v>141</v>
      </c>
      <c r="I135" s="1" t="s">
        <v>63</v>
      </c>
      <c r="J135" s="1">
        <v>1</v>
      </c>
      <c r="K135" s="1" t="s">
        <v>142</v>
      </c>
      <c r="L135" s="1" t="s">
        <v>177</v>
      </c>
      <c r="M135" s="1" t="s">
        <v>28</v>
      </c>
      <c r="N135" s="1" t="str">
        <f>HYPERLINK("https://klocwork.india.ti.com:443/review/insight-review.html#issuedetails_goto:problemid=37175,project=MCU_PLUS_SDK_AM263X,searchquery=taxonomy:'C and C++' build:Build_Apr_13_2023_11_11_AM grouping:off ","KW Issue Link")</f>
        <v>KW Issue Link</v>
      </c>
      <c r="O135" s="1" t="s">
        <v>291</v>
      </c>
    </row>
    <row r="136" spans="1:15" ht="90" x14ac:dyDescent="0.25">
      <c r="A136" s="1" t="s">
        <v>149</v>
      </c>
      <c r="B136" s="1"/>
      <c r="C136" s="1" t="s">
        <v>369</v>
      </c>
      <c r="D136" s="1">
        <v>37181</v>
      </c>
      <c r="E136" s="1">
        <v>795</v>
      </c>
      <c r="F136" s="1" t="s">
        <v>375</v>
      </c>
      <c r="G136" s="1" t="s">
        <v>376</v>
      </c>
      <c r="H136" s="1" t="s">
        <v>141</v>
      </c>
      <c r="I136" s="1" t="s">
        <v>65</v>
      </c>
      <c r="J136" s="1">
        <v>3</v>
      </c>
      <c r="K136" s="1" t="s">
        <v>142</v>
      </c>
      <c r="L136" s="1" t="s">
        <v>153</v>
      </c>
      <c r="M136" s="1" t="s">
        <v>28</v>
      </c>
      <c r="N136" s="1" t="str">
        <f>HYPERLINK("https://klocwork.india.ti.com:443/review/insight-review.html#issuedetails_goto:problemid=37181,project=MCU_PLUS_SDK_AM263X,searchquery=taxonomy:'C and C++' build:Build_Apr_13_2023_11_11_AM grouping:off ","KW Issue Link")</f>
        <v>KW Issue Link</v>
      </c>
      <c r="O136" s="1" t="s">
        <v>291</v>
      </c>
    </row>
    <row r="137" spans="1:15" ht="75" x14ac:dyDescent="0.25">
      <c r="A137" s="1" t="s">
        <v>155</v>
      </c>
      <c r="B137" s="1"/>
      <c r="C137" s="1" t="s">
        <v>369</v>
      </c>
      <c r="D137" s="1">
        <v>37182</v>
      </c>
      <c r="E137" s="1">
        <v>797</v>
      </c>
      <c r="F137" s="1" t="s">
        <v>156</v>
      </c>
      <c r="G137" s="1" t="s">
        <v>376</v>
      </c>
      <c r="H137" s="1" t="s">
        <v>141</v>
      </c>
      <c r="I137" s="1" t="s">
        <v>65</v>
      </c>
      <c r="J137" s="1">
        <v>3</v>
      </c>
      <c r="K137" s="1" t="s">
        <v>142</v>
      </c>
      <c r="L137" s="1" t="s">
        <v>153</v>
      </c>
      <c r="M137" s="1" t="s">
        <v>28</v>
      </c>
      <c r="N137" s="1" t="str">
        <f>HYPERLINK("https://klocwork.india.ti.com:443/review/insight-review.html#issuedetails_goto:problemid=37182,project=MCU_PLUS_SDK_AM263X,searchquery=taxonomy:'C and C++' build:Build_Apr_13_2023_11_11_AM grouping:off ","KW Issue Link")</f>
        <v>KW Issue Link</v>
      </c>
      <c r="O137" s="1" t="s">
        <v>291</v>
      </c>
    </row>
    <row r="138" spans="1:15" ht="75" x14ac:dyDescent="0.25">
      <c r="A138" s="1" t="s">
        <v>157</v>
      </c>
      <c r="B138" s="1"/>
      <c r="C138" s="1" t="s">
        <v>369</v>
      </c>
      <c r="D138" s="1">
        <v>37224</v>
      </c>
      <c r="E138" s="1">
        <v>1656</v>
      </c>
      <c r="F138" s="1" t="s">
        <v>377</v>
      </c>
      <c r="G138" s="1" t="s">
        <v>378</v>
      </c>
      <c r="H138" s="1" t="s">
        <v>141</v>
      </c>
      <c r="I138" s="1" t="s">
        <v>65</v>
      </c>
      <c r="J138" s="1">
        <v>3</v>
      </c>
      <c r="K138" s="1" t="s">
        <v>142</v>
      </c>
      <c r="L138" s="1" t="s">
        <v>153</v>
      </c>
      <c r="M138" s="1" t="s">
        <v>28</v>
      </c>
      <c r="N138" s="1" t="str">
        <f>HYPERLINK("https://klocwork.india.ti.com:443/review/insight-review.html#issuedetails_goto:problemid=37224,project=MCU_PLUS_SDK_AM263X,searchquery=taxonomy:'C and C++' build:Build_Apr_13_2023_11_11_AM grouping:off ","KW Issue Link")</f>
        <v>KW Issue Link</v>
      </c>
      <c r="O138" s="1" t="s">
        <v>291</v>
      </c>
    </row>
    <row r="139" spans="1:15" ht="60" x14ac:dyDescent="0.25">
      <c r="A139" s="1" t="s">
        <v>155</v>
      </c>
      <c r="B139" s="1"/>
      <c r="C139" s="1" t="s">
        <v>379</v>
      </c>
      <c r="D139" s="1">
        <v>37441</v>
      </c>
      <c r="E139" s="1">
        <v>813</v>
      </c>
      <c r="F139" s="1" t="s">
        <v>156</v>
      </c>
      <c r="G139" s="1" t="s">
        <v>380</v>
      </c>
      <c r="H139" s="1" t="s">
        <v>141</v>
      </c>
      <c r="I139" s="1" t="s">
        <v>65</v>
      </c>
      <c r="J139" s="1">
        <v>3</v>
      </c>
      <c r="K139" s="1" t="s">
        <v>142</v>
      </c>
      <c r="L139" s="1" t="s">
        <v>153</v>
      </c>
      <c r="M139" s="1" t="s">
        <v>28</v>
      </c>
      <c r="N139" s="1" t="str">
        <f>HYPERLINK("https://klocwork.india.ti.com:443/review/insight-review.html#issuedetails_goto:problemid=37441,project=MCU_PLUS_SDK_AM263X,searchquery=taxonomy:'C and C++' build:Build_Apr_13_2023_11_11_AM grouping:off ","KW Issue Link")</f>
        <v>KW Issue Link</v>
      </c>
      <c r="O139" s="1" t="s">
        <v>291</v>
      </c>
    </row>
    <row r="140" spans="1:15" ht="60" x14ac:dyDescent="0.25">
      <c r="A140" s="1" t="s">
        <v>155</v>
      </c>
      <c r="B140" s="1"/>
      <c r="C140" s="1" t="s">
        <v>379</v>
      </c>
      <c r="D140" s="1">
        <v>37442</v>
      </c>
      <c r="E140" s="1">
        <v>1115</v>
      </c>
      <c r="F140" s="1" t="s">
        <v>156</v>
      </c>
      <c r="G140" s="1" t="s">
        <v>381</v>
      </c>
      <c r="H140" s="1" t="s">
        <v>141</v>
      </c>
      <c r="I140" s="1" t="s">
        <v>65</v>
      </c>
      <c r="J140" s="1">
        <v>3</v>
      </c>
      <c r="K140" s="1" t="s">
        <v>142</v>
      </c>
      <c r="L140" s="1" t="s">
        <v>153</v>
      </c>
      <c r="M140" s="1" t="s">
        <v>28</v>
      </c>
      <c r="N140" s="1" t="str">
        <f>HYPERLINK("https://klocwork.india.ti.com:443/review/insight-review.html#issuedetails_goto:problemid=37442,project=MCU_PLUS_SDK_AM263X,searchquery=taxonomy:'C and C++' build:Build_Apr_13_2023_11_11_AM grouping:off ","KW Issue Link")</f>
        <v>KW Issue Link</v>
      </c>
      <c r="O140" s="1" t="s">
        <v>291</v>
      </c>
    </row>
    <row r="141" spans="1:15" ht="60" x14ac:dyDescent="0.25">
      <c r="A141" s="1" t="s">
        <v>157</v>
      </c>
      <c r="B141" s="1"/>
      <c r="C141" s="1" t="s">
        <v>379</v>
      </c>
      <c r="D141" s="1">
        <v>37682</v>
      </c>
      <c r="E141" s="1">
        <v>715</v>
      </c>
      <c r="F141" s="1" t="s">
        <v>382</v>
      </c>
      <c r="G141" s="1" t="s">
        <v>383</v>
      </c>
      <c r="H141" s="1" t="s">
        <v>141</v>
      </c>
      <c r="I141" s="1" t="s">
        <v>65</v>
      </c>
      <c r="J141" s="1">
        <v>3</v>
      </c>
      <c r="K141" s="1" t="s">
        <v>142</v>
      </c>
      <c r="L141" s="1" t="s">
        <v>153</v>
      </c>
      <c r="M141" s="1" t="s">
        <v>28</v>
      </c>
      <c r="N141" s="1" t="str">
        <f>HYPERLINK("https://klocwork.india.ti.com:443/review/insight-review.html#issuedetails_goto:problemid=37682,project=MCU_PLUS_SDK_AM263X,searchquery=taxonomy:'C and C++' build:Build_Apr_13_2023_11_11_AM grouping:off ","KW Issue Link")</f>
        <v>KW Issue Link</v>
      </c>
      <c r="O141" s="1" t="s">
        <v>291</v>
      </c>
    </row>
    <row r="142" spans="1:15" ht="75" x14ac:dyDescent="0.25">
      <c r="A142" s="1" t="s">
        <v>157</v>
      </c>
      <c r="B142" s="1"/>
      <c r="C142" s="1" t="s">
        <v>379</v>
      </c>
      <c r="D142" s="1">
        <v>37683</v>
      </c>
      <c r="E142" s="1">
        <v>1160</v>
      </c>
      <c r="F142" s="1" t="s">
        <v>384</v>
      </c>
      <c r="G142" s="1" t="s">
        <v>385</v>
      </c>
      <c r="H142" s="1" t="s">
        <v>141</v>
      </c>
      <c r="I142" s="1" t="s">
        <v>65</v>
      </c>
      <c r="J142" s="1">
        <v>3</v>
      </c>
      <c r="K142" s="1" t="s">
        <v>142</v>
      </c>
      <c r="L142" s="1" t="s">
        <v>153</v>
      </c>
      <c r="M142" s="1" t="s">
        <v>28</v>
      </c>
      <c r="N142" s="1" t="str">
        <f>HYPERLINK("https://klocwork.india.ti.com:443/review/insight-review.html#issuedetails_goto:problemid=37683,project=MCU_PLUS_SDK_AM263X,searchquery=taxonomy:'C and C++' build:Build_Apr_13_2023_11_11_AM grouping:off ","KW Issue Link")</f>
        <v>KW Issue Link</v>
      </c>
      <c r="O142" s="1" t="s">
        <v>291</v>
      </c>
    </row>
    <row r="143" spans="1:15" ht="60" x14ac:dyDescent="0.25">
      <c r="A143" s="1" t="s">
        <v>157</v>
      </c>
      <c r="B143" s="1"/>
      <c r="C143" s="1" t="s">
        <v>379</v>
      </c>
      <c r="D143" s="1">
        <v>37684</v>
      </c>
      <c r="E143" s="1">
        <v>1240</v>
      </c>
      <c r="F143" s="1" t="s">
        <v>386</v>
      </c>
      <c r="G143" s="1" t="s">
        <v>387</v>
      </c>
      <c r="H143" s="1" t="s">
        <v>141</v>
      </c>
      <c r="I143" s="1" t="s">
        <v>65</v>
      </c>
      <c r="J143" s="1">
        <v>3</v>
      </c>
      <c r="K143" s="1" t="s">
        <v>142</v>
      </c>
      <c r="L143" s="1" t="s">
        <v>153</v>
      </c>
      <c r="M143" s="1" t="s">
        <v>28</v>
      </c>
      <c r="N143" s="1" t="str">
        <f>HYPERLINK("https://klocwork.india.ti.com:443/review/insight-review.html#issuedetails_goto:problemid=37684,project=MCU_PLUS_SDK_AM263X,searchquery=taxonomy:'C and C++' build:Build_Apr_13_2023_11_11_AM grouping:off ","KW Issue Link")</f>
        <v>KW Issue Link</v>
      </c>
      <c r="O143" s="1" t="s">
        <v>291</v>
      </c>
    </row>
    <row r="144" spans="1:15" ht="60" x14ac:dyDescent="0.25">
      <c r="A144" s="1" t="s">
        <v>157</v>
      </c>
      <c r="B144" s="1"/>
      <c r="C144" s="1" t="s">
        <v>388</v>
      </c>
      <c r="D144" s="1">
        <v>37735</v>
      </c>
      <c r="E144" s="1">
        <v>158</v>
      </c>
      <c r="F144" s="1" t="s">
        <v>389</v>
      </c>
      <c r="G144" s="1" t="s">
        <v>390</v>
      </c>
      <c r="H144" s="1" t="s">
        <v>141</v>
      </c>
      <c r="I144" s="1" t="s">
        <v>65</v>
      </c>
      <c r="J144" s="1">
        <v>3</v>
      </c>
      <c r="K144" s="1" t="s">
        <v>142</v>
      </c>
      <c r="L144" s="1" t="s">
        <v>153</v>
      </c>
      <c r="M144" s="1" t="s">
        <v>28</v>
      </c>
      <c r="N144" s="1" t="str">
        <f>HYPERLINK("https://klocwork.india.ti.com:443/review/insight-review.html#issuedetails_goto:problemid=37735,project=MCU_PLUS_SDK_AM263X,searchquery=taxonomy:'C and C++' build:Build_Apr_13_2023_11_11_AM grouping:off ","KW Issue Link")</f>
        <v>KW Issue Link</v>
      </c>
      <c r="O144" s="1" t="s">
        <v>356</v>
      </c>
    </row>
    <row r="145" spans="1:15" ht="60" x14ac:dyDescent="0.25">
      <c r="A145" s="1" t="s">
        <v>157</v>
      </c>
      <c r="B145" s="1"/>
      <c r="C145" s="1" t="s">
        <v>391</v>
      </c>
      <c r="D145" s="1">
        <v>37758</v>
      </c>
      <c r="E145" s="1">
        <v>217</v>
      </c>
      <c r="F145" s="1" t="s">
        <v>389</v>
      </c>
      <c r="G145" s="1" t="s">
        <v>392</v>
      </c>
      <c r="H145" s="1" t="s">
        <v>141</v>
      </c>
      <c r="I145" s="1" t="s">
        <v>65</v>
      </c>
      <c r="J145" s="1">
        <v>3</v>
      </c>
      <c r="K145" s="1" t="s">
        <v>142</v>
      </c>
      <c r="L145" s="1" t="s">
        <v>153</v>
      </c>
      <c r="M145" s="1" t="s">
        <v>28</v>
      </c>
      <c r="N145" s="1" t="str">
        <f>HYPERLINK("https://klocwork.india.ti.com:443/review/insight-review.html#issuedetails_goto:problemid=37758,project=MCU_PLUS_SDK_AM263X,searchquery=taxonomy:'C and C++' build:Build_Apr_13_2023_11_11_AM grouping:off ","KW Issue Link")</f>
        <v>KW Issue Link</v>
      </c>
      <c r="O145" s="1" t="s">
        <v>356</v>
      </c>
    </row>
    <row r="146" spans="1:15" ht="60" x14ac:dyDescent="0.25">
      <c r="A146" s="1" t="s">
        <v>157</v>
      </c>
      <c r="B146" s="1"/>
      <c r="C146" s="1" t="s">
        <v>393</v>
      </c>
      <c r="D146" s="1">
        <v>37840</v>
      </c>
      <c r="E146" s="1">
        <v>218</v>
      </c>
      <c r="F146" s="1" t="s">
        <v>389</v>
      </c>
      <c r="G146" s="1" t="s">
        <v>394</v>
      </c>
      <c r="H146" s="1" t="s">
        <v>141</v>
      </c>
      <c r="I146" s="1" t="s">
        <v>65</v>
      </c>
      <c r="J146" s="1">
        <v>3</v>
      </c>
      <c r="K146" s="1" t="s">
        <v>142</v>
      </c>
      <c r="L146" s="1" t="s">
        <v>153</v>
      </c>
      <c r="M146" s="1" t="s">
        <v>28</v>
      </c>
      <c r="N146" s="1" t="str">
        <f>HYPERLINK("https://klocwork.india.ti.com:443/review/insight-review.html#issuedetails_goto:problemid=37840,project=MCU_PLUS_SDK_AM263X,searchquery=taxonomy:'C and C++' build:Build_Apr_13_2023_11_11_AM grouping:off ","KW Issue Link")</f>
        <v>KW Issue Link</v>
      </c>
      <c r="O146" s="1" t="s">
        <v>356</v>
      </c>
    </row>
    <row r="147" spans="1:15" ht="60" x14ac:dyDescent="0.25">
      <c r="A147" s="1" t="s">
        <v>157</v>
      </c>
      <c r="B147" s="1"/>
      <c r="C147" s="1" t="s">
        <v>395</v>
      </c>
      <c r="D147" s="1">
        <v>37939</v>
      </c>
      <c r="E147" s="1">
        <v>875</v>
      </c>
      <c r="F147" s="1" t="s">
        <v>262</v>
      </c>
      <c r="G147" s="1" t="s">
        <v>396</v>
      </c>
      <c r="H147" s="1" t="s">
        <v>141</v>
      </c>
      <c r="I147" s="1" t="s">
        <v>65</v>
      </c>
      <c r="J147" s="1">
        <v>3</v>
      </c>
      <c r="K147" s="1" t="s">
        <v>142</v>
      </c>
      <c r="L147" s="1" t="s">
        <v>153</v>
      </c>
      <c r="M147" s="1" t="s">
        <v>28</v>
      </c>
      <c r="N147" s="1" t="str">
        <f>HYPERLINK("https://klocwork.india.ti.com:443/review/insight-review.html#issuedetails_goto:problemid=37939,project=MCU_PLUS_SDK_AM263X,searchquery=taxonomy:'C and C++' build:Build_Apr_13_2023_11_11_AM grouping:off ","KW Issue Link")</f>
        <v>KW Issue Link</v>
      </c>
      <c r="O147" s="1" t="s">
        <v>356</v>
      </c>
    </row>
    <row r="148" spans="1:15" ht="60" x14ac:dyDescent="0.25">
      <c r="A148" s="1" t="s">
        <v>157</v>
      </c>
      <c r="B148" s="1"/>
      <c r="C148" s="1" t="s">
        <v>397</v>
      </c>
      <c r="D148" s="1">
        <v>38165</v>
      </c>
      <c r="E148" s="1">
        <v>531</v>
      </c>
      <c r="F148" s="1" t="s">
        <v>398</v>
      </c>
      <c r="G148" s="1" t="s">
        <v>399</v>
      </c>
      <c r="H148" s="1" t="s">
        <v>141</v>
      </c>
      <c r="I148" s="1" t="s">
        <v>65</v>
      </c>
      <c r="J148" s="1">
        <v>3</v>
      </c>
      <c r="K148" s="1" t="s">
        <v>142</v>
      </c>
      <c r="L148" s="1" t="s">
        <v>153</v>
      </c>
      <c r="M148" s="1" t="s">
        <v>28</v>
      </c>
      <c r="N148" s="1" t="str">
        <f>HYPERLINK("https://klocwork.india.ti.com:443/review/insight-review.html#issuedetails_goto:problemid=38165,project=MCU_PLUS_SDK_AM263X,searchquery=taxonomy:'C and C++' build:Build_Apr_13_2023_11_11_AM grouping:off ","KW Issue Link")</f>
        <v>KW Issue Link</v>
      </c>
      <c r="O148" s="1" t="s">
        <v>356</v>
      </c>
    </row>
    <row r="149" spans="1:15" ht="60" x14ac:dyDescent="0.25">
      <c r="A149" s="1" t="s">
        <v>157</v>
      </c>
      <c r="B149" s="1"/>
      <c r="C149" s="1" t="s">
        <v>400</v>
      </c>
      <c r="D149" s="1">
        <v>38191</v>
      </c>
      <c r="E149" s="1">
        <v>98</v>
      </c>
      <c r="F149" s="1" t="s">
        <v>401</v>
      </c>
      <c r="G149" s="1" t="s">
        <v>402</v>
      </c>
      <c r="H149" s="1" t="s">
        <v>141</v>
      </c>
      <c r="I149" s="1" t="s">
        <v>65</v>
      </c>
      <c r="J149" s="1">
        <v>3</v>
      </c>
      <c r="K149" s="1" t="s">
        <v>142</v>
      </c>
      <c r="L149" s="1" t="s">
        <v>153</v>
      </c>
      <c r="M149" s="1" t="s">
        <v>28</v>
      </c>
      <c r="N149" s="1" t="str">
        <f>HYPERLINK("https://klocwork.india.ti.com:443/review/insight-review.html#issuedetails_goto:problemid=38191,project=MCU_PLUS_SDK_AM263X,searchquery=taxonomy:'C and C++' build:Build_Apr_13_2023_11_11_AM grouping:off ","KW Issue Link")</f>
        <v>KW Issue Link</v>
      </c>
      <c r="O149" s="1" t="s">
        <v>356</v>
      </c>
    </row>
    <row r="150" spans="1:15" ht="60" x14ac:dyDescent="0.25">
      <c r="A150" s="1" t="s">
        <v>157</v>
      </c>
      <c r="B150" s="1"/>
      <c r="C150" s="1" t="s">
        <v>400</v>
      </c>
      <c r="D150" s="1">
        <v>38192</v>
      </c>
      <c r="E150" s="1">
        <v>109</v>
      </c>
      <c r="F150" s="1" t="s">
        <v>401</v>
      </c>
      <c r="G150" s="1" t="s">
        <v>403</v>
      </c>
      <c r="H150" s="1" t="s">
        <v>141</v>
      </c>
      <c r="I150" s="1" t="s">
        <v>65</v>
      </c>
      <c r="J150" s="1">
        <v>3</v>
      </c>
      <c r="K150" s="1" t="s">
        <v>142</v>
      </c>
      <c r="L150" s="1" t="s">
        <v>153</v>
      </c>
      <c r="M150" s="1" t="s">
        <v>28</v>
      </c>
      <c r="N150" s="1" t="str">
        <f>HYPERLINK("https://klocwork.india.ti.com:443/review/insight-review.html#issuedetails_goto:problemid=38192,project=MCU_PLUS_SDK_AM263X,searchquery=taxonomy:'C and C++' build:Build_Apr_13_2023_11_11_AM grouping:off ","KW Issue Link")</f>
        <v>KW Issue Link</v>
      </c>
      <c r="O150" s="1" t="s">
        <v>356</v>
      </c>
    </row>
    <row r="151" spans="1:15" ht="60" x14ac:dyDescent="0.25">
      <c r="A151" s="1" t="s">
        <v>157</v>
      </c>
      <c r="B151" s="1"/>
      <c r="C151" s="1" t="s">
        <v>400</v>
      </c>
      <c r="D151" s="1">
        <v>38193</v>
      </c>
      <c r="E151" s="1">
        <v>120</v>
      </c>
      <c r="F151" s="1" t="s">
        <v>401</v>
      </c>
      <c r="G151" s="1" t="s">
        <v>404</v>
      </c>
      <c r="H151" s="1" t="s">
        <v>141</v>
      </c>
      <c r="I151" s="1" t="s">
        <v>65</v>
      </c>
      <c r="J151" s="1">
        <v>3</v>
      </c>
      <c r="K151" s="1" t="s">
        <v>142</v>
      </c>
      <c r="L151" s="1" t="s">
        <v>153</v>
      </c>
      <c r="M151" s="1" t="s">
        <v>28</v>
      </c>
      <c r="N151" s="1" t="str">
        <f>HYPERLINK("https://klocwork.india.ti.com:443/review/insight-review.html#issuedetails_goto:problemid=38193,project=MCU_PLUS_SDK_AM263X,searchquery=taxonomy:'C and C++' build:Build_Apr_13_2023_11_11_AM grouping:off ","KW Issue Link")</f>
        <v>KW Issue Link</v>
      </c>
      <c r="O151" s="1" t="s">
        <v>356</v>
      </c>
    </row>
    <row r="152" spans="1:15" ht="75" x14ac:dyDescent="0.25">
      <c r="A152" s="1" t="s">
        <v>157</v>
      </c>
      <c r="B152" s="1"/>
      <c r="C152" s="1" t="s">
        <v>400</v>
      </c>
      <c r="D152" s="1">
        <v>38194</v>
      </c>
      <c r="E152" s="1">
        <v>136</v>
      </c>
      <c r="F152" s="1" t="s">
        <v>405</v>
      </c>
      <c r="G152" s="1" t="s">
        <v>406</v>
      </c>
      <c r="H152" s="1" t="s">
        <v>141</v>
      </c>
      <c r="I152" s="1" t="s">
        <v>65</v>
      </c>
      <c r="J152" s="1">
        <v>3</v>
      </c>
      <c r="K152" s="1" t="s">
        <v>142</v>
      </c>
      <c r="L152" s="1" t="s">
        <v>153</v>
      </c>
      <c r="M152" s="1" t="s">
        <v>28</v>
      </c>
      <c r="N152" s="1" t="str">
        <f>HYPERLINK("https://klocwork.india.ti.com:443/review/insight-review.html#issuedetails_goto:problemid=38194,project=MCU_PLUS_SDK_AM263X,searchquery=taxonomy:'C and C++' build:Build_Apr_13_2023_11_11_AM grouping:off ","KW Issue Link")</f>
        <v>KW Issue Link</v>
      </c>
      <c r="O152" s="1" t="s">
        <v>356</v>
      </c>
    </row>
    <row r="153" spans="1:15" ht="75" x14ac:dyDescent="0.25">
      <c r="A153" s="1" t="s">
        <v>157</v>
      </c>
      <c r="B153" s="1"/>
      <c r="C153" s="1" t="s">
        <v>400</v>
      </c>
      <c r="D153" s="1">
        <v>38195</v>
      </c>
      <c r="E153" s="1">
        <v>165</v>
      </c>
      <c r="F153" s="1" t="s">
        <v>405</v>
      </c>
      <c r="G153" s="1" t="s">
        <v>407</v>
      </c>
      <c r="H153" s="1" t="s">
        <v>141</v>
      </c>
      <c r="I153" s="1" t="s">
        <v>65</v>
      </c>
      <c r="J153" s="1">
        <v>3</v>
      </c>
      <c r="K153" s="1" t="s">
        <v>142</v>
      </c>
      <c r="L153" s="1" t="s">
        <v>153</v>
      </c>
      <c r="M153" s="1" t="s">
        <v>28</v>
      </c>
      <c r="N153" s="1" t="str">
        <f>HYPERLINK("https://klocwork.india.ti.com:443/review/insight-review.html#issuedetails_goto:problemid=38195,project=MCU_PLUS_SDK_AM263X,searchquery=taxonomy:'C and C++' build:Build_Apr_13_2023_11_11_AM grouping:off ","KW Issue Link")</f>
        <v>KW Issue Link</v>
      </c>
      <c r="O153" s="1" t="s">
        <v>356</v>
      </c>
    </row>
    <row r="154" spans="1:15" ht="90" x14ac:dyDescent="0.25">
      <c r="A154" s="1" t="s">
        <v>149</v>
      </c>
      <c r="B154" s="1"/>
      <c r="C154" s="1" t="s">
        <v>400</v>
      </c>
      <c r="D154" s="1">
        <v>38240</v>
      </c>
      <c r="E154" s="1">
        <v>330</v>
      </c>
      <c r="F154" s="1" t="s">
        <v>408</v>
      </c>
      <c r="G154" s="1" t="s">
        <v>409</v>
      </c>
      <c r="H154" s="1" t="s">
        <v>141</v>
      </c>
      <c r="I154" s="1" t="s">
        <v>65</v>
      </c>
      <c r="J154" s="1">
        <v>3</v>
      </c>
      <c r="K154" s="1" t="s">
        <v>142</v>
      </c>
      <c r="L154" s="1" t="s">
        <v>153</v>
      </c>
      <c r="M154" s="1" t="s">
        <v>28</v>
      </c>
      <c r="N154" s="1" t="str">
        <f>HYPERLINK("https://klocwork.india.ti.com:443/review/insight-review.html#issuedetails_goto:problemid=38240,project=MCU_PLUS_SDK_AM263X,searchquery=taxonomy:'C and C++' build:Build_Apr_13_2023_11_11_AM grouping:off ","KW Issue Link")</f>
        <v>KW Issue Link</v>
      </c>
      <c r="O154" s="1" t="s">
        <v>356</v>
      </c>
    </row>
    <row r="155" spans="1:15" ht="90" x14ac:dyDescent="0.25">
      <c r="A155" s="1" t="s">
        <v>149</v>
      </c>
      <c r="B155" s="1"/>
      <c r="C155" s="1" t="s">
        <v>400</v>
      </c>
      <c r="D155" s="1">
        <v>38241</v>
      </c>
      <c r="E155" s="1">
        <v>346</v>
      </c>
      <c r="F155" s="1" t="s">
        <v>408</v>
      </c>
      <c r="G155" s="1" t="s">
        <v>410</v>
      </c>
      <c r="H155" s="1" t="s">
        <v>141</v>
      </c>
      <c r="I155" s="1" t="s">
        <v>65</v>
      </c>
      <c r="J155" s="1">
        <v>3</v>
      </c>
      <c r="K155" s="1" t="s">
        <v>142</v>
      </c>
      <c r="L155" s="1" t="s">
        <v>153</v>
      </c>
      <c r="M155" s="1" t="s">
        <v>28</v>
      </c>
      <c r="N155" s="1" t="str">
        <f>HYPERLINK("https://klocwork.india.ti.com:443/review/insight-review.html#issuedetails_goto:problemid=38241,project=MCU_PLUS_SDK_AM263X,searchquery=taxonomy:'C and C++' build:Build_Apr_13_2023_11_11_AM grouping:off ","KW Issue Link")</f>
        <v>KW Issue Link</v>
      </c>
      <c r="O155" s="1" t="s">
        <v>356</v>
      </c>
    </row>
    <row r="156" spans="1:15" ht="60" x14ac:dyDescent="0.25">
      <c r="A156" s="1" t="s">
        <v>155</v>
      </c>
      <c r="B156" s="1"/>
      <c r="C156" s="1" t="s">
        <v>400</v>
      </c>
      <c r="D156" s="1">
        <v>38242</v>
      </c>
      <c r="E156" s="1">
        <v>332</v>
      </c>
      <c r="F156" s="1" t="s">
        <v>156</v>
      </c>
      <c r="G156" s="1" t="s">
        <v>409</v>
      </c>
      <c r="H156" s="1" t="s">
        <v>141</v>
      </c>
      <c r="I156" s="1" t="s">
        <v>65</v>
      </c>
      <c r="J156" s="1">
        <v>3</v>
      </c>
      <c r="K156" s="1" t="s">
        <v>142</v>
      </c>
      <c r="L156" s="1" t="s">
        <v>153</v>
      </c>
      <c r="M156" s="1" t="s">
        <v>28</v>
      </c>
      <c r="N156" s="1" t="str">
        <f>HYPERLINK("https://klocwork.india.ti.com:443/review/insight-review.html#issuedetails_goto:problemid=38242,project=MCU_PLUS_SDK_AM263X,searchquery=taxonomy:'C and C++' build:Build_Apr_13_2023_11_11_AM grouping:off ","KW Issue Link")</f>
        <v>KW Issue Link</v>
      </c>
      <c r="O156" s="1" t="s">
        <v>356</v>
      </c>
    </row>
    <row r="157" spans="1:15" ht="60" x14ac:dyDescent="0.25">
      <c r="A157" s="1" t="s">
        <v>155</v>
      </c>
      <c r="B157" s="1"/>
      <c r="C157" s="1" t="s">
        <v>400</v>
      </c>
      <c r="D157" s="1">
        <v>38243</v>
      </c>
      <c r="E157" s="1">
        <v>348</v>
      </c>
      <c r="F157" s="1" t="s">
        <v>156</v>
      </c>
      <c r="G157" s="1" t="s">
        <v>410</v>
      </c>
      <c r="H157" s="1" t="s">
        <v>141</v>
      </c>
      <c r="I157" s="1" t="s">
        <v>65</v>
      </c>
      <c r="J157" s="1">
        <v>3</v>
      </c>
      <c r="K157" s="1" t="s">
        <v>142</v>
      </c>
      <c r="L157" s="1" t="s">
        <v>153</v>
      </c>
      <c r="M157" s="1" t="s">
        <v>28</v>
      </c>
      <c r="N157" s="1" t="str">
        <f>HYPERLINK("https://klocwork.india.ti.com:443/review/insight-review.html#issuedetails_goto:problemid=38243,project=MCU_PLUS_SDK_AM263X,searchquery=taxonomy:'C and C++' build:Build_Apr_13_2023_11_11_AM grouping:off ","KW Issue Link")</f>
        <v>KW Issue Link</v>
      </c>
      <c r="O157" s="1" t="s">
        <v>356</v>
      </c>
    </row>
    <row r="158" spans="1:15" ht="75" x14ac:dyDescent="0.25">
      <c r="A158" s="1" t="s">
        <v>157</v>
      </c>
      <c r="B158" s="1"/>
      <c r="C158" s="1" t="s">
        <v>411</v>
      </c>
      <c r="D158" s="1">
        <v>38344</v>
      </c>
      <c r="E158" s="1">
        <v>379</v>
      </c>
      <c r="F158" s="1" t="s">
        <v>274</v>
      </c>
      <c r="G158" s="1" t="s">
        <v>412</v>
      </c>
      <c r="H158" s="1" t="s">
        <v>141</v>
      </c>
      <c r="I158" s="1" t="s">
        <v>65</v>
      </c>
      <c r="J158" s="1">
        <v>3</v>
      </c>
      <c r="K158" s="1" t="s">
        <v>142</v>
      </c>
      <c r="L158" s="1" t="s">
        <v>153</v>
      </c>
      <c r="M158" s="1" t="s">
        <v>28</v>
      </c>
      <c r="N158" s="1" t="str">
        <f>HYPERLINK("https://klocwork.india.ti.com:443/review/insight-review.html#issuedetails_goto:problemid=38344,project=MCU_PLUS_SDK_AM263X,searchquery=taxonomy:'C and C++' build:Build_Apr_13_2023_11_11_AM grouping:off ","KW Issue Link")</f>
        <v>KW Issue Link</v>
      </c>
      <c r="O158" s="1" t="s">
        <v>356</v>
      </c>
    </row>
    <row r="159" spans="1:15" ht="75" x14ac:dyDescent="0.25">
      <c r="A159" s="1" t="s">
        <v>157</v>
      </c>
      <c r="B159" s="1"/>
      <c r="C159" s="1" t="s">
        <v>411</v>
      </c>
      <c r="D159" s="1">
        <v>38346</v>
      </c>
      <c r="E159" s="1">
        <v>2376</v>
      </c>
      <c r="F159" s="1" t="s">
        <v>398</v>
      </c>
      <c r="G159" s="1" t="s">
        <v>413</v>
      </c>
      <c r="H159" s="1" t="s">
        <v>141</v>
      </c>
      <c r="I159" s="1" t="s">
        <v>65</v>
      </c>
      <c r="J159" s="1">
        <v>3</v>
      </c>
      <c r="K159" s="1" t="s">
        <v>142</v>
      </c>
      <c r="L159" s="1" t="s">
        <v>153</v>
      </c>
      <c r="M159" s="1" t="s">
        <v>28</v>
      </c>
      <c r="N159" s="1" t="str">
        <f>HYPERLINK("https://klocwork.india.ti.com:443/review/insight-review.html#issuedetails_goto:problemid=38346,project=MCU_PLUS_SDK_AM263X,searchquery=taxonomy:'C and C++' build:Build_Apr_13_2023_11_11_AM grouping:off ","KW Issue Link")</f>
        <v>KW Issue Link</v>
      </c>
      <c r="O159" s="1" t="s">
        <v>356</v>
      </c>
    </row>
    <row r="160" spans="1:15" ht="75" x14ac:dyDescent="0.25">
      <c r="A160" s="1" t="s">
        <v>157</v>
      </c>
      <c r="B160" s="1"/>
      <c r="C160" s="1" t="s">
        <v>411</v>
      </c>
      <c r="D160" s="1">
        <v>38347</v>
      </c>
      <c r="E160" s="1">
        <v>2422</v>
      </c>
      <c r="F160" s="1" t="s">
        <v>398</v>
      </c>
      <c r="G160" s="1" t="s">
        <v>414</v>
      </c>
      <c r="H160" s="1" t="s">
        <v>141</v>
      </c>
      <c r="I160" s="1" t="s">
        <v>65</v>
      </c>
      <c r="J160" s="1">
        <v>3</v>
      </c>
      <c r="K160" s="1" t="s">
        <v>142</v>
      </c>
      <c r="L160" s="1" t="s">
        <v>153</v>
      </c>
      <c r="M160" s="1" t="s">
        <v>28</v>
      </c>
      <c r="N160" s="1" t="str">
        <f>HYPERLINK("https://klocwork.india.ti.com:443/review/insight-review.html#issuedetails_goto:problemid=38347,project=MCU_PLUS_SDK_AM263X,searchquery=taxonomy:'C and C++' build:Build_Apr_13_2023_11_11_AM grouping:off ","KW Issue Link")</f>
        <v>KW Issue Link</v>
      </c>
      <c r="O160" s="1" t="s">
        <v>356</v>
      </c>
    </row>
    <row r="161" spans="1:15" ht="75" x14ac:dyDescent="0.25">
      <c r="A161" s="1" t="s">
        <v>149</v>
      </c>
      <c r="B161" s="1"/>
      <c r="C161" s="1" t="s">
        <v>411</v>
      </c>
      <c r="D161" s="1">
        <v>38423</v>
      </c>
      <c r="E161" s="1">
        <v>2067</v>
      </c>
      <c r="F161" s="1" t="s">
        <v>415</v>
      </c>
      <c r="G161" s="1" t="s">
        <v>416</v>
      </c>
      <c r="H161" s="1" t="s">
        <v>141</v>
      </c>
      <c r="I161" s="1" t="s">
        <v>65</v>
      </c>
      <c r="J161" s="1">
        <v>3</v>
      </c>
      <c r="K161" s="1" t="s">
        <v>142</v>
      </c>
      <c r="L161" s="1" t="s">
        <v>153</v>
      </c>
      <c r="M161" s="1" t="s">
        <v>28</v>
      </c>
      <c r="N161" s="1" t="str">
        <f>HYPERLINK("https://klocwork.india.ti.com:443/review/insight-review.html#issuedetails_goto:problemid=38423,project=MCU_PLUS_SDK_AM263X,searchquery=taxonomy:'C and C++' build:Build_Apr_13_2023_11_11_AM grouping:off ","KW Issue Link")</f>
        <v>KW Issue Link</v>
      </c>
      <c r="O161" s="1" t="s">
        <v>356</v>
      </c>
    </row>
    <row r="162" spans="1:15" ht="90" x14ac:dyDescent="0.25">
      <c r="A162" s="1" t="s">
        <v>149</v>
      </c>
      <c r="B162" s="1"/>
      <c r="C162" s="1" t="s">
        <v>411</v>
      </c>
      <c r="D162" s="1">
        <v>38424</v>
      </c>
      <c r="E162" s="1">
        <v>2168</v>
      </c>
      <c r="F162" s="1" t="s">
        <v>417</v>
      </c>
      <c r="G162" s="1" t="s">
        <v>418</v>
      </c>
      <c r="H162" s="1" t="s">
        <v>141</v>
      </c>
      <c r="I162" s="1" t="s">
        <v>65</v>
      </c>
      <c r="J162" s="1">
        <v>3</v>
      </c>
      <c r="K162" s="1" t="s">
        <v>142</v>
      </c>
      <c r="L162" s="1" t="s">
        <v>153</v>
      </c>
      <c r="M162" s="1" t="s">
        <v>28</v>
      </c>
      <c r="N162" s="1" t="str">
        <f>HYPERLINK("https://klocwork.india.ti.com:443/review/insight-review.html#issuedetails_goto:problemid=38424,project=MCU_PLUS_SDK_AM263X,searchquery=taxonomy:'C and C++' build:Build_Apr_13_2023_11_11_AM grouping:off ","KW Issue Link")</f>
        <v>KW Issue Link</v>
      </c>
      <c r="O162" s="1" t="s">
        <v>356</v>
      </c>
    </row>
    <row r="163" spans="1:15" ht="75" x14ac:dyDescent="0.25">
      <c r="A163" s="1" t="s">
        <v>149</v>
      </c>
      <c r="B163" s="1"/>
      <c r="C163" s="1" t="s">
        <v>411</v>
      </c>
      <c r="D163" s="1">
        <v>38425</v>
      </c>
      <c r="E163" s="1">
        <v>2229</v>
      </c>
      <c r="F163" s="1" t="s">
        <v>419</v>
      </c>
      <c r="G163" s="1" t="s">
        <v>420</v>
      </c>
      <c r="H163" s="1" t="s">
        <v>141</v>
      </c>
      <c r="I163" s="1" t="s">
        <v>65</v>
      </c>
      <c r="J163" s="1">
        <v>3</v>
      </c>
      <c r="K163" s="1" t="s">
        <v>142</v>
      </c>
      <c r="L163" s="1" t="s">
        <v>153</v>
      </c>
      <c r="M163" s="1" t="s">
        <v>28</v>
      </c>
      <c r="N163" s="1" t="str">
        <f>HYPERLINK("https://klocwork.india.ti.com:443/review/insight-review.html#issuedetails_goto:problemid=38425,project=MCU_PLUS_SDK_AM263X,searchquery=taxonomy:'C and C++' build:Build_Apr_13_2023_11_11_AM grouping:off ","KW Issue Link")</f>
        <v>KW Issue Link</v>
      </c>
      <c r="O163" s="1" t="s">
        <v>356</v>
      </c>
    </row>
    <row r="164" spans="1:15" ht="90" x14ac:dyDescent="0.25">
      <c r="A164" s="1" t="s">
        <v>149</v>
      </c>
      <c r="B164" s="1"/>
      <c r="C164" s="1" t="s">
        <v>411</v>
      </c>
      <c r="D164" s="1">
        <v>38426</v>
      </c>
      <c r="E164" s="1">
        <v>2317</v>
      </c>
      <c r="F164" s="1" t="s">
        <v>417</v>
      </c>
      <c r="G164" s="1" t="s">
        <v>421</v>
      </c>
      <c r="H164" s="1" t="s">
        <v>141</v>
      </c>
      <c r="I164" s="1" t="s">
        <v>65</v>
      </c>
      <c r="J164" s="1">
        <v>3</v>
      </c>
      <c r="K164" s="1" t="s">
        <v>142</v>
      </c>
      <c r="L164" s="1" t="s">
        <v>153</v>
      </c>
      <c r="M164" s="1" t="s">
        <v>28</v>
      </c>
      <c r="N164" s="1" t="str">
        <f>HYPERLINK("https://klocwork.india.ti.com:443/review/insight-review.html#issuedetails_goto:problemid=38426,project=MCU_PLUS_SDK_AM263X,searchquery=taxonomy:'C and C++' build:Build_Apr_13_2023_11_11_AM grouping:off ","KW Issue Link")</f>
        <v>KW Issue Link</v>
      </c>
      <c r="O164" s="1" t="s">
        <v>356</v>
      </c>
    </row>
    <row r="165" spans="1:15" ht="75" x14ac:dyDescent="0.25">
      <c r="A165" s="1" t="s">
        <v>155</v>
      </c>
      <c r="B165" s="1"/>
      <c r="C165" s="1" t="s">
        <v>411</v>
      </c>
      <c r="D165" s="1">
        <v>38427</v>
      </c>
      <c r="E165" s="1">
        <v>2069</v>
      </c>
      <c r="F165" s="1" t="s">
        <v>156</v>
      </c>
      <c r="G165" s="1" t="s">
        <v>416</v>
      </c>
      <c r="H165" s="1" t="s">
        <v>141</v>
      </c>
      <c r="I165" s="1" t="s">
        <v>65</v>
      </c>
      <c r="J165" s="1">
        <v>3</v>
      </c>
      <c r="K165" s="1" t="s">
        <v>142</v>
      </c>
      <c r="L165" s="1" t="s">
        <v>153</v>
      </c>
      <c r="M165" s="1" t="s">
        <v>28</v>
      </c>
      <c r="N165" s="1" t="str">
        <f>HYPERLINK("https://klocwork.india.ti.com:443/review/insight-review.html#issuedetails_goto:problemid=38427,project=MCU_PLUS_SDK_AM263X,searchquery=taxonomy:'C and C++' build:Build_Apr_13_2023_11_11_AM grouping:off ","KW Issue Link")</f>
        <v>KW Issue Link</v>
      </c>
      <c r="O165" s="1" t="s">
        <v>356</v>
      </c>
    </row>
    <row r="166" spans="1:15" ht="75" x14ac:dyDescent="0.25">
      <c r="A166" s="1" t="s">
        <v>155</v>
      </c>
      <c r="B166" s="1"/>
      <c r="C166" s="1" t="s">
        <v>411</v>
      </c>
      <c r="D166" s="1">
        <v>38428</v>
      </c>
      <c r="E166" s="1">
        <v>2170</v>
      </c>
      <c r="F166" s="1" t="s">
        <v>156</v>
      </c>
      <c r="G166" s="1" t="s">
        <v>418</v>
      </c>
      <c r="H166" s="1" t="s">
        <v>141</v>
      </c>
      <c r="I166" s="1" t="s">
        <v>65</v>
      </c>
      <c r="J166" s="1">
        <v>3</v>
      </c>
      <c r="K166" s="1" t="s">
        <v>142</v>
      </c>
      <c r="L166" s="1" t="s">
        <v>153</v>
      </c>
      <c r="M166" s="1" t="s">
        <v>28</v>
      </c>
      <c r="N166" s="1" t="str">
        <f>HYPERLINK("https://klocwork.india.ti.com:443/review/insight-review.html#issuedetails_goto:problemid=38428,project=MCU_PLUS_SDK_AM263X,searchquery=taxonomy:'C and C++' build:Build_Apr_13_2023_11_11_AM grouping:off ","KW Issue Link")</f>
        <v>KW Issue Link</v>
      </c>
      <c r="O166" s="1" t="s">
        <v>356</v>
      </c>
    </row>
    <row r="167" spans="1:15" ht="75" x14ac:dyDescent="0.25">
      <c r="A167" s="1" t="s">
        <v>155</v>
      </c>
      <c r="B167" s="1"/>
      <c r="C167" s="1" t="s">
        <v>411</v>
      </c>
      <c r="D167" s="1">
        <v>38429</v>
      </c>
      <c r="E167" s="1">
        <v>2231</v>
      </c>
      <c r="F167" s="1" t="s">
        <v>156</v>
      </c>
      <c r="G167" s="1" t="s">
        <v>420</v>
      </c>
      <c r="H167" s="1" t="s">
        <v>141</v>
      </c>
      <c r="I167" s="1" t="s">
        <v>65</v>
      </c>
      <c r="J167" s="1">
        <v>3</v>
      </c>
      <c r="K167" s="1" t="s">
        <v>142</v>
      </c>
      <c r="L167" s="1" t="s">
        <v>153</v>
      </c>
      <c r="M167" s="1" t="s">
        <v>28</v>
      </c>
      <c r="N167" s="1" t="str">
        <f>HYPERLINK("https://klocwork.india.ti.com:443/review/insight-review.html#issuedetails_goto:problemid=38429,project=MCU_PLUS_SDK_AM263X,searchquery=taxonomy:'C and C++' build:Build_Apr_13_2023_11_11_AM grouping:off ","KW Issue Link")</f>
        <v>KW Issue Link</v>
      </c>
      <c r="O167" s="1" t="s">
        <v>356</v>
      </c>
    </row>
    <row r="168" spans="1:15" ht="75" x14ac:dyDescent="0.25">
      <c r="A168" s="1" t="s">
        <v>155</v>
      </c>
      <c r="B168" s="1"/>
      <c r="C168" s="1" t="s">
        <v>411</v>
      </c>
      <c r="D168" s="1">
        <v>38430</v>
      </c>
      <c r="E168" s="1">
        <v>2319</v>
      </c>
      <c r="F168" s="1" t="s">
        <v>156</v>
      </c>
      <c r="G168" s="1" t="s">
        <v>421</v>
      </c>
      <c r="H168" s="1" t="s">
        <v>141</v>
      </c>
      <c r="I168" s="1" t="s">
        <v>65</v>
      </c>
      <c r="J168" s="1">
        <v>3</v>
      </c>
      <c r="K168" s="1" t="s">
        <v>142</v>
      </c>
      <c r="L168" s="1" t="s">
        <v>153</v>
      </c>
      <c r="M168" s="1" t="s">
        <v>28</v>
      </c>
      <c r="N168" s="1" t="str">
        <f>HYPERLINK("https://klocwork.india.ti.com:443/review/insight-review.html#issuedetails_goto:problemid=38430,project=MCU_PLUS_SDK_AM263X,searchquery=taxonomy:'C and C++' build:Build_Apr_13_2023_11_11_AM grouping:off ","KW Issue Link")</f>
        <v>KW Issue Link</v>
      </c>
      <c r="O168" s="1" t="s">
        <v>356</v>
      </c>
    </row>
    <row r="169" spans="1:15" ht="75" x14ac:dyDescent="0.25">
      <c r="A169" s="1" t="s">
        <v>136</v>
      </c>
      <c r="B169" s="1"/>
      <c r="C169" s="1" t="s">
        <v>422</v>
      </c>
      <c r="D169" s="1">
        <v>38457</v>
      </c>
      <c r="E169" s="1">
        <v>122</v>
      </c>
      <c r="F169" s="1" t="s">
        <v>423</v>
      </c>
      <c r="G169" s="1" t="s">
        <v>424</v>
      </c>
      <c r="H169" s="1" t="s">
        <v>141</v>
      </c>
      <c r="I169" s="1" t="s">
        <v>66</v>
      </c>
      <c r="J169" s="1">
        <v>4</v>
      </c>
      <c r="K169" s="1" t="s">
        <v>142</v>
      </c>
      <c r="L169" s="1" t="s">
        <v>153</v>
      </c>
      <c r="M169" s="1" t="s">
        <v>28</v>
      </c>
      <c r="N169" s="1" t="str">
        <f>HYPERLINK("https://klocwork.india.ti.com:443/review/insight-review.html#issuedetails_goto:problemid=38457,project=MCU_PLUS_SDK_AM263X,searchquery=taxonomy:'C and C++' build:Build_Apr_13_2023_11_11_AM grouping:off ","KW Issue Link")</f>
        <v>KW Issue Link</v>
      </c>
      <c r="O169" s="1" t="s">
        <v>356</v>
      </c>
    </row>
    <row r="170" spans="1:15" ht="75" x14ac:dyDescent="0.25">
      <c r="A170" s="1" t="s">
        <v>136</v>
      </c>
      <c r="B170" s="1"/>
      <c r="C170" s="1" t="s">
        <v>422</v>
      </c>
      <c r="D170" s="1">
        <v>38458</v>
      </c>
      <c r="E170" s="1">
        <v>150</v>
      </c>
      <c r="F170" s="1" t="s">
        <v>425</v>
      </c>
      <c r="G170" s="1" t="s">
        <v>426</v>
      </c>
      <c r="H170" s="1" t="s">
        <v>141</v>
      </c>
      <c r="I170" s="1" t="s">
        <v>66</v>
      </c>
      <c r="J170" s="1">
        <v>4</v>
      </c>
      <c r="K170" s="1" t="s">
        <v>142</v>
      </c>
      <c r="L170" s="1" t="s">
        <v>153</v>
      </c>
      <c r="M170" s="1" t="s">
        <v>28</v>
      </c>
      <c r="N170" s="1" t="str">
        <f>HYPERLINK("https://klocwork.india.ti.com:443/review/insight-review.html#issuedetails_goto:problemid=38458,project=MCU_PLUS_SDK_AM263X,searchquery=taxonomy:'C and C++' build:Build_Apr_13_2023_11_11_AM grouping:off ","KW Issue Link")</f>
        <v>KW Issue Link</v>
      </c>
      <c r="O170" s="1" t="s">
        <v>356</v>
      </c>
    </row>
    <row r="171" spans="1:15" ht="90" x14ac:dyDescent="0.25">
      <c r="A171" s="1" t="s">
        <v>149</v>
      </c>
      <c r="B171" s="1"/>
      <c r="C171" s="1" t="s">
        <v>427</v>
      </c>
      <c r="D171" s="1">
        <v>38927</v>
      </c>
      <c r="E171" s="1">
        <v>234</v>
      </c>
      <c r="F171" s="1" t="s">
        <v>212</v>
      </c>
      <c r="G171" s="1" t="s">
        <v>428</v>
      </c>
      <c r="H171" s="1" t="s">
        <v>141</v>
      </c>
      <c r="I171" s="1" t="s">
        <v>65</v>
      </c>
      <c r="J171" s="1">
        <v>3</v>
      </c>
      <c r="K171" s="1" t="s">
        <v>142</v>
      </c>
      <c r="L171" s="1" t="s">
        <v>153</v>
      </c>
      <c r="M171" s="1" t="s">
        <v>28</v>
      </c>
      <c r="N171" s="1" t="str">
        <f>HYPERLINK("https://klocwork.india.ti.com:443/review/insight-review.html#issuedetails_goto:problemid=38927,project=MCU_PLUS_SDK_AM263X,searchquery=taxonomy:'C and C++' build:Build_Apr_13_2023_11_11_AM grouping:off ","KW Issue Link")</f>
        <v>KW Issue Link</v>
      </c>
      <c r="O171" s="1" t="s">
        <v>356</v>
      </c>
    </row>
    <row r="172" spans="1:15" ht="75" x14ac:dyDescent="0.25">
      <c r="A172" s="1" t="s">
        <v>149</v>
      </c>
      <c r="B172" s="1"/>
      <c r="C172" s="1" t="s">
        <v>427</v>
      </c>
      <c r="D172" s="1">
        <v>38928</v>
      </c>
      <c r="E172" s="1">
        <v>324</v>
      </c>
      <c r="F172" s="1" t="s">
        <v>429</v>
      </c>
      <c r="G172" s="1" t="s">
        <v>430</v>
      </c>
      <c r="H172" s="1" t="s">
        <v>141</v>
      </c>
      <c r="I172" s="1" t="s">
        <v>65</v>
      </c>
      <c r="J172" s="1">
        <v>3</v>
      </c>
      <c r="K172" s="1" t="s">
        <v>142</v>
      </c>
      <c r="L172" s="1" t="s">
        <v>153</v>
      </c>
      <c r="M172" s="1" t="s">
        <v>28</v>
      </c>
      <c r="N172" s="1" t="str">
        <f>HYPERLINK("https://klocwork.india.ti.com:443/review/insight-review.html#issuedetails_goto:problemid=38928,project=MCU_PLUS_SDK_AM263X,searchquery=taxonomy:'C and C++' build:Build_Apr_13_2023_11_11_AM grouping:off ","KW Issue Link")</f>
        <v>KW Issue Link</v>
      </c>
      <c r="O172" s="1" t="s">
        <v>356</v>
      </c>
    </row>
    <row r="173" spans="1:15" ht="75" x14ac:dyDescent="0.25">
      <c r="A173" s="1" t="s">
        <v>155</v>
      </c>
      <c r="B173" s="1"/>
      <c r="C173" s="1" t="s">
        <v>427</v>
      </c>
      <c r="D173" s="1">
        <v>38929</v>
      </c>
      <c r="E173" s="1">
        <v>237</v>
      </c>
      <c r="F173" s="1" t="s">
        <v>156</v>
      </c>
      <c r="G173" s="1" t="s">
        <v>428</v>
      </c>
      <c r="H173" s="1" t="s">
        <v>141</v>
      </c>
      <c r="I173" s="1" t="s">
        <v>65</v>
      </c>
      <c r="J173" s="1">
        <v>3</v>
      </c>
      <c r="K173" s="1" t="s">
        <v>142</v>
      </c>
      <c r="L173" s="1" t="s">
        <v>153</v>
      </c>
      <c r="M173" s="1" t="s">
        <v>28</v>
      </c>
      <c r="N173" s="1" t="str">
        <f>HYPERLINK("https://klocwork.india.ti.com:443/review/insight-review.html#issuedetails_goto:problemid=38929,project=MCU_PLUS_SDK_AM263X,searchquery=taxonomy:'C and C++' build:Build_Apr_13_2023_11_11_AM grouping:off ","KW Issue Link")</f>
        <v>KW Issue Link</v>
      </c>
      <c r="O173" s="1" t="s">
        <v>356</v>
      </c>
    </row>
    <row r="174" spans="1:15" ht="75" x14ac:dyDescent="0.25">
      <c r="A174" s="1" t="s">
        <v>155</v>
      </c>
      <c r="B174" s="1"/>
      <c r="C174" s="1" t="s">
        <v>427</v>
      </c>
      <c r="D174" s="1">
        <v>38930</v>
      </c>
      <c r="E174" s="1">
        <v>330</v>
      </c>
      <c r="F174" s="1" t="s">
        <v>156</v>
      </c>
      <c r="G174" s="1" t="s">
        <v>430</v>
      </c>
      <c r="H174" s="1" t="s">
        <v>141</v>
      </c>
      <c r="I174" s="1" t="s">
        <v>65</v>
      </c>
      <c r="J174" s="1">
        <v>3</v>
      </c>
      <c r="K174" s="1" t="s">
        <v>142</v>
      </c>
      <c r="L174" s="1" t="s">
        <v>153</v>
      </c>
      <c r="M174" s="1" t="s">
        <v>28</v>
      </c>
      <c r="N174" s="1" t="str">
        <f>HYPERLINK("https://klocwork.india.ti.com:443/review/insight-review.html#issuedetails_goto:problemid=38930,project=MCU_PLUS_SDK_AM263X,searchquery=taxonomy:'C and C++' build:Build_Apr_13_2023_11_11_AM grouping:off ","KW Issue Link")</f>
        <v>KW Issue Link</v>
      </c>
      <c r="O174" s="1" t="s">
        <v>356</v>
      </c>
    </row>
    <row r="175" spans="1:15" ht="60" x14ac:dyDescent="0.25">
      <c r="A175" s="1" t="s">
        <v>157</v>
      </c>
      <c r="B175" s="1"/>
      <c r="C175" s="1" t="s">
        <v>431</v>
      </c>
      <c r="D175" s="1">
        <v>39230</v>
      </c>
      <c r="E175" s="1">
        <v>315</v>
      </c>
      <c r="F175" s="1" t="s">
        <v>432</v>
      </c>
      <c r="G175" s="1" t="s">
        <v>433</v>
      </c>
      <c r="H175" s="1" t="s">
        <v>141</v>
      </c>
      <c r="I175" s="1" t="s">
        <v>65</v>
      </c>
      <c r="J175" s="1">
        <v>3</v>
      </c>
      <c r="K175" s="1" t="s">
        <v>142</v>
      </c>
      <c r="L175" s="1" t="s">
        <v>153</v>
      </c>
      <c r="M175" s="1" t="s">
        <v>28</v>
      </c>
      <c r="N175" s="1" t="str">
        <f>HYPERLINK("https://klocwork.india.ti.com:443/review/insight-review.html#issuedetails_goto:problemid=39230,project=MCU_PLUS_SDK_AM263X,searchquery=taxonomy:'C and C++' build:Build_Apr_13_2023_11_11_AM grouping:off ","KW Issue Link")</f>
        <v>KW Issue Link</v>
      </c>
      <c r="O175" s="1" t="s">
        <v>356</v>
      </c>
    </row>
    <row r="176" spans="1:15" ht="60" x14ac:dyDescent="0.25">
      <c r="A176" s="1" t="s">
        <v>157</v>
      </c>
      <c r="B176" s="1"/>
      <c r="C176" s="1" t="s">
        <v>431</v>
      </c>
      <c r="D176" s="1">
        <v>39231</v>
      </c>
      <c r="E176" s="1">
        <v>378</v>
      </c>
      <c r="F176" s="1" t="s">
        <v>262</v>
      </c>
      <c r="G176" s="1" t="s">
        <v>434</v>
      </c>
      <c r="H176" s="1" t="s">
        <v>141</v>
      </c>
      <c r="I176" s="1" t="s">
        <v>65</v>
      </c>
      <c r="J176" s="1">
        <v>3</v>
      </c>
      <c r="K176" s="1" t="s">
        <v>142</v>
      </c>
      <c r="L176" s="1" t="s">
        <v>153</v>
      </c>
      <c r="M176" s="1" t="s">
        <v>28</v>
      </c>
      <c r="N176" s="1" t="str">
        <f>HYPERLINK("https://klocwork.india.ti.com:443/review/insight-review.html#issuedetails_goto:problemid=39231,project=MCU_PLUS_SDK_AM263X,searchquery=taxonomy:'C and C++' build:Build_Apr_13_2023_11_11_AM grouping:off ","KW Issue Link")</f>
        <v>KW Issue Link</v>
      </c>
      <c r="O176" s="1" t="s">
        <v>356</v>
      </c>
    </row>
    <row r="177" spans="1:15" ht="60" x14ac:dyDescent="0.25">
      <c r="A177" s="1" t="s">
        <v>157</v>
      </c>
      <c r="B177" s="1"/>
      <c r="C177" s="1" t="s">
        <v>431</v>
      </c>
      <c r="D177" s="1">
        <v>39233</v>
      </c>
      <c r="E177" s="1">
        <v>467</v>
      </c>
      <c r="F177" s="1" t="s">
        <v>435</v>
      </c>
      <c r="G177" s="1" t="s">
        <v>436</v>
      </c>
      <c r="H177" s="1" t="s">
        <v>141</v>
      </c>
      <c r="I177" s="1" t="s">
        <v>65</v>
      </c>
      <c r="J177" s="1">
        <v>3</v>
      </c>
      <c r="K177" s="1" t="s">
        <v>142</v>
      </c>
      <c r="L177" s="1" t="s">
        <v>153</v>
      </c>
      <c r="M177" s="1" t="s">
        <v>28</v>
      </c>
      <c r="N177" s="1" t="str">
        <f>HYPERLINK("https://klocwork.india.ti.com:443/review/insight-review.html#issuedetails_goto:problemid=39233,project=MCU_PLUS_SDK_AM263X,searchquery=taxonomy:'C and C++' build:Build_Apr_13_2023_11_11_AM grouping:off ","KW Issue Link")</f>
        <v>KW Issue Link</v>
      </c>
      <c r="O177" s="1" t="s">
        <v>356</v>
      </c>
    </row>
    <row r="178" spans="1:15" ht="75" x14ac:dyDescent="0.25">
      <c r="A178" s="1" t="s">
        <v>157</v>
      </c>
      <c r="B178" s="1"/>
      <c r="C178" s="1" t="s">
        <v>431</v>
      </c>
      <c r="D178" s="1">
        <v>39234</v>
      </c>
      <c r="E178" s="1">
        <v>787</v>
      </c>
      <c r="F178" s="1" t="s">
        <v>437</v>
      </c>
      <c r="G178" s="1" t="s">
        <v>438</v>
      </c>
      <c r="H178" s="1" t="s">
        <v>141</v>
      </c>
      <c r="I178" s="1" t="s">
        <v>65</v>
      </c>
      <c r="J178" s="1">
        <v>3</v>
      </c>
      <c r="K178" s="1" t="s">
        <v>142</v>
      </c>
      <c r="L178" s="1" t="s">
        <v>153</v>
      </c>
      <c r="M178" s="1" t="s">
        <v>28</v>
      </c>
      <c r="N178" s="1" t="str">
        <f>HYPERLINK("https://klocwork.india.ti.com:443/review/insight-review.html#issuedetails_goto:problemid=39234,project=MCU_PLUS_SDK_AM263X,searchquery=taxonomy:'C and C++' build:Build_Apr_13_2023_11_11_AM grouping:off ","KW Issue Link")</f>
        <v>KW Issue Link</v>
      </c>
      <c r="O178" s="1" t="s">
        <v>356</v>
      </c>
    </row>
    <row r="179" spans="1:15" ht="60" x14ac:dyDescent="0.25">
      <c r="A179" s="1" t="s">
        <v>155</v>
      </c>
      <c r="B179" s="1"/>
      <c r="C179" s="1" t="s">
        <v>439</v>
      </c>
      <c r="D179" s="1">
        <v>39337</v>
      </c>
      <c r="E179" s="1">
        <v>284</v>
      </c>
      <c r="F179" s="1" t="s">
        <v>156</v>
      </c>
      <c r="G179" s="1" t="s">
        <v>440</v>
      </c>
      <c r="H179" s="1" t="s">
        <v>141</v>
      </c>
      <c r="I179" s="1" t="s">
        <v>65</v>
      </c>
      <c r="J179" s="1">
        <v>3</v>
      </c>
      <c r="K179" s="1" t="s">
        <v>142</v>
      </c>
      <c r="L179" s="1" t="s">
        <v>153</v>
      </c>
      <c r="M179" s="1" t="s">
        <v>28</v>
      </c>
      <c r="N179" s="1" t="str">
        <f>HYPERLINK("https://klocwork.india.ti.com:443/review/insight-review.html#issuedetails_goto:problemid=39337,project=MCU_PLUS_SDK_AM263X,searchquery=taxonomy:'C and C++' build:Build_Apr_13_2023_11_11_AM grouping:off ","KW Issue Link")</f>
        <v>KW Issue Link</v>
      </c>
      <c r="O179" s="1" t="s">
        <v>356</v>
      </c>
    </row>
    <row r="180" spans="1:15" ht="90" x14ac:dyDescent="0.25">
      <c r="A180" s="1" t="s">
        <v>157</v>
      </c>
      <c r="B180" s="1"/>
      <c r="C180" s="1" t="s">
        <v>441</v>
      </c>
      <c r="D180" s="1">
        <v>39457</v>
      </c>
      <c r="E180" s="1">
        <v>482</v>
      </c>
      <c r="F180" s="1" t="s">
        <v>442</v>
      </c>
      <c r="G180" s="1" t="s">
        <v>443</v>
      </c>
      <c r="H180" s="1" t="s">
        <v>141</v>
      </c>
      <c r="I180" s="1" t="s">
        <v>65</v>
      </c>
      <c r="J180" s="1">
        <v>3</v>
      </c>
      <c r="K180" s="1" t="s">
        <v>142</v>
      </c>
      <c r="L180" s="1" t="s">
        <v>153</v>
      </c>
      <c r="M180" s="1" t="s">
        <v>28</v>
      </c>
      <c r="N180" s="1" t="str">
        <f>HYPERLINK("https://klocwork.india.ti.com:443/review/insight-review.html#issuedetails_goto:problemid=39457,project=MCU_PLUS_SDK_AM263X,searchquery=taxonomy:'C and C++' build:Build_Apr_13_2023_11_11_AM grouping:off ","KW Issue Link")</f>
        <v>KW Issue Link</v>
      </c>
      <c r="O180" s="1" t="s">
        <v>356</v>
      </c>
    </row>
    <row r="181" spans="1:15" ht="75" x14ac:dyDescent="0.25">
      <c r="A181" s="1" t="s">
        <v>155</v>
      </c>
      <c r="B181" s="1"/>
      <c r="C181" s="1" t="s">
        <v>444</v>
      </c>
      <c r="D181" s="1">
        <v>39871</v>
      </c>
      <c r="E181" s="1">
        <v>291</v>
      </c>
      <c r="F181" s="1" t="s">
        <v>156</v>
      </c>
      <c r="G181" s="1" t="s">
        <v>445</v>
      </c>
      <c r="H181" s="1" t="s">
        <v>141</v>
      </c>
      <c r="I181" s="1" t="s">
        <v>65</v>
      </c>
      <c r="J181" s="1">
        <v>3</v>
      </c>
      <c r="K181" s="1" t="s">
        <v>142</v>
      </c>
      <c r="L181" s="1" t="s">
        <v>153</v>
      </c>
      <c r="M181" s="1" t="s">
        <v>28</v>
      </c>
      <c r="N181" s="1" t="str">
        <f>HYPERLINK("https://klocwork.india.ti.com:443/review/insight-review.html#issuedetails_goto:problemid=39871,project=MCU_PLUS_SDK_AM263X,searchquery=taxonomy:'C and C++' build:Build_Apr_13_2023_11_11_AM grouping:off ","KW Issue Link")</f>
        <v>KW Issue Link</v>
      </c>
      <c r="O181" s="1" t="s">
        <v>291</v>
      </c>
    </row>
    <row r="182" spans="1:15" ht="75" x14ac:dyDescent="0.25">
      <c r="A182" s="1" t="s">
        <v>157</v>
      </c>
      <c r="B182" s="1"/>
      <c r="C182" s="1" t="s">
        <v>444</v>
      </c>
      <c r="D182" s="1">
        <v>39873</v>
      </c>
      <c r="E182" s="1">
        <v>320</v>
      </c>
      <c r="F182" s="1" t="s">
        <v>446</v>
      </c>
      <c r="G182" s="1" t="s">
        <v>445</v>
      </c>
      <c r="H182" s="1" t="s">
        <v>141</v>
      </c>
      <c r="I182" s="1" t="s">
        <v>65</v>
      </c>
      <c r="J182" s="1">
        <v>3</v>
      </c>
      <c r="K182" s="1" t="s">
        <v>142</v>
      </c>
      <c r="L182" s="1" t="s">
        <v>153</v>
      </c>
      <c r="M182" s="1" t="s">
        <v>28</v>
      </c>
      <c r="N182" s="1" t="str">
        <f>HYPERLINK("https://klocwork.india.ti.com:443/review/insight-review.html#issuedetails_goto:problemid=39873,project=MCU_PLUS_SDK_AM263X,searchquery=taxonomy:'C and C++' build:Build_Apr_13_2023_11_11_AM grouping:off ","KW Issue Link")</f>
        <v>KW Issue Link</v>
      </c>
      <c r="O182" s="1" t="s">
        <v>291</v>
      </c>
    </row>
    <row r="183" spans="1:15" ht="75" x14ac:dyDescent="0.25">
      <c r="A183" s="1" t="s">
        <v>302</v>
      </c>
      <c r="B183" s="1" t="s">
        <v>299</v>
      </c>
      <c r="C183" s="1" t="s">
        <v>444</v>
      </c>
      <c r="D183" s="1">
        <v>39913</v>
      </c>
      <c r="E183" s="1">
        <v>595</v>
      </c>
      <c r="F183" s="1" t="s">
        <v>447</v>
      </c>
      <c r="G183" s="1" t="s">
        <v>448</v>
      </c>
      <c r="H183" s="1" t="s">
        <v>141</v>
      </c>
      <c r="I183" s="1" t="s">
        <v>63</v>
      </c>
      <c r="J183" s="1">
        <v>1</v>
      </c>
      <c r="K183" s="1" t="s">
        <v>142</v>
      </c>
      <c r="L183" s="1" t="s">
        <v>177</v>
      </c>
      <c r="M183" s="1" t="s">
        <v>28</v>
      </c>
      <c r="N183" s="1" t="str">
        <f>HYPERLINK("https://klocwork.india.ti.com:443/review/insight-review.html#issuedetails_goto:problemid=39913,project=MCU_PLUS_SDK_AM263X,searchquery=taxonomy:'C and C++' build:Build_Apr_13_2023_11_11_AM grouping:off ","KW Issue Link")</f>
        <v>KW Issue Link</v>
      </c>
      <c r="O183" s="1" t="s">
        <v>291</v>
      </c>
    </row>
    <row r="184" spans="1:15" ht="75" x14ac:dyDescent="0.25">
      <c r="A184" s="1" t="s">
        <v>302</v>
      </c>
      <c r="B184" s="1" t="s">
        <v>299</v>
      </c>
      <c r="C184" s="1" t="s">
        <v>444</v>
      </c>
      <c r="D184" s="1">
        <v>39914</v>
      </c>
      <c r="E184" s="1">
        <v>596</v>
      </c>
      <c r="F184" s="1" t="s">
        <v>449</v>
      </c>
      <c r="G184" s="1" t="s">
        <v>448</v>
      </c>
      <c r="H184" s="1" t="s">
        <v>141</v>
      </c>
      <c r="I184" s="1" t="s">
        <v>63</v>
      </c>
      <c r="J184" s="1">
        <v>1</v>
      </c>
      <c r="K184" s="1" t="s">
        <v>142</v>
      </c>
      <c r="L184" s="1" t="s">
        <v>177</v>
      </c>
      <c r="M184" s="1" t="s">
        <v>28</v>
      </c>
      <c r="N184" s="1" t="str">
        <f>HYPERLINK("https://klocwork.india.ti.com:443/review/insight-review.html#issuedetails_goto:problemid=39914,project=MCU_PLUS_SDK_AM263X,searchquery=taxonomy:'C and C++' build:Build_Apr_13_2023_11_11_AM grouping:off ","KW Issue Link")</f>
        <v>KW Issue Link</v>
      </c>
      <c r="O184" s="1" t="s">
        <v>291</v>
      </c>
    </row>
    <row r="185" spans="1:15" ht="75" x14ac:dyDescent="0.25">
      <c r="A185" s="1" t="s">
        <v>302</v>
      </c>
      <c r="B185" s="1" t="s">
        <v>299</v>
      </c>
      <c r="C185" s="1" t="s">
        <v>444</v>
      </c>
      <c r="D185" s="1">
        <v>39915</v>
      </c>
      <c r="E185" s="1">
        <v>619</v>
      </c>
      <c r="F185" s="1" t="s">
        <v>450</v>
      </c>
      <c r="G185" s="1" t="s">
        <v>451</v>
      </c>
      <c r="H185" s="1" t="s">
        <v>141</v>
      </c>
      <c r="I185" s="1" t="s">
        <v>63</v>
      </c>
      <c r="J185" s="1">
        <v>1</v>
      </c>
      <c r="K185" s="1" t="s">
        <v>142</v>
      </c>
      <c r="L185" s="1" t="s">
        <v>177</v>
      </c>
      <c r="M185" s="1" t="s">
        <v>28</v>
      </c>
      <c r="N185" s="1" t="str">
        <f>HYPERLINK("https://klocwork.india.ti.com:443/review/insight-review.html#issuedetails_goto:problemid=39915,project=MCU_PLUS_SDK_AM263X,searchquery=taxonomy:'C and C++' build:Build_Apr_13_2023_11_11_AM grouping:off ","KW Issue Link")</f>
        <v>KW Issue Link</v>
      </c>
      <c r="O185" s="1" t="s">
        <v>291</v>
      </c>
    </row>
    <row r="186" spans="1:15" ht="75" x14ac:dyDescent="0.25">
      <c r="A186" s="1" t="s">
        <v>302</v>
      </c>
      <c r="B186" s="1" t="s">
        <v>299</v>
      </c>
      <c r="C186" s="1" t="s">
        <v>444</v>
      </c>
      <c r="D186" s="1">
        <v>39916</v>
      </c>
      <c r="E186" s="1">
        <v>620</v>
      </c>
      <c r="F186" s="1" t="s">
        <v>452</v>
      </c>
      <c r="G186" s="1" t="s">
        <v>451</v>
      </c>
      <c r="H186" s="1" t="s">
        <v>141</v>
      </c>
      <c r="I186" s="1" t="s">
        <v>63</v>
      </c>
      <c r="J186" s="1">
        <v>1</v>
      </c>
      <c r="K186" s="1" t="s">
        <v>142</v>
      </c>
      <c r="L186" s="1" t="s">
        <v>177</v>
      </c>
      <c r="M186" s="1" t="s">
        <v>28</v>
      </c>
      <c r="N186" s="1" t="str">
        <f>HYPERLINK("https://klocwork.india.ti.com:443/review/insight-review.html#issuedetails_goto:problemid=39916,project=MCU_PLUS_SDK_AM263X,searchquery=taxonomy:'C and C++' build:Build_Apr_13_2023_11_11_AM grouping:off ","KW Issue Link")</f>
        <v>KW Issue Link</v>
      </c>
      <c r="O186" s="1" t="s">
        <v>291</v>
      </c>
    </row>
    <row r="187" spans="1:15" ht="75" x14ac:dyDescent="0.25">
      <c r="A187" s="1" t="s">
        <v>302</v>
      </c>
      <c r="B187" s="1" t="s">
        <v>299</v>
      </c>
      <c r="C187" s="1" t="s">
        <v>444</v>
      </c>
      <c r="D187" s="1">
        <v>39917</v>
      </c>
      <c r="E187" s="1">
        <v>621</v>
      </c>
      <c r="F187" s="1" t="s">
        <v>453</v>
      </c>
      <c r="G187" s="1" t="s">
        <v>451</v>
      </c>
      <c r="H187" s="1" t="s">
        <v>141</v>
      </c>
      <c r="I187" s="1" t="s">
        <v>63</v>
      </c>
      <c r="J187" s="1">
        <v>1</v>
      </c>
      <c r="K187" s="1" t="s">
        <v>142</v>
      </c>
      <c r="L187" s="1" t="s">
        <v>177</v>
      </c>
      <c r="M187" s="1" t="s">
        <v>28</v>
      </c>
      <c r="N187" s="1" t="str">
        <f>HYPERLINK("https://klocwork.india.ti.com:443/review/insight-review.html#issuedetails_goto:problemid=39917,project=MCU_PLUS_SDK_AM263X,searchquery=taxonomy:'C and C++' build:Build_Apr_13_2023_11_11_AM grouping:off ","KW Issue Link")</f>
        <v>KW Issue Link</v>
      </c>
      <c r="O187" s="1" t="s">
        <v>291</v>
      </c>
    </row>
    <row r="188" spans="1:15" ht="75" x14ac:dyDescent="0.25">
      <c r="A188" s="1" t="s">
        <v>302</v>
      </c>
      <c r="B188" s="1" t="s">
        <v>299</v>
      </c>
      <c r="C188" s="1" t="s">
        <v>444</v>
      </c>
      <c r="D188" s="1">
        <v>39918</v>
      </c>
      <c r="E188" s="1">
        <v>825</v>
      </c>
      <c r="F188" s="1" t="s">
        <v>454</v>
      </c>
      <c r="G188" s="1" t="s">
        <v>455</v>
      </c>
      <c r="H188" s="1" t="s">
        <v>141</v>
      </c>
      <c r="I188" s="1" t="s">
        <v>63</v>
      </c>
      <c r="J188" s="1">
        <v>1</v>
      </c>
      <c r="K188" s="1" t="s">
        <v>142</v>
      </c>
      <c r="L188" s="1" t="s">
        <v>177</v>
      </c>
      <c r="M188" s="1" t="s">
        <v>28</v>
      </c>
      <c r="N188" s="1" t="str">
        <f>HYPERLINK("https://klocwork.india.ti.com:443/review/insight-review.html#issuedetails_goto:problemid=39918,project=MCU_PLUS_SDK_AM263X,searchquery=taxonomy:'C and C++' build:Build_Apr_13_2023_11_11_AM grouping:off ","KW Issue Link")</f>
        <v>KW Issue Link</v>
      </c>
      <c r="O188" s="1" t="s">
        <v>291</v>
      </c>
    </row>
    <row r="189" spans="1:15" ht="75" x14ac:dyDescent="0.25">
      <c r="A189" s="1" t="s">
        <v>302</v>
      </c>
      <c r="B189" s="1" t="s">
        <v>299</v>
      </c>
      <c r="C189" s="1" t="s">
        <v>444</v>
      </c>
      <c r="D189" s="1">
        <v>39920</v>
      </c>
      <c r="E189" s="1">
        <v>1130</v>
      </c>
      <c r="F189" s="1" t="s">
        <v>456</v>
      </c>
      <c r="G189" s="1" t="s">
        <v>457</v>
      </c>
      <c r="H189" s="1" t="s">
        <v>141</v>
      </c>
      <c r="I189" s="1" t="s">
        <v>63</v>
      </c>
      <c r="J189" s="1">
        <v>1</v>
      </c>
      <c r="K189" s="1" t="s">
        <v>142</v>
      </c>
      <c r="L189" s="1" t="s">
        <v>177</v>
      </c>
      <c r="M189" s="1" t="s">
        <v>28</v>
      </c>
      <c r="N189" s="1" t="str">
        <f>HYPERLINK("https://klocwork.india.ti.com:443/review/insight-review.html#issuedetails_goto:problemid=39920,project=MCU_PLUS_SDK_AM263X,searchquery=taxonomy:'C and C++' build:Build_Apr_13_2023_11_11_AM grouping:off ","KW Issue Link")</f>
        <v>KW Issue Link</v>
      </c>
      <c r="O189" s="1" t="s">
        <v>291</v>
      </c>
    </row>
    <row r="190" spans="1:15" ht="75" x14ac:dyDescent="0.25">
      <c r="A190" s="1" t="s">
        <v>298</v>
      </c>
      <c r="B190" s="1" t="s">
        <v>299</v>
      </c>
      <c r="C190" s="1" t="s">
        <v>444</v>
      </c>
      <c r="D190" s="1">
        <v>39930</v>
      </c>
      <c r="E190" s="1">
        <v>806</v>
      </c>
      <c r="F190" s="1" t="s">
        <v>458</v>
      </c>
      <c r="G190" s="1" t="s">
        <v>455</v>
      </c>
      <c r="H190" s="1" t="s">
        <v>141</v>
      </c>
      <c r="I190" s="1" t="s">
        <v>63</v>
      </c>
      <c r="J190" s="1">
        <v>1</v>
      </c>
      <c r="K190" s="1" t="s">
        <v>142</v>
      </c>
      <c r="L190" s="1" t="s">
        <v>177</v>
      </c>
      <c r="M190" s="1" t="s">
        <v>28</v>
      </c>
      <c r="N190" s="1" t="str">
        <f>HYPERLINK("https://klocwork.india.ti.com:443/review/insight-review.html#issuedetails_goto:problemid=39930,project=MCU_PLUS_SDK_AM263X,searchquery=taxonomy:'C and C++' build:Build_Apr_13_2023_11_11_AM grouping:off ","KW Issue Link")</f>
        <v>KW Issue Link</v>
      </c>
      <c r="O190" s="1" t="s">
        <v>291</v>
      </c>
    </row>
    <row r="191" spans="1:15" ht="135" x14ac:dyDescent="0.25">
      <c r="A191" s="1" t="s">
        <v>459</v>
      </c>
      <c r="B191" s="1" t="s">
        <v>299</v>
      </c>
      <c r="C191" s="1" t="s">
        <v>444</v>
      </c>
      <c r="D191" s="1">
        <v>39931</v>
      </c>
      <c r="E191" s="1">
        <v>806</v>
      </c>
      <c r="F191" s="1" t="s">
        <v>460</v>
      </c>
      <c r="G191" s="1" t="s">
        <v>455</v>
      </c>
      <c r="H191" s="1" t="s">
        <v>141</v>
      </c>
      <c r="I191" s="1" t="s">
        <v>63</v>
      </c>
      <c r="J191" s="1">
        <v>1</v>
      </c>
      <c r="K191" s="1" t="s">
        <v>142</v>
      </c>
      <c r="L191" s="1" t="s">
        <v>177</v>
      </c>
      <c r="M191" s="1" t="s">
        <v>28</v>
      </c>
      <c r="N191" s="1" t="str">
        <f>HYPERLINK("https://klocwork.india.ti.com:443/review/insight-review.html#issuedetails_goto:problemid=39931,project=MCU_PLUS_SDK_AM263X,searchquery=taxonomy:'C and C++' build:Build_Apr_13_2023_11_11_AM grouping:off ","KW Issue Link")</f>
        <v>KW Issue Link</v>
      </c>
      <c r="O191" s="1" t="s">
        <v>291</v>
      </c>
    </row>
    <row r="192" spans="1:15" ht="120" x14ac:dyDescent="0.25">
      <c r="A192" s="1" t="s">
        <v>461</v>
      </c>
      <c r="B192" s="1" t="s">
        <v>299</v>
      </c>
      <c r="C192" s="1" t="s">
        <v>444</v>
      </c>
      <c r="D192" s="1">
        <v>39932</v>
      </c>
      <c r="E192" s="1">
        <v>868</v>
      </c>
      <c r="F192" s="1" t="s">
        <v>462</v>
      </c>
      <c r="G192" s="1" t="s">
        <v>455</v>
      </c>
      <c r="H192" s="1" t="s">
        <v>141</v>
      </c>
      <c r="I192" s="1" t="s">
        <v>63</v>
      </c>
      <c r="J192" s="1">
        <v>1</v>
      </c>
      <c r="K192" s="1" t="s">
        <v>142</v>
      </c>
      <c r="L192" s="1" t="s">
        <v>177</v>
      </c>
      <c r="M192" s="1" t="s">
        <v>28</v>
      </c>
      <c r="N192" s="1" t="str">
        <f>HYPERLINK("https://klocwork.india.ti.com:443/review/insight-review.html#issuedetails_goto:problemid=39932,project=MCU_PLUS_SDK_AM263X,searchquery=taxonomy:'C and C++' build:Build_Apr_13_2023_11_11_AM grouping:off ","KW Issue Link")</f>
        <v>KW Issue Link</v>
      </c>
      <c r="O192" s="1" t="s">
        <v>291</v>
      </c>
    </row>
    <row r="193" spans="1:15" ht="120" x14ac:dyDescent="0.25">
      <c r="A193" s="1" t="s">
        <v>461</v>
      </c>
      <c r="B193" s="1" t="s">
        <v>299</v>
      </c>
      <c r="C193" s="1" t="s">
        <v>444</v>
      </c>
      <c r="D193" s="1">
        <v>39933</v>
      </c>
      <c r="E193" s="1">
        <v>885</v>
      </c>
      <c r="F193" s="1" t="s">
        <v>463</v>
      </c>
      <c r="G193" s="1" t="s">
        <v>455</v>
      </c>
      <c r="H193" s="1" t="s">
        <v>141</v>
      </c>
      <c r="I193" s="1" t="s">
        <v>63</v>
      </c>
      <c r="J193" s="1">
        <v>1</v>
      </c>
      <c r="K193" s="1" t="s">
        <v>142</v>
      </c>
      <c r="L193" s="1" t="s">
        <v>177</v>
      </c>
      <c r="M193" s="1" t="s">
        <v>28</v>
      </c>
      <c r="N193" s="1" t="str">
        <f>HYPERLINK("https://klocwork.india.ti.com:443/review/insight-review.html#issuedetails_goto:problemid=39933,project=MCU_PLUS_SDK_AM263X,searchquery=taxonomy:'C and C++' build:Build_Apr_13_2023_11_11_AM grouping:off ","KW Issue Link")</f>
        <v>KW Issue Link</v>
      </c>
      <c r="O193" s="1" t="s">
        <v>291</v>
      </c>
    </row>
    <row r="194" spans="1:15" ht="120" x14ac:dyDescent="0.25">
      <c r="A194" s="1" t="s">
        <v>461</v>
      </c>
      <c r="B194" s="1" t="s">
        <v>299</v>
      </c>
      <c r="C194" s="1" t="s">
        <v>444</v>
      </c>
      <c r="D194" s="1">
        <v>39934</v>
      </c>
      <c r="E194" s="1">
        <v>896</v>
      </c>
      <c r="F194" s="1" t="s">
        <v>464</v>
      </c>
      <c r="G194" s="1" t="s">
        <v>455</v>
      </c>
      <c r="H194" s="1" t="s">
        <v>141</v>
      </c>
      <c r="I194" s="1" t="s">
        <v>63</v>
      </c>
      <c r="J194" s="1">
        <v>1</v>
      </c>
      <c r="K194" s="1" t="s">
        <v>142</v>
      </c>
      <c r="L194" s="1" t="s">
        <v>177</v>
      </c>
      <c r="M194" s="1" t="s">
        <v>28</v>
      </c>
      <c r="N194" s="1" t="str">
        <f>HYPERLINK("https://klocwork.india.ti.com:443/review/insight-review.html#issuedetails_goto:problemid=39934,project=MCU_PLUS_SDK_AM263X,searchquery=taxonomy:'C and C++' build:Build_Apr_13_2023_11_11_AM grouping:off ","KW Issue Link")</f>
        <v>KW Issue Link</v>
      </c>
      <c r="O194" s="1" t="s">
        <v>291</v>
      </c>
    </row>
    <row r="195" spans="1:15" ht="75" x14ac:dyDescent="0.25">
      <c r="A195" s="1" t="s">
        <v>136</v>
      </c>
      <c r="B195" s="1"/>
      <c r="C195" s="1" t="s">
        <v>444</v>
      </c>
      <c r="D195" s="1">
        <v>39938</v>
      </c>
      <c r="E195" s="1">
        <v>1162</v>
      </c>
      <c r="F195" s="1" t="s">
        <v>465</v>
      </c>
      <c r="G195" s="1" t="s">
        <v>457</v>
      </c>
      <c r="H195" s="1" t="s">
        <v>141</v>
      </c>
      <c r="I195" s="1" t="s">
        <v>66</v>
      </c>
      <c r="J195" s="1">
        <v>4</v>
      </c>
      <c r="K195" s="1" t="s">
        <v>142</v>
      </c>
      <c r="L195" s="1" t="s">
        <v>153</v>
      </c>
      <c r="M195" s="1" t="s">
        <v>28</v>
      </c>
      <c r="N195" s="1" t="str">
        <f>HYPERLINK("https://klocwork.india.ti.com:443/review/insight-review.html#issuedetails_goto:problemid=39938,project=MCU_PLUS_SDK_AM263X,searchquery=taxonomy:'C and C++' build:Build_Apr_13_2023_11_11_AM grouping:off ","KW Issue Link")</f>
        <v>KW Issue Link</v>
      </c>
      <c r="O195" s="1" t="s">
        <v>291</v>
      </c>
    </row>
    <row r="196" spans="1:15" ht="75" x14ac:dyDescent="0.25">
      <c r="A196" s="1" t="s">
        <v>136</v>
      </c>
      <c r="B196" s="1"/>
      <c r="C196" s="1" t="s">
        <v>466</v>
      </c>
      <c r="D196" s="1">
        <v>40143</v>
      </c>
      <c r="E196" s="1">
        <v>172</v>
      </c>
      <c r="F196" s="1" t="s">
        <v>467</v>
      </c>
      <c r="G196" s="1" t="s">
        <v>468</v>
      </c>
      <c r="H196" s="1" t="s">
        <v>141</v>
      </c>
      <c r="I196" s="1" t="s">
        <v>66</v>
      </c>
      <c r="J196" s="1">
        <v>4</v>
      </c>
      <c r="K196" s="1" t="s">
        <v>142</v>
      </c>
      <c r="L196" s="1" t="s">
        <v>153</v>
      </c>
      <c r="M196" s="1" t="s">
        <v>28</v>
      </c>
      <c r="N196" s="1" t="str">
        <f>HYPERLINK("https://klocwork.india.ti.com:443/review/insight-review.html#issuedetails_goto:problemid=40143,project=MCU_PLUS_SDK_AM263X,searchquery=taxonomy:'C and C++' build:Build_Apr_13_2023_11_11_AM grouping:off ","KW Issue Link")</f>
        <v>KW Issue Link</v>
      </c>
      <c r="O196" s="1" t="s">
        <v>291</v>
      </c>
    </row>
    <row r="197" spans="1:15" ht="75" x14ac:dyDescent="0.25">
      <c r="A197" s="1" t="s">
        <v>298</v>
      </c>
      <c r="B197" s="1" t="s">
        <v>299</v>
      </c>
      <c r="C197" s="1" t="s">
        <v>466</v>
      </c>
      <c r="D197" s="1">
        <v>40301</v>
      </c>
      <c r="E197" s="1">
        <v>424</v>
      </c>
      <c r="F197" s="1" t="s">
        <v>469</v>
      </c>
      <c r="G197" s="1" t="s">
        <v>470</v>
      </c>
      <c r="H197" s="1" t="s">
        <v>141</v>
      </c>
      <c r="I197" s="1" t="s">
        <v>63</v>
      </c>
      <c r="J197" s="1">
        <v>1</v>
      </c>
      <c r="K197" s="1" t="s">
        <v>142</v>
      </c>
      <c r="L197" s="1" t="s">
        <v>177</v>
      </c>
      <c r="M197" s="1" t="s">
        <v>28</v>
      </c>
      <c r="N197" s="1" t="str">
        <f>HYPERLINK("https://klocwork.india.ti.com:443/review/insight-review.html#issuedetails_goto:problemid=40301,project=MCU_PLUS_SDK_AM263X,searchquery=taxonomy:'C and C++' build:Build_Apr_13_2023_11_11_AM grouping:off ","KW Issue Link")</f>
        <v>KW Issue Link</v>
      </c>
      <c r="O197" s="1" t="s">
        <v>291</v>
      </c>
    </row>
    <row r="198" spans="1:15" ht="75" x14ac:dyDescent="0.25">
      <c r="A198" s="1" t="s">
        <v>298</v>
      </c>
      <c r="B198" s="1" t="s">
        <v>299</v>
      </c>
      <c r="C198" s="1" t="s">
        <v>466</v>
      </c>
      <c r="D198" s="1">
        <v>40302</v>
      </c>
      <c r="E198" s="1">
        <v>427</v>
      </c>
      <c r="F198" s="1" t="s">
        <v>471</v>
      </c>
      <c r="G198" s="1" t="s">
        <v>470</v>
      </c>
      <c r="H198" s="1" t="s">
        <v>141</v>
      </c>
      <c r="I198" s="1" t="s">
        <v>63</v>
      </c>
      <c r="J198" s="1">
        <v>1</v>
      </c>
      <c r="K198" s="1" t="s">
        <v>142</v>
      </c>
      <c r="L198" s="1" t="s">
        <v>177</v>
      </c>
      <c r="M198" s="1" t="s">
        <v>28</v>
      </c>
      <c r="N198" s="1" t="str">
        <f>HYPERLINK("https://klocwork.india.ti.com:443/review/insight-review.html#issuedetails_goto:problemid=40302,project=MCU_PLUS_SDK_AM263X,searchquery=taxonomy:'C and C++' build:Build_Apr_13_2023_11_11_AM grouping:off ","KW Issue Link")</f>
        <v>KW Issue Link</v>
      </c>
      <c r="O198" s="1" t="s">
        <v>291</v>
      </c>
    </row>
    <row r="199" spans="1:15" ht="75" x14ac:dyDescent="0.25">
      <c r="A199" s="1" t="s">
        <v>302</v>
      </c>
      <c r="B199" s="1" t="s">
        <v>299</v>
      </c>
      <c r="C199" s="1" t="s">
        <v>466</v>
      </c>
      <c r="D199" s="1">
        <v>40308</v>
      </c>
      <c r="E199" s="1">
        <v>479</v>
      </c>
      <c r="F199" s="1" t="s">
        <v>472</v>
      </c>
      <c r="G199" s="1" t="s">
        <v>473</v>
      </c>
      <c r="H199" s="1" t="s">
        <v>141</v>
      </c>
      <c r="I199" s="1" t="s">
        <v>63</v>
      </c>
      <c r="J199" s="1">
        <v>1</v>
      </c>
      <c r="K199" s="1" t="s">
        <v>142</v>
      </c>
      <c r="L199" s="1" t="s">
        <v>177</v>
      </c>
      <c r="M199" s="1" t="s">
        <v>28</v>
      </c>
      <c r="N199" s="1" t="str">
        <f>HYPERLINK("https://klocwork.india.ti.com:443/review/insight-review.html#issuedetails_goto:problemid=40308,project=MCU_PLUS_SDK_AM263X,searchquery=taxonomy:'C and C++' build:Build_Apr_13_2023_11_11_AM grouping:off ","KW Issue Link")</f>
        <v>KW Issue Link</v>
      </c>
      <c r="O199" s="1" t="s">
        <v>291</v>
      </c>
    </row>
    <row r="200" spans="1:15" ht="75" x14ac:dyDescent="0.25">
      <c r="A200" s="1" t="s">
        <v>157</v>
      </c>
      <c r="B200" s="1"/>
      <c r="C200" s="1" t="s">
        <v>466</v>
      </c>
      <c r="D200" s="1">
        <v>40311</v>
      </c>
      <c r="E200" s="1">
        <v>533</v>
      </c>
      <c r="F200" s="1" t="s">
        <v>474</v>
      </c>
      <c r="G200" s="1" t="s">
        <v>475</v>
      </c>
      <c r="H200" s="1" t="s">
        <v>141</v>
      </c>
      <c r="I200" s="1" t="s">
        <v>65</v>
      </c>
      <c r="J200" s="1">
        <v>3</v>
      </c>
      <c r="K200" s="1" t="s">
        <v>142</v>
      </c>
      <c r="L200" s="1" t="s">
        <v>153</v>
      </c>
      <c r="M200" s="1" t="s">
        <v>28</v>
      </c>
      <c r="N200" s="1" t="str">
        <f>HYPERLINK("https://klocwork.india.ti.com:443/review/insight-review.html#issuedetails_goto:problemid=40311,project=MCU_PLUS_SDK_AM263X,searchquery=taxonomy:'C and C++' build:Build_Apr_13_2023_11_11_AM grouping:off ","KW Issue Link")</f>
        <v>KW Issue Link</v>
      </c>
      <c r="O200" s="1" t="s">
        <v>291</v>
      </c>
    </row>
    <row r="201" spans="1:15" ht="75" x14ac:dyDescent="0.25">
      <c r="A201" s="1" t="s">
        <v>298</v>
      </c>
      <c r="B201" s="1" t="s">
        <v>299</v>
      </c>
      <c r="C201" s="1" t="s">
        <v>476</v>
      </c>
      <c r="D201" s="1">
        <v>40481</v>
      </c>
      <c r="E201" s="1">
        <v>538</v>
      </c>
      <c r="F201" s="1" t="s">
        <v>477</v>
      </c>
      <c r="G201" s="1" t="s">
        <v>478</v>
      </c>
      <c r="H201" s="1" t="s">
        <v>141</v>
      </c>
      <c r="I201" s="1" t="s">
        <v>63</v>
      </c>
      <c r="J201" s="1">
        <v>1</v>
      </c>
      <c r="K201" s="1" t="s">
        <v>142</v>
      </c>
      <c r="L201" s="1" t="s">
        <v>177</v>
      </c>
      <c r="M201" s="1" t="s">
        <v>28</v>
      </c>
      <c r="N201" s="1" t="str">
        <f>HYPERLINK("https://klocwork.india.ti.com:443/review/insight-review.html#issuedetails_goto:problemid=40481,project=MCU_PLUS_SDK_AM263X,searchquery=taxonomy:'C and C++' build:Build_Apr_13_2023_11_11_AM grouping:off ","KW Issue Link")</f>
        <v>KW Issue Link</v>
      </c>
      <c r="O201" s="1" t="s">
        <v>291</v>
      </c>
    </row>
    <row r="202" spans="1:15" ht="75" x14ac:dyDescent="0.25">
      <c r="A202" s="1" t="s">
        <v>298</v>
      </c>
      <c r="B202" s="1" t="s">
        <v>299</v>
      </c>
      <c r="C202" s="1" t="s">
        <v>476</v>
      </c>
      <c r="D202" s="1">
        <v>40482</v>
      </c>
      <c r="E202" s="1">
        <v>1969</v>
      </c>
      <c r="F202" s="1" t="s">
        <v>479</v>
      </c>
      <c r="G202" s="1" t="s">
        <v>480</v>
      </c>
      <c r="H202" s="1" t="s">
        <v>141</v>
      </c>
      <c r="I202" s="1" t="s">
        <v>63</v>
      </c>
      <c r="J202" s="1">
        <v>1</v>
      </c>
      <c r="K202" s="1" t="s">
        <v>142</v>
      </c>
      <c r="L202" s="1" t="s">
        <v>177</v>
      </c>
      <c r="M202" s="1" t="s">
        <v>28</v>
      </c>
      <c r="N202" s="1" t="str">
        <f>HYPERLINK("https://klocwork.india.ti.com:443/review/insight-review.html#issuedetails_goto:problemid=40482,project=MCU_PLUS_SDK_AM263X,searchquery=taxonomy:'C and C++' build:Build_Apr_13_2023_11_11_AM grouping:off ","KW Issue Link")</f>
        <v>KW Issue Link</v>
      </c>
      <c r="O202" s="1" t="s">
        <v>291</v>
      </c>
    </row>
    <row r="203" spans="1:15" ht="75" x14ac:dyDescent="0.25">
      <c r="A203" s="1" t="s">
        <v>155</v>
      </c>
      <c r="B203" s="1"/>
      <c r="C203" s="1" t="s">
        <v>476</v>
      </c>
      <c r="D203" s="1">
        <v>40726</v>
      </c>
      <c r="E203" s="1">
        <v>1564</v>
      </c>
      <c r="F203" s="1" t="s">
        <v>156</v>
      </c>
      <c r="G203" s="1" t="s">
        <v>481</v>
      </c>
      <c r="H203" s="1" t="s">
        <v>141</v>
      </c>
      <c r="I203" s="1" t="s">
        <v>65</v>
      </c>
      <c r="J203" s="1">
        <v>3</v>
      </c>
      <c r="K203" s="1" t="s">
        <v>142</v>
      </c>
      <c r="L203" s="1" t="s">
        <v>153</v>
      </c>
      <c r="M203" s="1" t="s">
        <v>28</v>
      </c>
      <c r="N203" s="1" t="str">
        <f>HYPERLINK("https://klocwork.india.ti.com:443/review/insight-review.html#issuedetails_goto:problemid=40726,project=MCU_PLUS_SDK_AM263X,searchquery=taxonomy:'C and C++' build:Build_Apr_13_2023_11_11_AM grouping:off ","KW Issue Link")</f>
        <v>KW Issue Link</v>
      </c>
      <c r="O203" s="1" t="s">
        <v>291</v>
      </c>
    </row>
    <row r="204" spans="1:15" ht="75" x14ac:dyDescent="0.25">
      <c r="A204" s="1" t="s">
        <v>155</v>
      </c>
      <c r="B204" s="1"/>
      <c r="C204" s="1" t="s">
        <v>476</v>
      </c>
      <c r="D204" s="1">
        <v>40727</v>
      </c>
      <c r="E204" s="1">
        <v>2564</v>
      </c>
      <c r="F204" s="1" t="s">
        <v>156</v>
      </c>
      <c r="G204" s="1" t="s">
        <v>482</v>
      </c>
      <c r="H204" s="1" t="s">
        <v>141</v>
      </c>
      <c r="I204" s="1" t="s">
        <v>65</v>
      </c>
      <c r="J204" s="1">
        <v>3</v>
      </c>
      <c r="K204" s="1" t="s">
        <v>142</v>
      </c>
      <c r="L204" s="1" t="s">
        <v>153</v>
      </c>
      <c r="M204" s="1" t="s">
        <v>28</v>
      </c>
      <c r="N204" s="1" t="str">
        <f>HYPERLINK("https://klocwork.india.ti.com:443/review/insight-review.html#issuedetails_goto:problemid=40727,project=MCU_PLUS_SDK_AM263X,searchquery=taxonomy:'C and C++' build:Build_Apr_13_2023_11_11_AM grouping:off ","KW Issue Link")</f>
        <v>KW Issue Link</v>
      </c>
      <c r="O204" s="1" t="s">
        <v>291</v>
      </c>
    </row>
    <row r="205" spans="1:15" ht="75" x14ac:dyDescent="0.25">
      <c r="A205" s="1" t="s">
        <v>302</v>
      </c>
      <c r="B205" s="1" t="s">
        <v>299</v>
      </c>
      <c r="C205" s="1" t="s">
        <v>476</v>
      </c>
      <c r="D205" s="1">
        <v>40730</v>
      </c>
      <c r="E205" s="1">
        <v>1994</v>
      </c>
      <c r="F205" s="1" t="s">
        <v>483</v>
      </c>
      <c r="G205" s="1" t="s">
        <v>480</v>
      </c>
      <c r="H205" s="1" t="s">
        <v>141</v>
      </c>
      <c r="I205" s="1" t="s">
        <v>63</v>
      </c>
      <c r="J205" s="1">
        <v>1</v>
      </c>
      <c r="K205" s="1" t="s">
        <v>142</v>
      </c>
      <c r="L205" s="1" t="s">
        <v>177</v>
      </c>
      <c r="M205" s="1" t="s">
        <v>28</v>
      </c>
      <c r="N205" s="1" t="str">
        <f>HYPERLINK("https://klocwork.india.ti.com:443/review/insight-review.html#issuedetails_goto:problemid=40730,project=MCU_PLUS_SDK_AM263X,searchquery=taxonomy:'C and C++' build:Build_Apr_13_2023_11_11_AM grouping:off ","KW Issue Link")</f>
        <v>KW Issue Link</v>
      </c>
      <c r="O205" s="1" t="s">
        <v>291</v>
      </c>
    </row>
    <row r="206" spans="1:15" ht="75" x14ac:dyDescent="0.25">
      <c r="A206" s="1" t="s">
        <v>302</v>
      </c>
      <c r="B206" s="1" t="s">
        <v>299</v>
      </c>
      <c r="C206" s="1" t="s">
        <v>476</v>
      </c>
      <c r="D206" s="1">
        <v>40731</v>
      </c>
      <c r="E206" s="1">
        <v>2378</v>
      </c>
      <c r="F206" s="1" t="s">
        <v>484</v>
      </c>
      <c r="G206" s="1" t="s">
        <v>485</v>
      </c>
      <c r="H206" s="1" t="s">
        <v>141</v>
      </c>
      <c r="I206" s="1" t="s">
        <v>63</v>
      </c>
      <c r="J206" s="1">
        <v>1</v>
      </c>
      <c r="K206" s="1" t="s">
        <v>142</v>
      </c>
      <c r="L206" s="1" t="s">
        <v>177</v>
      </c>
      <c r="M206" s="1" t="s">
        <v>28</v>
      </c>
      <c r="N206" s="1" t="str">
        <f>HYPERLINK("https://klocwork.india.ti.com:443/review/insight-review.html#issuedetails_goto:problemid=40731,project=MCU_PLUS_SDK_AM263X,searchquery=taxonomy:'C and C++' build:Build_Apr_13_2023_11_11_AM grouping:off ","KW Issue Link")</f>
        <v>KW Issue Link</v>
      </c>
      <c r="O206" s="1" t="s">
        <v>291</v>
      </c>
    </row>
    <row r="207" spans="1:15" ht="75" x14ac:dyDescent="0.25">
      <c r="A207" s="1" t="s">
        <v>155</v>
      </c>
      <c r="B207" s="1"/>
      <c r="C207" s="1" t="s">
        <v>486</v>
      </c>
      <c r="D207" s="1">
        <v>41525</v>
      </c>
      <c r="E207" s="1">
        <v>281</v>
      </c>
      <c r="F207" s="1" t="s">
        <v>156</v>
      </c>
      <c r="G207" s="1" t="s">
        <v>487</v>
      </c>
      <c r="H207" s="1" t="s">
        <v>141</v>
      </c>
      <c r="I207" s="1" t="s">
        <v>65</v>
      </c>
      <c r="J207" s="1">
        <v>3</v>
      </c>
      <c r="K207" s="1" t="s">
        <v>142</v>
      </c>
      <c r="L207" s="1" t="s">
        <v>153</v>
      </c>
      <c r="M207" s="1" t="s">
        <v>28</v>
      </c>
      <c r="N207" s="1" t="str">
        <f>HYPERLINK("https://klocwork.india.ti.com:443/review/insight-review.html#issuedetails_goto:problemid=41525,project=MCU_PLUS_SDK_AM263X,searchquery=taxonomy:'C and C++' build:Build_Apr_13_2023_11_11_AM grouping:off ","KW Issue Link")</f>
        <v>KW Issue Link</v>
      </c>
      <c r="O207" s="1" t="s">
        <v>291</v>
      </c>
    </row>
    <row r="208" spans="1:15" ht="75" x14ac:dyDescent="0.25">
      <c r="A208" s="1" t="s">
        <v>155</v>
      </c>
      <c r="B208" s="1"/>
      <c r="C208" s="1" t="s">
        <v>486</v>
      </c>
      <c r="D208" s="1">
        <v>41526</v>
      </c>
      <c r="E208" s="1">
        <v>355</v>
      </c>
      <c r="F208" s="1" t="s">
        <v>156</v>
      </c>
      <c r="G208" s="1" t="s">
        <v>488</v>
      </c>
      <c r="H208" s="1" t="s">
        <v>141</v>
      </c>
      <c r="I208" s="1" t="s">
        <v>65</v>
      </c>
      <c r="J208" s="1">
        <v>3</v>
      </c>
      <c r="K208" s="1" t="s">
        <v>142</v>
      </c>
      <c r="L208" s="1" t="s">
        <v>153</v>
      </c>
      <c r="M208" s="1" t="s">
        <v>28</v>
      </c>
      <c r="N208" s="1" t="str">
        <f>HYPERLINK("https://klocwork.india.ti.com:443/review/insight-review.html#issuedetails_goto:problemid=41526,project=MCU_PLUS_SDK_AM263X,searchquery=taxonomy:'C and C++' build:Build_Apr_13_2023_11_11_AM grouping:off ","KW Issue Link")</f>
        <v>KW Issue Link</v>
      </c>
      <c r="O208" s="1" t="s">
        <v>291</v>
      </c>
    </row>
    <row r="209" spans="1:15" ht="75" x14ac:dyDescent="0.25">
      <c r="A209" s="1" t="s">
        <v>155</v>
      </c>
      <c r="B209" s="1"/>
      <c r="C209" s="1" t="s">
        <v>486</v>
      </c>
      <c r="D209" s="1">
        <v>41527</v>
      </c>
      <c r="E209" s="1">
        <v>361</v>
      </c>
      <c r="F209" s="1" t="s">
        <v>156</v>
      </c>
      <c r="G209" s="1" t="s">
        <v>488</v>
      </c>
      <c r="H209" s="1" t="s">
        <v>141</v>
      </c>
      <c r="I209" s="1" t="s">
        <v>65</v>
      </c>
      <c r="J209" s="1">
        <v>3</v>
      </c>
      <c r="K209" s="1" t="s">
        <v>142</v>
      </c>
      <c r="L209" s="1" t="s">
        <v>153</v>
      </c>
      <c r="M209" s="1" t="s">
        <v>28</v>
      </c>
      <c r="N209" s="1" t="str">
        <f>HYPERLINK("https://klocwork.india.ti.com:443/review/insight-review.html#issuedetails_goto:problemid=41527,project=MCU_PLUS_SDK_AM263X,searchquery=taxonomy:'C and C++' build:Build_Apr_13_2023_11_11_AM grouping:off ","KW Issue Link")</f>
        <v>KW Issue Link</v>
      </c>
      <c r="O209" s="1" t="s">
        <v>291</v>
      </c>
    </row>
    <row r="210" spans="1:15" ht="75" x14ac:dyDescent="0.25">
      <c r="A210" s="1" t="s">
        <v>155</v>
      </c>
      <c r="B210" s="1"/>
      <c r="C210" s="1" t="s">
        <v>486</v>
      </c>
      <c r="D210" s="1">
        <v>41528</v>
      </c>
      <c r="E210" s="1">
        <v>361</v>
      </c>
      <c r="F210" s="1" t="s">
        <v>156</v>
      </c>
      <c r="G210" s="1" t="s">
        <v>488</v>
      </c>
      <c r="H210" s="1" t="s">
        <v>141</v>
      </c>
      <c r="I210" s="1" t="s">
        <v>65</v>
      </c>
      <c r="J210" s="1">
        <v>3</v>
      </c>
      <c r="K210" s="1" t="s">
        <v>142</v>
      </c>
      <c r="L210" s="1" t="s">
        <v>153</v>
      </c>
      <c r="M210" s="1" t="s">
        <v>28</v>
      </c>
      <c r="N210" s="1" t="str">
        <f>HYPERLINK("https://klocwork.india.ti.com:443/review/insight-review.html#issuedetails_goto:problemid=41528,project=MCU_PLUS_SDK_AM263X,searchquery=taxonomy:'C and C++' build:Build_Apr_13_2023_11_11_AM grouping:off ","KW Issue Link")</f>
        <v>KW Issue Link</v>
      </c>
      <c r="O210" s="1" t="s">
        <v>291</v>
      </c>
    </row>
    <row r="211" spans="1:15" ht="75" x14ac:dyDescent="0.25">
      <c r="A211" s="1" t="s">
        <v>155</v>
      </c>
      <c r="B211" s="1"/>
      <c r="C211" s="1" t="s">
        <v>486</v>
      </c>
      <c r="D211" s="1">
        <v>41529</v>
      </c>
      <c r="E211" s="1">
        <v>371</v>
      </c>
      <c r="F211" s="1" t="s">
        <v>156</v>
      </c>
      <c r="G211" s="1" t="s">
        <v>488</v>
      </c>
      <c r="H211" s="1" t="s">
        <v>141</v>
      </c>
      <c r="I211" s="1" t="s">
        <v>65</v>
      </c>
      <c r="J211" s="1">
        <v>3</v>
      </c>
      <c r="K211" s="1" t="s">
        <v>142</v>
      </c>
      <c r="L211" s="1" t="s">
        <v>153</v>
      </c>
      <c r="M211" s="1" t="s">
        <v>28</v>
      </c>
      <c r="N211" s="1" t="str">
        <f>HYPERLINK("https://klocwork.india.ti.com:443/review/insight-review.html#issuedetails_goto:problemid=41529,project=MCU_PLUS_SDK_AM263X,searchquery=taxonomy:'C and C++' build:Build_Apr_13_2023_11_11_AM grouping:off ","KW Issue Link")</f>
        <v>KW Issue Link</v>
      </c>
      <c r="O211" s="1" t="s">
        <v>291</v>
      </c>
    </row>
    <row r="212" spans="1:15" ht="75" x14ac:dyDescent="0.25">
      <c r="A212" s="1" t="s">
        <v>155</v>
      </c>
      <c r="B212" s="1"/>
      <c r="C212" s="1" t="s">
        <v>486</v>
      </c>
      <c r="D212" s="1">
        <v>41530</v>
      </c>
      <c r="E212" s="1">
        <v>371</v>
      </c>
      <c r="F212" s="1" t="s">
        <v>156</v>
      </c>
      <c r="G212" s="1" t="s">
        <v>488</v>
      </c>
      <c r="H212" s="1" t="s">
        <v>141</v>
      </c>
      <c r="I212" s="1" t="s">
        <v>65</v>
      </c>
      <c r="J212" s="1">
        <v>3</v>
      </c>
      <c r="K212" s="1" t="s">
        <v>142</v>
      </c>
      <c r="L212" s="1" t="s">
        <v>153</v>
      </c>
      <c r="M212" s="1" t="s">
        <v>28</v>
      </c>
      <c r="N212" s="1" t="str">
        <f>HYPERLINK("https://klocwork.india.ti.com:443/review/insight-review.html#issuedetails_goto:problemid=41530,project=MCU_PLUS_SDK_AM263X,searchquery=taxonomy:'C and C++' build:Build_Apr_13_2023_11_11_AM grouping:off ","KW Issue Link")</f>
        <v>KW Issue Link</v>
      </c>
      <c r="O212" s="1" t="s">
        <v>291</v>
      </c>
    </row>
    <row r="213" spans="1:15" ht="75" x14ac:dyDescent="0.25">
      <c r="A213" s="1" t="s">
        <v>155</v>
      </c>
      <c r="B213" s="1"/>
      <c r="C213" s="1" t="s">
        <v>486</v>
      </c>
      <c r="D213" s="1">
        <v>41531</v>
      </c>
      <c r="E213" s="1">
        <v>375</v>
      </c>
      <c r="F213" s="1" t="s">
        <v>156</v>
      </c>
      <c r="G213" s="1" t="s">
        <v>488</v>
      </c>
      <c r="H213" s="1" t="s">
        <v>141</v>
      </c>
      <c r="I213" s="1" t="s">
        <v>65</v>
      </c>
      <c r="J213" s="1">
        <v>3</v>
      </c>
      <c r="K213" s="1" t="s">
        <v>142</v>
      </c>
      <c r="L213" s="1" t="s">
        <v>153</v>
      </c>
      <c r="M213" s="1" t="s">
        <v>28</v>
      </c>
      <c r="N213" s="1" t="str">
        <f>HYPERLINK("https://klocwork.india.ti.com:443/review/insight-review.html#issuedetails_goto:problemid=41531,project=MCU_PLUS_SDK_AM263X,searchquery=taxonomy:'C and C++' build:Build_Apr_13_2023_11_11_AM grouping:off ","KW Issue Link")</f>
        <v>KW Issue Link</v>
      </c>
      <c r="O213" s="1" t="s">
        <v>291</v>
      </c>
    </row>
    <row r="214" spans="1:15" ht="75" x14ac:dyDescent="0.25">
      <c r="A214" s="1" t="s">
        <v>155</v>
      </c>
      <c r="B214" s="1"/>
      <c r="C214" s="1" t="s">
        <v>486</v>
      </c>
      <c r="D214" s="1">
        <v>41532</v>
      </c>
      <c r="E214" s="1">
        <v>375</v>
      </c>
      <c r="F214" s="1" t="s">
        <v>156</v>
      </c>
      <c r="G214" s="1" t="s">
        <v>488</v>
      </c>
      <c r="H214" s="1" t="s">
        <v>141</v>
      </c>
      <c r="I214" s="1" t="s">
        <v>65</v>
      </c>
      <c r="J214" s="1">
        <v>3</v>
      </c>
      <c r="K214" s="1" t="s">
        <v>142</v>
      </c>
      <c r="L214" s="1" t="s">
        <v>153</v>
      </c>
      <c r="M214" s="1" t="s">
        <v>28</v>
      </c>
      <c r="N214" s="1" t="str">
        <f>HYPERLINK("https://klocwork.india.ti.com:443/review/insight-review.html#issuedetails_goto:problemid=41532,project=MCU_PLUS_SDK_AM263X,searchquery=taxonomy:'C and C++' build:Build_Apr_13_2023_11_11_AM grouping:off ","KW Issue Link")</f>
        <v>KW Issue Link</v>
      </c>
      <c r="O214" s="1" t="s">
        <v>291</v>
      </c>
    </row>
    <row r="215" spans="1:15" ht="75" x14ac:dyDescent="0.25">
      <c r="A215" s="1" t="s">
        <v>155</v>
      </c>
      <c r="B215" s="1"/>
      <c r="C215" s="1" t="s">
        <v>486</v>
      </c>
      <c r="D215" s="1">
        <v>41533</v>
      </c>
      <c r="E215" s="1">
        <v>396</v>
      </c>
      <c r="F215" s="1" t="s">
        <v>156</v>
      </c>
      <c r="G215" s="1" t="s">
        <v>488</v>
      </c>
      <c r="H215" s="1" t="s">
        <v>141</v>
      </c>
      <c r="I215" s="1" t="s">
        <v>65</v>
      </c>
      <c r="J215" s="1">
        <v>3</v>
      </c>
      <c r="K215" s="1" t="s">
        <v>142</v>
      </c>
      <c r="L215" s="1" t="s">
        <v>153</v>
      </c>
      <c r="M215" s="1" t="s">
        <v>28</v>
      </c>
      <c r="N215" s="1" t="str">
        <f>HYPERLINK("https://klocwork.india.ti.com:443/review/insight-review.html#issuedetails_goto:problemid=41533,project=MCU_PLUS_SDK_AM263X,searchquery=taxonomy:'C and C++' build:Build_Apr_13_2023_11_11_AM grouping:off ","KW Issue Link")</f>
        <v>KW Issue Link</v>
      </c>
      <c r="O215" s="1" t="s">
        <v>291</v>
      </c>
    </row>
    <row r="216" spans="1:15" ht="75" x14ac:dyDescent="0.25">
      <c r="A216" s="1" t="s">
        <v>155</v>
      </c>
      <c r="B216" s="1"/>
      <c r="C216" s="1" t="s">
        <v>486</v>
      </c>
      <c r="D216" s="1">
        <v>41534</v>
      </c>
      <c r="E216" s="1">
        <v>396</v>
      </c>
      <c r="F216" s="1" t="s">
        <v>156</v>
      </c>
      <c r="G216" s="1" t="s">
        <v>488</v>
      </c>
      <c r="H216" s="1" t="s">
        <v>141</v>
      </c>
      <c r="I216" s="1" t="s">
        <v>65</v>
      </c>
      <c r="J216" s="1">
        <v>3</v>
      </c>
      <c r="K216" s="1" t="s">
        <v>142</v>
      </c>
      <c r="L216" s="1" t="s">
        <v>153</v>
      </c>
      <c r="M216" s="1" t="s">
        <v>28</v>
      </c>
      <c r="N216" s="1" t="str">
        <f>HYPERLINK("https://klocwork.india.ti.com:443/review/insight-review.html#issuedetails_goto:problemid=41534,project=MCU_PLUS_SDK_AM263X,searchquery=taxonomy:'C and C++' build:Build_Apr_13_2023_11_11_AM grouping:off ","KW Issue Link")</f>
        <v>KW Issue Link</v>
      </c>
      <c r="O216" s="1" t="s">
        <v>291</v>
      </c>
    </row>
    <row r="217" spans="1:15" ht="75" x14ac:dyDescent="0.25">
      <c r="A217" s="1" t="s">
        <v>155</v>
      </c>
      <c r="B217" s="1"/>
      <c r="C217" s="1" t="s">
        <v>486</v>
      </c>
      <c r="D217" s="1">
        <v>41535</v>
      </c>
      <c r="E217" s="1">
        <v>397</v>
      </c>
      <c r="F217" s="1" t="s">
        <v>156</v>
      </c>
      <c r="G217" s="1" t="s">
        <v>488</v>
      </c>
      <c r="H217" s="1" t="s">
        <v>141</v>
      </c>
      <c r="I217" s="1" t="s">
        <v>65</v>
      </c>
      <c r="J217" s="1">
        <v>3</v>
      </c>
      <c r="K217" s="1" t="s">
        <v>142</v>
      </c>
      <c r="L217" s="1" t="s">
        <v>153</v>
      </c>
      <c r="M217" s="1" t="s">
        <v>28</v>
      </c>
      <c r="N217" s="1" t="str">
        <f>HYPERLINK("https://klocwork.india.ti.com:443/review/insight-review.html#issuedetails_goto:problemid=41535,project=MCU_PLUS_SDK_AM263X,searchquery=taxonomy:'C and C++' build:Build_Apr_13_2023_11_11_AM grouping:off ","KW Issue Link")</f>
        <v>KW Issue Link</v>
      </c>
      <c r="O217" s="1" t="s">
        <v>291</v>
      </c>
    </row>
    <row r="218" spans="1:15" ht="75" x14ac:dyDescent="0.25">
      <c r="A218" s="1" t="s">
        <v>155</v>
      </c>
      <c r="B218" s="1"/>
      <c r="C218" s="1" t="s">
        <v>486</v>
      </c>
      <c r="D218" s="1">
        <v>41536</v>
      </c>
      <c r="E218" s="1">
        <v>397</v>
      </c>
      <c r="F218" s="1" t="s">
        <v>156</v>
      </c>
      <c r="G218" s="1" t="s">
        <v>488</v>
      </c>
      <c r="H218" s="1" t="s">
        <v>141</v>
      </c>
      <c r="I218" s="1" t="s">
        <v>65</v>
      </c>
      <c r="J218" s="1">
        <v>3</v>
      </c>
      <c r="K218" s="1" t="s">
        <v>142</v>
      </c>
      <c r="L218" s="1" t="s">
        <v>153</v>
      </c>
      <c r="M218" s="1" t="s">
        <v>28</v>
      </c>
      <c r="N218" s="1" t="str">
        <f>HYPERLINK("https://klocwork.india.ti.com:443/review/insight-review.html#issuedetails_goto:problemid=41536,project=MCU_PLUS_SDK_AM263X,searchquery=taxonomy:'C and C++' build:Build_Apr_13_2023_11_11_AM grouping:off ","KW Issue Link")</f>
        <v>KW Issue Link</v>
      </c>
      <c r="O218" s="1" t="s">
        <v>291</v>
      </c>
    </row>
    <row r="219" spans="1:15" ht="75" x14ac:dyDescent="0.25">
      <c r="A219" s="1" t="s">
        <v>155</v>
      </c>
      <c r="B219" s="1"/>
      <c r="C219" s="1" t="s">
        <v>486</v>
      </c>
      <c r="D219" s="1">
        <v>41537</v>
      </c>
      <c r="E219" s="1">
        <v>400</v>
      </c>
      <c r="F219" s="1" t="s">
        <v>156</v>
      </c>
      <c r="G219" s="1" t="s">
        <v>488</v>
      </c>
      <c r="H219" s="1" t="s">
        <v>141</v>
      </c>
      <c r="I219" s="1" t="s">
        <v>65</v>
      </c>
      <c r="J219" s="1">
        <v>3</v>
      </c>
      <c r="K219" s="1" t="s">
        <v>142</v>
      </c>
      <c r="L219" s="1" t="s">
        <v>153</v>
      </c>
      <c r="M219" s="1" t="s">
        <v>28</v>
      </c>
      <c r="N219" s="1" t="str">
        <f>HYPERLINK("https://klocwork.india.ti.com:443/review/insight-review.html#issuedetails_goto:problemid=41537,project=MCU_PLUS_SDK_AM263X,searchquery=taxonomy:'C and C++' build:Build_Apr_13_2023_11_11_AM grouping:off ","KW Issue Link")</f>
        <v>KW Issue Link</v>
      </c>
      <c r="O219" s="1" t="s">
        <v>291</v>
      </c>
    </row>
    <row r="220" spans="1:15" ht="75" x14ac:dyDescent="0.25">
      <c r="A220" s="1" t="s">
        <v>155</v>
      </c>
      <c r="B220" s="1"/>
      <c r="C220" s="1" t="s">
        <v>486</v>
      </c>
      <c r="D220" s="1">
        <v>41538</v>
      </c>
      <c r="E220" s="1">
        <v>400</v>
      </c>
      <c r="F220" s="1" t="s">
        <v>156</v>
      </c>
      <c r="G220" s="1" t="s">
        <v>488</v>
      </c>
      <c r="H220" s="1" t="s">
        <v>141</v>
      </c>
      <c r="I220" s="1" t="s">
        <v>65</v>
      </c>
      <c r="J220" s="1">
        <v>3</v>
      </c>
      <c r="K220" s="1" t="s">
        <v>142</v>
      </c>
      <c r="L220" s="1" t="s">
        <v>153</v>
      </c>
      <c r="M220" s="1" t="s">
        <v>28</v>
      </c>
      <c r="N220" s="1" t="str">
        <f>HYPERLINK("https://klocwork.india.ti.com:443/review/insight-review.html#issuedetails_goto:problemid=41538,project=MCU_PLUS_SDK_AM263X,searchquery=taxonomy:'C and C++' build:Build_Apr_13_2023_11_11_AM grouping:off ","KW Issue Link")</f>
        <v>KW Issue Link</v>
      </c>
      <c r="O220" s="1" t="s">
        <v>291</v>
      </c>
    </row>
    <row r="221" spans="1:15" ht="75" x14ac:dyDescent="0.25">
      <c r="A221" s="1" t="s">
        <v>155</v>
      </c>
      <c r="B221" s="1"/>
      <c r="C221" s="1" t="s">
        <v>486</v>
      </c>
      <c r="D221" s="1">
        <v>41539</v>
      </c>
      <c r="E221" s="1">
        <v>405</v>
      </c>
      <c r="F221" s="1" t="s">
        <v>156</v>
      </c>
      <c r="G221" s="1" t="s">
        <v>488</v>
      </c>
      <c r="H221" s="1" t="s">
        <v>141</v>
      </c>
      <c r="I221" s="1" t="s">
        <v>65</v>
      </c>
      <c r="J221" s="1">
        <v>3</v>
      </c>
      <c r="K221" s="1" t="s">
        <v>142</v>
      </c>
      <c r="L221" s="1" t="s">
        <v>153</v>
      </c>
      <c r="M221" s="1" t="s">
        <v>28</v>
      </c>
      <c r="N221" s="1" t="str">
        <f>HYPERLINK("https://klocwork.india.ti.com:443/review/insight-review.html#issuedetails_goto:problemid=41539,project=MCU_PLUS_SDK_AM263X,searchquery=taxonomy:'C and C++' build:Build_Apr_13_2023_11_11_AM grouping:off ","KW Issue Link")</f>
        <v>KW Issue Link</v>
      </c>
      <c r="O221" s="1" t="s">
        <v>291</v>
      </c>
    </row>
    <row r="222" spans="1:15" ht="75" x14ac:dyDescent="0.25">
      <c r="A222" s="1" t="s">
        <v>155</v>
      </c>
      <c r="B222" s="1"/>
      <c r="C222" s="1" t="s">
        <v>486</v>
      </c>
      <c r="D222" s="1">
        <v>41540</v>
      </c>
      <c r="E222" s="1">
        <v>405</v>
      </c>
      <c r="F222" s="1" t="s">
        <v>156</v>
      </c>
      <c r="G222" s="1" t="s">
        <v>488</v>
      </c>
      <c r="H222" s="1" t="s">
        <v>141</v>
      </c>
      <c r="I222" s="1" t="s">
        <v>65</v>
      </c>
      <c r="J222" s="1">
        <v>3</v>
      </c>
      <c r="K222" s="1" t="s">
        <v>142</v>
      </c>
      <c r="L222" s="1" t="s">
        <v>153</v>
      </c>
      <c r="M222" s="1" t="s">
        <v>28</v>
      </c>
      <c r="N222" s="1" t="str">
        <f>HYPERLINK("https://klocwork.india.ti.com:443/review/insight-review.html#issuedetails_goto:problemid=41540,project=MCU_PLUS_SDK_AM263X,searchquery=taxonomy:'C and C++' build:Build_Apr_13_2023_11_11_AM grouping:off ","KW Issue Link")</f>
        <v>KW Issue Link</v>
      </c>
      <c r="O222" s="1" t="s">
        <v>291</v>
      </c>
    </row>
    <row r="223" spans="1:15" ht="75" x14ac:dyDescent="0.25">
      <c r="A223" s="1" t="s">
        <v>155</v>
      </c>
      <c r="B223" s="1"/>
      <c r="C223" s="1" t="s">
        <v>486</v>
      </c>
      <c r="D223" s="1">
        <v>41541</v>
      </c>
      <c r="E223" s="1">
        <v>420</v>
      </c>
      <c r="F223" s="1" t="s">
        <v>156</v>
      </c>
      <c r="G223" s="1" t="s">
        <v>488</v>
      </c>
      <c r="H223" s="1" t="s">
        <v>141</v>
      </c>
      <c r="I223" s="1" t="s">
        <v>65</v>
      </c>
      <c r="J223" s="1">
        <v>3</v>
      </c>
      <c r="K223" s="1" t="s">
        <v>142</v>
      </c>
      <c r="L223" s="1" t="s">
        <v>153</v>
      </c>
      <c r="M223" s="1" t="s">
        <v>28</v>
      </c>
      <c r="N223" s="1" t="str">
        <f>HYPERLINK("https://klocwork.india.ti.com:443/review/insight-review.html#issuedetails_goto:problemid=41541,project=MCU_PLUS_SDK_AM263X,searchquery=taxonomy:'C and C++' build:Build_Apr_13_2023_11_11_AM grouping:off ","KW Issue Link")</f>
        <v>KW Issue Link</v>
      </c>
      <c r="O223" s="1" t="s">
        <v>291</v>
      </c>
    </row>
    <row r="224" spans="1:15" ht="75" x14ac:dyDescent="0.25">
      <c r="A224" s="1" t="s">
        <v>155</v>
      </c>
      <c r="B224" s="1"/>
      <c r="C224" s="1" t="s">
        <v>486</v>
      </c>
      <c r="D224" s="1">
        <v>41542</v>
      </c>
      <c r="E224" s="1">
        <v>420</v>
      </c>
      <c r="F224" s="1" t="s">
        <v>156</v>
      </c>
      <c r="G224" s="1" t="s">
        <v>488</v>
      </c>
      <c r="H224" s="1" t="s">
        <v>141</v>
      </c>
      <c r="I224" s="1" t="s">
        <v>65</v>
      </c>
      <c r="J224" s="1">
        <v>3</v>
      </c>
      <c r="K224" s="1" t="s">
        <v>142</v>
      </c>
      <c r="L224" s="1" t="s">
        <v>153</v>
      </c>
      <c r="M224" s="1" t="s">
        <v>28</v>
      </c>
      <c r="N224" s="1" t="str">
        <f>HYPERLINK("https://klocwork.india.ti.com:443/review/insight-review.html#issuedetails_goto:problemid=41542,project=MCU_PLUS_SDK_AM263X,searchquery=taxonomy:'C and C++' build:Build_Apr_13_2023_11_11_AM grouping:off ","KW Issue Link")</f>
        <v>KW Issue Link</v>
      </c>
      <c r="O224" s="1" t="s">
        <v>291</v>
      </c>
    </row>
    <row r="225" spans="1:15" ht="75" x14ac:dyDescent="0.25">
      <c r="A225" s="1" t="s">
        <v>155</v>
      </c>
      <c r="B225" s="1"/>
      <c r="C225" s="1" t="s">
        <v>486</v>
      </c>
      <c r="D225" s="1">
        <v>41543</v>
      </c>
      <c r="E225" s="1">
        <v>430</v>
      </c>
      <c r="F225" s="1" t="s">
        <v>156</v>
      </c>
      <c r="G225" s="1" t="s">
        <v>488</v>
      </c>
      <c r="H225" s="1" t="s">
        <v>141</v>
      </c>
      <c r="I225" s="1" t="s">
        <v>65</v>
      </c>
      <c r="J225" s="1">
        <v>3</v>
      </c>
      <c r="K225" s="1" t="s">
        <v>142</v>
      </c>
      <c r="L225" s="1" t="s">
        <v>153</v>
      </c>
      <c r="M225" s="1" t="s">
        <v>28</v>
      </c>
      <c r="N225" s="1" t="str">
        <f>HYPERLINK("https://klocwork.india.ti.com:443/review/insight-review.html#issuedetails_goto:problemid=41543,project=MCU_PLUS_SDK_AM263X,searchquery=taxonomy:'C and C++' build:Build_Apr_13_2023_11_11_AM grouping:off ","KW Issue Link")</f>
        <v>KW Issue Link</v>
      </c>
      <c r="O225" s="1" t="s">
        <v>291</v>
      </c>
    </row>
    <row r="226" spans="1:15" ht="75" x14ac:dyDescent="0.25">
      <c r="A226" s="1" t="s">
        <v>155</v>
      </c>
      <c r="B226" s="1"/>
      <c r="C226" s="1" t="s">
        <v>486</v>
      </c>
      <c r="D226" s="1">
        <v>41544</v>
      </c>
      <c r="E226" s="1">
        <v>430</v>
      </c>
      <c r="F226" s="1" t="s">
        <v>156</v>
      </c>
      <c r="G226" s="1" t="s">
        <v>488</v>
      </c>
      <c r="H226" s="1" t="s">
        <v>141</v>
      </c>
      <c r="I226" s="1" t="s">
        <v>65</v>
      </c>
      <c r="J226" s="1">
        <v>3</v>
      </c>
      <c r="K226" s="1" t="s">
        <v>142</v>
      </c>
      <c r="L226" s="1" t="s">
        <v>153</v>
      </c>
      <c r="M226" s="1" t="s">
        <v>28</v>
      </c>
      <c r="N226" s="1" t="str">
        <f>HYPERLINK("https://klocwork.india.ti.com:443/review/insight-review.html#issuedetails_goto:problemid=41544,project=MCU_PLUS_SDK_AM263X,searchquery=taxonomy:'C and C++' build:Build_Apr_13_2023_11_11_AM grouping:off ","KW Issue Link")</f>
        <v>KW Issue Link</v>
      </c>
      <c r="O226" s="1" t="s">
        <v>291</v>
      </c>
    </row>
    <row r="227" spans="1:15" ht="105" x14ac:dyDescent="0.25">
      <c r="A227" s="1" t="s">
        <v>149</v>
      </c>
      <c r="B227" s="1"/>
      <c r="C227" s="1" t="s">
        <v>486</v>
      </c>
      <c r="D227" s="1">
        <v>41545</v>
      </c>
      <c r="E227" s="1">
        <v>347</v>
      </c>
      <c r="F227" s="1" t="s">
        <v>489</v>
      </c>
      <c r="G227" s="1" t="s">
        <v>488</v>
      </c>
      <c r="H227" s="1" t="s">
        <v>141</v>
      </c>
      <c r="I227" s="1" t="s">
        <v>65</v>
      </c>
      <c r="J227" s="1">
        <v>3</v>
      </c>
      <c r="K227" s="1" t="s">
        <v>142</v>
      </c>
      <c r="L227" s="1" t="s">
        <v>153</v>
      </c>
      <c r="M227" s="1" t="s">
        <v>28</v>
      </c>
      <c r="N227" s="1" t="str">
        <f>HYPERLINK("https://klocwork.india.ti.com:443/review/insight-review.html#issuedetails_goto:problemid=41545,project=MCU_PLUS_SDK_AM263X,searchquery=taxonomy:'C and C++' build:Build_Apr_13_2023_11_11_AM grouping:off ","KW Issue Link")</f>
        <v>KW Issue Link</v>
      </c>
      <c r="O227" s="1" t="s">
        <v>291</v>
      </c>
    </row>
    <row r="228" spans="1:15" ht="75" x14ac:dyDescent="0.25">
      <c r="A228" s="1" t="s">
        <v>157</v>
      </c>
      <c r="B228" s="1"/>
      <c r="C228" s="1" t="s">
        <v>490</v>
      </c>
      <c r="D228" s="1">
        <v>42118</v>
      </c>
      <c r="E228" s="1">
        <v>64</v>
      </c>
      <c r="F228" s="1" t="s">
        <v>491</v>
      </c>
      <c r="G228" s="1" t="s">
        <v>492</v>
      </c>
      <c r="H228" s="1" t="s">
        <v>141</v>
      </c>
      <c r="I228" s="1" t="s">
        <v>65</v>
      </c>
      <c r="J228" s="1">
        <v>3</v>
      </c>
      <c r="K228" s="1" t="s">
        <v>142</v>
      </c>
      <c r="L228" s="1" t="s">
        <v>153</v>
      </c>
      <c r="M228" s="1" t="s">
        <v>28</v>
      </c>
      <c r="N228" s="1" t="str">
        <f>HYPERLINK("https://klocwork.india.ti.com:443/review/insight-review.html#issuedetails_goto:problemid=42118,project=MCU_PLUS_SDK_AM263X,searchquery=taxonomy:'C and C++' build:Build_Apr_13_2023_11_11_AM grouping:off ","KW Issue Link")</f>
        <v>KW Issue Link</v>
      </c>
      <c r="O228" s="1" t="s">
        <v>291</v>
      </c>
    </row>
    <row r="229" spans="1:15" ht="135" x14ac:dyDescent="0.25">
      <c r="A229" s="1" t="s">
        <v>493</v>
      </c>
      <c r="B229" s="1" t="s">
        <v>299</v>
      </c>
      <c r="C229" s="1" t="s">
        <v>494</v>
      </c>
      <c r="D229" s="1">
        <v>42342</v>
      </c>
      <c r="E229" s="1">
        <v>149</v>
      </c>
      <c r="F229" s="1" t="s">
        <v>495</v>
      </c>
      <c r="G229" s="1" t="s">
        <v>496</v>
      </c>
      <c r="H229" s="1" t="s">
        <v>141</v>
      </c>
      <c r="I229" s="1" t="s">
        <v>63</v>
      </c>
      <c r="J229" s="1">
        <v>1</v>
      </c>
      <c r="K229" s="1" t="s">
        <v>142</v>
      </c>
      <c r="L229" s="1" t="s">
        <v>177</v>
      </c>
      <c r="M229" s="1" t="s">
        <v>28</v>
      </c>
      <c r="N229" s="1" t="str">
        <f>HYPERLINK("https://klocwork.india.ti.com:443/review/insight-review.html#issuedetails_goto:problemid=42342,project=MCU_PLUS_SDK_AM263X,searchquery=taxonomy:'C and C++' build:Build_Apr_13_2023_11_11_AM grouping:off ","KW Issue Link")</f>
        <v>KW Issue Link</v>
      </c>
      <c r="O229" s="1" t="s">
        <v>291</v>
      </c>
    </row>
    <row r="230" spans="1:15" ht="135" x14ac:dyDescent="0.25">
      <c r="A230" s="1" t="s">
        <v>493</v>
      </c>
      <c r="B230" s="1" t="s">
        <v>299</v>
      </c>
      <c r="C230" s="1" t="s">
        <v>494</v>
      </c>
      <c r="D230" s="1">
        <v>42343</v>
      </c>
      <c r="E230" s="1">
        <v>263</v>
      </c>
      <c r="F230" s="1" t="s">
        <v>497</v>
      </c>
      <c r="G230" s="1" t="s">
        <v>498</v>
      </c>
      <c r="H230" s="1" t="s">
        <v>141</v>
      </c>
      <c r="I230" s="1" t="s">
        <v>63</v>
      </c>
      <c r="J230" s="1">
        <v>1</v>
      </c>
      <c r="K230" s="1" t="s">
        <v>142</v>
      </c>
      <c r="L230" s="1" t="s">
        <v>177</v>
      </c>
      <c r="M230" s="1" t="s">
        <v>28</v>
      </c>
      <c r="N230" s="1" t="str">
        <f>HYPERLINK("https://klocwork.india.ti.com:443/review/insight-review.html#issuedetails_goto:problemid=42343,project=MCU_PLUS_SDK_AM263X,searchquery=taxonomy:'C and C++' build:Build_Apr_13_2023_11_11_AM grouping:off ","KW Issue Link")</f>
        <v>KW Issue Link</v>
      </c>
      <c r="O230" s="1" t="s">
        <v>291</v>
      </c>
    </row>
    <row r="231" spans="1:15" ht="135" x14ac:dyDescent="0.25">
      <c r="A231" s="1" t="s">
        <v>459</v>
      </c>
      <c r="B231" s="1" t="s">
        <v>299</v>
      </c>
      <c r="C231" s="1" t="s">
        <v>494</v>
      </c>
      <c r="D231" s="1">
        <v>42367</v>
      </c>
      <c r="E231" s="1">
        <v>209</v>
      </c>
      <c r="F231" s="1" t="s">
        <v>499</v>
      </c>
      <c r="G231" s="1" t="s">
        <v>500</v>
      </c>
      <c r="H231" s="1" t="s">
        <v>141</v>
      </c>
      <c r="I231" s="1" t="s">
        <v>63</v>
      </c>
      <c r="J231" s="1">
        <v>1</v>
      </c>
      <c r="K231" s="1" t="s">
        <v>142</v>
      </c>
      <c r="L231" s="1" t="s">
        <v>177</v>
      </c>
      <c r="M231" s="1" t="s">
        <v>28</v>
      </c>
      <c r="N231" s="1" t="str">
        <f>HYPERLINK("https://klocwork.india.ti.com:443/review/insight-review.html#issuedetails_goto:problemid=42367,project=MCU_PLUS_SDK_AM263X,searchquery=taxonomy:'C and C++' build:Build_Apr_13_2023_11_11_AM grouping:off ","KW Issue Link")</f>
        <v>KW Issue Link</v>
      </c>
      <c r="O231" s="1" t="s">
        <v>291</v>
      </c>
    </row>
    <row r="232" spans="1:15" ht="135" x14ac:dyDescent="0.25">
      <c r="A232" s="1" t="s">
        <v>459</v>
      </c>
      <c r="B232" s="1" t="s">
        <v>299</v>
      </c>
      <c r="C232" s="1" t="s">
        <v>494</v>
      </c>
      <c r="D232" s="1">
        <v>42368</v>
      </c>
      <c r="E232" s="1">
        <v>663</v>
      </c>
      <c r="F232" s="1" t="s">
        <v>501</v>
      </c>
      <c r="G232" s="1" t="s">
        <v>502</v>
      </c>
      <c r="H232" s="1" t="s">
        <v>141</v>
      </c>
      <c r="I232" s="1" t="s">
        <v>63</v>
      </c>
      <c r="J232" s="1">
        <v>1</v>
      </c>
      <c r="K232" s="1" t="s">
        <v>142</v>
      </c>
      <c r="L232" s="1" t="s">
        <v>177</v>
      </c>
      <c r="M232" s="1" t="s">
        <v>28</v>
      </c>
      <c r="N232" s="1" t="str">
        <f>HYPERLINK("https://klocwork.india.ti.com:443/review/insight-review.html#issuedetails_goto:problemid=42368,project=MCU_PLUS_SDK_AM263X,searchquery=taxonomy:'C and C++' build:Build_Apr_13_2023_11_11_AM grouping:off ","KW Issue Link")</f>
        <v>KW Issue Link</v>
      </c>
      <c r="O232" s="1" t="s">
        <v>291</v>
      </c>
    </row>
    <row r="233" spans="1:15" ht="135" x14ac:dyDescent="0.25">
      <c r="A233" s="1" t="s">
        <v>459</v>
      </c>
      <c r="B233" s="1" t="s">
        <v>299</v>
      </c>
      <c r="C233" s="1" t="s">
        <v>494</v>
      </c>
      <c r="D233" s="1">
        <v>42369</v>
      </c>
      <c r="E233" s="1">
        <v>663</v>
      </c>
      <c r="F233" s="1" t="s">
        <v>501</v>
      </c>
      <c r="G233" s="1" t="s">
        <v>502</v>
      </c>
      <c r="H233" s="1" t="s">
        <v>141</v>
      </c>
      <c r="I233" s="1" t="s">
        <v>63</v>
      </c>
      <c r="J233" s="1">
        <v>1</v>
      </c>
      <c r="K233" s="1" t="s">
        <v>142</v>
      </c>
      <c r="L233" s="1" t="s">
        <v>177</v>
      </c>
      <c r="M233" s="1" t="s">
        <v>28</v>
      </c>
      <c r="N233" s="1" t="str">
        <f>HYPERLINK("https://klocwork.india.ti.com:443/review/insight-review.html#issuedetails_goto:problemid=42369,project=MCU_PLUS_SDK_AM263X,searchquery=taxonomy:'C and C++' build:Build_Apr_13_2023_11_11_AM grouping:off ","KW Issue Link")</f>
        <v>KW Issue Link</v>
      </c>
      <c r="O233" s="1" t="s">
        <v>291</v>
      </c>
    </row>
    <row r="234" spans="1:15" ht="75" x14ac:dyDescent="0.25">
      <c r="A234" s="1" t="s">
        <v>298</v>
      </c>
      <c r="B234" s="1" t="s">
        <v>299</v>
      </c>
      <c r="C234" s="1" t="s">
        <v>494</v>
      </c>
      <c r="D234" s="1">
        <v>42397</v>
      </c>
      <c r="E234" s="1">
        <v>326</v>
      </c>
      <c r="F234" s="1" t="s">
        <v>503</v>
      </c>
      <c r="G234" s="1" t="s">
        <v>504</v>
      </c>
      <c r="H234" s="1" t="s">
        <v>141</v>
      </c>
      <c r="I234" s="1" t="s">
        <v>63</v>
      </c>
      <c r="J234" s="1">
        <v>1</v>
      </c>
      <c r="K234" s="1" t="s">
        <v>142</v>
      </c>
      <c r="L234" s="1" t="s">
        <v>177</v>
      </c>
      <c r="M234" s="1" t="s">
        <v>28</v>
      </c>
      <c r="N234" s="1" t="str">
        <f>HYPERLINK("https://klocwork.india.ti.com:443/review/insight-review.html#issuedetails_goto:problemid=42397,project=MCU_PLUS_SDK_AM263X,searchquery=taxonomy:'C and C++' build:Build_Apr_13_2023_11_11_AM grouping:off ","KW Issue Link")</f>
        <v>KW Issue Link</v>
      </c>
      <c r="O234" s="1" t="s">
        <v>291</v>
      </c>
    </row>
    <row r="235" spans="1:15" ht="75" x14ac:dyDescent="0.25">
      <c r="A235" s="1" t="s">
        <v>157</v>
      </c>
      <c r="B235" s="1"/>
      <c r="C235" s="1" t="s">
        <v>494</v>
      </c>
      <c r="D235" s="1">
        <v>42419</v>
      </c>
      <c r="E235" s="1">
        <v>539</v>
      </c>
      <c r="F235" s="1" t="s">
        <v>505</v>
      </c>
      <c r="G235" s="1" t="s">
        <v>502</v>
      </c>
      <c r="H235" s="1" t="s">
        <v>141</v>
      </c>
      <c r="I235" s="1" t="s">
        <v>65</v>
      </c>
      <c r="J235" s="1">
        <v>3</v>
      </c>
      <c r="K235" s="1" t="s">
        <v>142</v>
      </c>
      <c r="L235" s="1" t="s">
        <v>153</v>
      </c>
      <c r="M235" s="1" t="s">
        <v>28</v>
      </c>
      <c r="N235" s="1" t="str">
        <f>HYPERLINK("https://klocwork.india.ti.com:443/review/insight-review.html#issuedetails_goto:problemid=42419,project=MCU_PLUS_SDK_AM263X,searchquery=taxonomy:'C and C++' build:Build_Apr_13_2023_11_11_AM grouping:off ","KW Issue Link")</f>
        <v>KW Issue Link</v>
      </c>
      <c r="O235" s="1" t="s">
        <v>291</v>
      </c>
    </row>
    <row r="236" spans="1:15" ht="135" x14ac:dyDescent="0.25">
      <c r="A236" s="1" t="s">
        <v>506</v>
      </c>
      <c r="B236" s="1" t="s">
        <v>299</v>
      </c>
      <c r="C236" s="1" t="s">
        <v>494</v>
      </c>
      <c r="D236" s="1">
        <v>42422</v>
      </c>
      <c r="E236" s="1">
        <v>663</v>
      </c>
      <c r="F236" s="1" t="s">
        <v>507</v>
      </c>
      <c r="G236" s="1" t="s">
        <v>502</v>
      </c>
      <c r="H236" s="1" t="s">
        <v>141</v>
      </c>
      <c r="I236" s="1" t="s">
        <v>63</v>
      </c>
      <c r="J236" s="1">
        <v>1</v>
      </c>
      <c r="K236" s="1" t="s">
        <v>142</v>
      </c>
      <c r="L236" s="1" t="s">
        <v>177</v>
      </c>
      <c r="M236" s="1" t="s">
        <v>28</v>
      </c>
      <c r="N236" s="1" t="str">
        <f>HYPERLINK("https://klocwork.india.ti.com:443/review/insight-review.html#issuedetails_goto:problemid=42422,project=MCU_PLUS_SDK_AM263X,searchquery=taxonomy:'C and C++' build:Build_Apr_13_2023_11_11_AM grouping:off ","KW Issue Link")</f>
        <v>KW Issue Link</v>
      </c>
      <c r="O236" s="1" t="s">
        <v>291</v>
      </c>
    </row>
    <row r="237" spans="1:15" ht="90" x14ac:dyDescent="0.25">
      <c r="A237" s="1" t="s">
        <v>149</v>
      </c>
      <c r="B237" s="1"/>
      <c r="C237" s="1" t="s">
        <v>508</v>
      </c>
      <c r="D237" s="1">
        <v>42452</v>
      </c>
      <c r="E237" s="1">
        <v>290</v>
      </c>
      <c r="F237" s="1" t="s">
        <v>509</v>
      </c>
      <c r="G237" s="1" t="s">
        <v>510</v>
      </c>
      <c r="H237" s="1" t="s">
        <v>141</v>
      </c>
      <c r="I237" s="1" t="s">
        <v>65</v>
      </c>
      <c r="J237" s="1">
        <v>3</v>
      </c>
      <c r="K237" s="1" t="s">
        <v>142</v>
      </c>
      <c r="L237" s="1" t="s">
        <v>153</v>
      </c>
      <c r="M237" s="1" t="s">
        <v>28</v>
      </c>
      <c r="N237" s="1" t="str">
        <f>HYPERLINK("https://klocwork.india.ti.com:443/review/insight-review.html#issuedetails_goto:problemid=42452,project=MCU_PLUS_SDK_AM263X,searchquery=taxonomy:'C and C++' build:Build_Apr_13_2023_11_11_AM grouping:off ","KW Issue Link")</f>
        <v>KW Issue Link</v>
      </c>
      <c r="O237" s="1" t="s">
        <v>356</v>
      </c>
    </row>
    <row r="238" spans="1:15" ht="90" x14ac:dyDescent="0.25">
      <c r="A238" s="1" t="s">
        <v>149</v>
      </c>
      <c r="B238" s="1"/>
      <c r="C238" s="1" t="s">
        <v>508</v>
      </c>
      <c r="D238" s="1">
        <v>42453</v>
      </c>
      <c r="E238" s="1">
        <v>786</v>
      </c>
      <c r="F238" s="1" t="s">
        <v>511</v>
      </c>
      <c r="G238" s="1" t="s">
        <v>512</v>
      </c>
      <c r="H238" s="1" t="s">
        <v>141</v>
      </c>
      <c r="I238" s="1" t="s">
        <v>65</v>
      </c>
      <c r="J238" s="1">
        <v>3</v>
      </c>
      <c r="K238" s="1" t="s">
        <v>142</v>
      </c>
      <c r="L238" s="1" t="s">
        <v>153</v>
      </c>
      <c r="M238" s="1" t="s">
        <v>28</v>
      </c>
      <c r="N238" s="1" t="str">
        <f>HYPERLINK("https://klocwork.india.ti.com:443/review/insight-review.html#issuedetails_goto:problemid=42453,project=MCU_PLUS_SDK_AM263X,searchquery=taxonomy:'C and C++' build:Build_Apr_13_2023_11_11_AM grouping:off ","KW Issue Link")</f>
        <v>KW Issue Link</v>
      </c>
      <c r="O238" s="1" t="s">
        <v>356</v>
      </c>
    </row>
    <row r="239" spans="1:15" ht="90" x14ac:dyDescent="0.25">
      <c r="A239" s="1" t="s">
        <v>149</v>
      </c>
      <c r="B239" s="1"/>
      <c r="C239" s="1" t="s">
        <v>508</v>
      </c>
      <c r="D239" s="1">
        <v>42454</v>
      </c>
      <c r="E239" s="1">
        <v>828</v>
      </c>
      <c r="F239" s="1" t="s">
        <v>417</v>
      </c>
      <c r="G239" s="1" t="s">
        <v>513</v>
      </c>
      <c r="H239" s="1" t="s">
        <v>141</v>
      </c>
      <c r="I239" s="1" t="s">
        <v>65</v>
      </c>
      <c r="J239" s="1">
        <v>3</v>
      </c>
      <c r="K239" s="1" t="s">
        <v>142</v>
      </c>
      <c r="L239" s="1" t="s">
        <v>153</v>
      </c>
      <c r="M239" s="1" t="s">
        <v>28</v>
      </c>
      <c r="N239" s="1" t="str">
        <f>HYPERLINK("https://klocwork.india.ti.com:443/review/insight-review.html#issuedetails_goto:problemid=42454,project=MCU_PLUS_SDK_AM263X,searchquery=taxonomy:'C and C++' build:Build_Apr_13_2023_11_11_AM grouping:off ","KW Issue Link")</f>
        <v>KW Issue Link</v>
      </c>
      <c r="O239" s="1" t="s">
        <v>356</v>
      </c>
    </row>
    <row r="240" spans="1:15" ht="105" x14ac:dyDescent="0.25">
      <c r="A240" s="1" t="s">
        <v>149</v>
      </c>
      <c r="B240" s="1"/>
      <c r="C240" s="1" t="s">
        <v>508</v>
      </c>
      <c r="D240" s="1">
        <v>42455</v>
      </c>
      <c r="E240" s="1">
        <v>835</v>
      </c>
      <c r="F240" s="1" t="s">
        <v>514</v>
      </c>
      <c r="G240" s="1" t="s">
        <v>513</v>
      </c>
      <c r="H240" s="1" t="s">
        <v>141</v>
      </c>
      <c r="I240" s="1" t="s">
        <v>65</v>
      </c>
      <c r="J240" s="1">
        <v>3</v>
      </c>
      <c r="K240" s="1" t="s">
        <v>142</v>
      </c>
      <c r="L240" s="1" t="s">
        <v>153</v>
      </c>
      <c r="M240" s="1" t="s">
        <v>28</v>
      </c>
      <c r="N240" s="1" t="str">
        <f>HYPERLINK("https://klocwork.india.ti.com:443/review/insight-review.html#issuedetails_goto:problemid=42455,project=MCU_PLUS_SDK_AM263X,searchquery=taxonomy:'C and C++' build:Build_Apr_13_2023_11_11_AM grouping:off ","KW Issue Link")</f>
        <v>KW Issue Link</v>
      </c>
      <c r="O240" s="1" t="s">
        <v>356</v>
      </c>
    </row>
    <row r="241" spans="1:15" ht="90" x14ac:dyDescent="0.25">
      <c r="A241" s="1" t="s">
        <v>149</v>
      </c>
      <c r="B241" s="1"/>
      <c r="C241" s="1" t="s">
        <v>508</v>
      </c>
      <c r="D241" s="1">
        <v>42456</v>
      </c>
      <c r="E241" s="1">
        <v>914</v>
      </c>
      <c r="F241" s="1" t="s">
        <v>417</v>
      </c>
      <c r="G241" s="1" t="s">
        <v>515</v>
      </c>
      <c r="H241" s="1" t="s">
        <v>141</v>
      </c>
      <c r="I241" s="1" t="s">
        <v>65</v>
      </c>
      <c r="J241" s="1">
        <v>3</v>
      </c>
      <c r="K241" s="1" t="s">
        <v>142</v>
      </c>
      <c r="L241" s="1" t="s">
        <v>153</v>
      </c>
      <c r="M241" s="1" t="s">
        <v>28</v>
      </c>
      <c r="N241" s="1" t="str">
        <f>HYPERLINK("https://klocwork.india.ti.com:443/review/insight-review.html#issuedetails_goto:problemid=42456,project=MCU_PLUS_SDK_AM263X,searchquery=taxonomy:'C and C++' build:Build_Apr_13_2023_11_11_AM grouping:off ","KW Issue Link")</f>
        <v>KW Issue Link</v>
      </c>
      <c r="O241" s="1" t="s">
        <v>356</v>
      </c>
    </row>
    <row r="242" spans="1:15" ht="105" x14ac:dyDescent="0.25">
      <c r="A242" s="1" t="s">
        <v>149</v>
      </c>
      <c r="B242" s="1"/>
      <c r="C242" s="1" t="s">
        <v>508</v>
      </c>
      <c r="D242" s="1">
        <v>42457</v>
      </c>
      <c r="E242" s="1">
        <v>921</v>
      </c>
      <c r="F242" s="1" t="s">
        <v>514</v>
      </c>
      <c r="G242" s="1" t="s">
        <v>515</v>
      </c>
      <c r="H242" s="1" t="s">
        <v>141</v>
      </c>
      <c r="I242" s="1" t="s">
        <v>65</v>
      </c>
      <c r="J242" s="1">
        <v>3</v>
      </c>
      <c r="K242" s="1" t="s">
        <v>142</v>
      </c>
      <c r="L242" s="1" t="s">
        <v>153</v>
      </c>
      <c r="M242" s="1" t="s">
        <v>28</v>
      </c>
      <c r="N242" s="1" t="str">
        <f>HYPERLINK("https://klocwork.india.ti.com:443/review/insight-review.html#issuedetails_goto:problemid=42457,project=MCU_PLUS_SDK_AM263X,searchquery=taxonomy:'C and C++' build:Build_Apr_13_2023_11_11_AM grouping:off ","KW Issue Link")</f>
        <v>KW Issue Link</v>
      </c>
      <c r="O242" s="1" t="s">
        <v>356</v>
      </c>
    </row>
    <row r="243" spans="1:15" ht="90" x14ac:dyDescent="0.25">
      <c r="A243" s="1" t="s">
        <v>149</v>
      </c>
      <c r="B243" s="1"/>
      <c r="C243" s="1" t="s">
        <v>508</v>
      </c>
      <c r="D243" s="1">
        <v>42460</v>
      </c>
      <c r="E243" s="1">
        <v>1425</v>
      </c>
      <c r="F243" s="1" t="s">
        <v>417</v>
      </c>
      <c r="G243" s="1" t="s">
        <v>516</v>
      </c>
      <c r="H243" s="1" t="s">
        <v>141</v>
      </c>
      <c r="I243" s="1" t="s">
        <v>65</v>
      </c>
      <c r="J243" s="1">
        <v>3</v>
      </c>
      <c r="K243" s="1" t="s">
        <v>142</v>
      </c>
      <c r="L243" s="1" t="s">
        <v>153</v>
      </c>
      <c r="M243" s="1" t="s">
        <v>28</v>
      </c>
      <c r="N243" s="1" t="str">
        <f>HYPERLINK("https://klocwork.india.ti.com:443/review/insight-review.html#issuedetails_goto:problemid=42460,project=MCU_PLUS_SDK_AM263X,searchquery=taxonomy:'C and C++' build:Build_Apr_13_2023_11_11_AM grouping:off ","KW Issue Link")</f>
        <v>KW Issue Link</v>
      </c>
      <c r="O243" s="1" t="s">
        <v>356</v>
      </c>
    </row>
    <row r="244" spans="1:15" ht="60" x14ac:dyDescent="0.25">
      <c r="A244" s="1" t="s">
        <v>155</v>
      </c>
      <c r="B244" s="1"/>
      <c r="C244" s="1" t="s">
        <v>508</v>
      </c>
      <c r="D244" s="1">
        <v>42461</v>
      </c>
      <c r="E244" s="1">
        <v>292</v>
      </c>
      <c r="F244" s="1" t="s">
        <v>156</v>
      </c>
      <c r="G244" s="1" t="s">
        <v>510</v>
      </c>
      <c r="H244" s="1" t="s">
        <v>141</v>
      </c>
      <c r="I244" s="1" t="s">
        <v>65</v>
      </c>
      <c r="J244" s="1">
        <v>3</v>
      </c>
      <c r="K244" s="1" t="s">
        <v>142</v>
      </c>
      <c r="L244" s="1" t="s">
        <v>153</v>
      </c>
      <c r="M244" s="1" t="s">
        <v>28</v>
      </c>
      <c r="N244" s="1" t="str">
        <f>HYPERLINK("https://klocwork.india.ti.com:443/review/insight-review.html#issuedetails_goto:problemid=42461,project=MCU_PLUS_SDK_AM263X,searchquery=taxonomy:'C and C++' build:Build_Apr_13_2023_11_11_AM grouping:off ","KW Issue Link")</f>
        <v>KW Issue Link</v>
      </c>
      <c r="O244" s="1" t="s">
        <v>356</v>
      </c>
    </row>
    <row r="245" spans="1:15" ht="60" x14ac:dyDescent="0.25">
      <c r="A245" s="1" t="s">
        <v>155</v>
      </c>
      <c r="B245" s="1"/>
      <c r="C245" s="1" t="s">
        <v>508</v>
      </c>
      <c r="D245" s="1">
        <v>42463</v>
      </c>
      <c r="E245" s="1">
        <v>830</v>
      </c>
      <c r="F245" s="1" t="s">
        <v>156</v>
      </c>
      <c r="G245" s="1" t="s">
        <v>513</v>
      </c>
      <c r="H245" s="1" t="s">
        <v>141</v>
      </c>
      <c r="I245" s="1" t="s">
        <v>65</v>
      </c>
      <c r="J245" s="1">
        <v>3</v>
      </c>
      <c r="K245" s="1" t="s">
        <v>142</v>
      </c>
      <c r="L245" s="1" t="s">
        <v>153</v>
      </c>
      <c r="M245" s="1" t="s">
        <v>28</v>
      </c>
      <c r="N245" s="1" t="str">
        <f>HYPERLINK("https://klocwork.india.ti.com:443/review/insight-review.html#issuedetails_goto:problemid=42463,project=MCU_PLUS_SDK_AM263X,searchquery=taxonomy:'C and C++' build:Build_Apr_13_2023_11_11_AM grouping:off ","KW Issue Link")</f>
        <v>KW Issue Link</v>
      </c>
      <c r="O245" s="1" t="s">
        <v>356</v>
      </c>
    </row>
    <row r="246" spans="1:15" ht="60" x14ac:dyDescent="0.25">
      <c r="A246" s="1" t="s">
        <v>155</v>
      </c>
      <c r="B246" s="1"/>
      <c r="C246" s="1" t="s">
        <v>508</v>
      </c>
      <c r="D246" s="1">
        <v>42464</v>
      </c>
      <c r="E246" s="1">
        <v>838</v>
      </c>
      <c r="F246" s="1" t="s">
        <v>156</v>
      </c>
      <c r="G246" s="1" t="s">
        <v>513</v>
      </c>
      <c r="H246" s="1" t="s">
        <v>141</v>
      </c>
      <c r="I246" s="1" t="s">
        <v>65</v>
      </c>
      <c r="J246" s="1">
        <v>3</v>
      </c>
      <c r="K246" s="1" t="s">
        <v>142</v>
      </c>
      <c r="L246" s="1" t="s">
        <v>153</v>
      </c>
      <c r="M246" s="1" t="s">
        <v>28</v>
      </c>
      <c r="N246" s="1" t="str">
        <f>HYPERLINK("https://klocwork.india.ti.com:443/review/insight-review.html#issuedetails_goto:problemid=42464,project=MCU_PLUS_SDK_AM263X,searchquery=taxonomy:'C and C++' build:Build_Apr_13_2023_11_11_AM grouping:off ","KW Issue Link")</f>
        <v>KW Issue Link</v>
      </c>
      <c r="O246" s="1" t="s">
        <v>356</v>
      </c>
    </row>
    <row r="247" spans="1:15" ht="60" x14ac:dyDescent="0.25">
      <c r="A247" s="1" t="s">
        <v>155</v>
      </c>
      <c r="B247" s="1"/>
      <c r="C247" s="1" t="s">
        <v>508</v>
      </c>
      <c r="D247" s="1">
        <v>42465</v>
      </c>
      <c r="E247" s="1">
        <v>916</v>
      </c>
      <c r="F247" s="1" t="s">
        <v>156</v>
      </c>
      <c r="G247" s="1" t="s">
        <v>515</v>
      </c>
      <c r="H247" s="1" t="s">
        <v>141</v>
      </c>
      <c r="I247" s="1" t="s">
        <v>65</v>
      </c>
      <c r="J247" s="1">
        <v>3</v>
      </c>
      <c r="K247" s="1" t="s">
        <v>142</v>
      </c>
      <c r="L247" s="1" t="s">
        <v>153</v>
      </c>
      <c r="M247" s="1" t="s">
        <v>28</v>
      </c>
      <c r="N247" s="1" t="str">
        <f>HYPERLINK("https://klocwork.india.ti.com:443/review/insight-review.html#issuedetails_goto:problemid=42465,project=MCU_PLUS_SDK_AM263X,searchquery=taxonomy:'C and C++' build:Build_Apr_13_2023_11_11_AM grouping:off ","KW Issue Link")</f>
        <v>KW Issue Link</v>
      </c>
      <c r="O247" s="1" t="s">
        <v>356</v>
      </c>
    </row>
    <row r="248" spans="1:15" ht="60" x14ac:dyDescent="0.25">
      <c r="A248" s="1" t="s">
        <v>155</v>
      </c>
      <c r="B248" s="1"/>
      <c r="C248" s="1" t="s">
        <v>508</v>
      </c>
      <c r="D248" s="1">
        <v>42466</v>
      </c>
      <c r="E248" s="1">
        <v>926</v>
      </c>
      <c r="F248" s="1" t="s">
        <v>156</v>
      </c>
      <c r="G248" s="1" t="s">
        <v>515</v>
      </c>
      <c r="H248" s="1" t="s">
        <v>141</v>
      </c>
      <c r="I248" s="1" t="s">
        <v>65</v>
      </c>
      <c r="J248" s="1">
        <v>3</v>
      </c>
      <c r="K248" s="1" t="s">
        <v>142</v>
      </c>
      <c r="L248" s="1" t="s">
        <v>153</v>
      </c>
      <c r="M248" s="1" t="s">
        <v>28</v>
      </c>
      <c r="N248" s="1" t="str">
        <f>HYPERLINK("https://klocwork.india.ti.com:443/review/insight-review.html#issuedetails_goto:problemid=42466,project=MCU_PLUS_SDK_AM263X,searchquery=taxonomy:'C and C++' build:Build_Apr_13_2023_11_11_AM grouping:off ","KW Issue Link")</f>
        <v>KW Issue Link</v>
      </c>
      <c r="O248" s="1" t="s">
        <v>356</v>
      </c>
    </row>
    <row r="249" spans="1:15" ht="60" x14ac:dyDescent="0.25">
      <c r="A249" s="1" t="s">
        <v>155</v>
      </c>
      <c r="B249" s="1"/>
      <c r="C249" s="1" t="s">
        <v>508</v>
      </c>
      <c r="D249" s="1">
        <v>42469</v>
      </c>
      <c r="E249" s="1">
        <v>1427</v>
      </c>
      <c r="F249" s="1" t="s">
        <v>156</v>
      </c>
      <c r="G249" s="1" t="s">
        <v>516</v>
      </c>
      <c r="H249" s="1" t="s">
        <v>141</v>
      </c>
      <c r="I249" s="1" t="s">
        <v>65</v>
      </c>
      <c r="J249" s="1">
        <v>3</v>
      </c>
      <c r="K249" s="1" t="s">
        <v>142</v>
      </c>
      <c r="L249" s="1" t="s">
        <v>153</v>
      </c>
      <c r="M249" s="1" t="s">
        <v>28</v>
      </c>
      <c r="N249" s="1" t="str">
        <f>HYPERLINK("https://klocwork.india.ti.com:443/review/insight-review.html#issuedetails_goto:problemid=42469,project=MCU_PLUS_SDK_AM263X,searchquery=taxonomy:'C and C++' build:Build_Apr_13_2023_11_11_AM grouping:off ","KW Issue Link")</f>
        <v>KW Issue Link</v>
      </c>
      <c r="O249" s="1" t="s">
        <v>356</v>
      </c>
    </row>
    <row r="250" spans="1:15" ht="60" x14ac:dyDescent="0.25">
      <c r="A250" s="1" t="s">
        <v>155</v>
      </c>
      <c r="B250" s="1"/>
      <c r="C250" s="1" t="s">
        <v>517</v>
      </c>
      <c r="D250" s="1">
        <v>42669</v>
      </c>
      <c r="E250" s="1">
        <v>445</v>
      </c>
      <c r="F250" s="1" t="s">
        <v>156</v>
      </c>
      <c r="G250" s="1" t="s">
        <v>518</v>
      </c>
      <c r="H250" s="1" t="s">
        <v>141</v>
      </c>
      <c r="I250" s="1" t="s">
        <v>65</v>
      </c>
      <c r="J250" s="1">
        <v>3</v>
      </c>
      <c r="K250" s="1" t="s">
        <v>142</v>
      </c>
      <c r="L250" s="1" t="s">
        <v>153</v>
      </c>
      <c r="M250" s="1" t="s">
        <v>28</v>
      </c>
      <c r="N250" s="1" t="str">
        <f>HYPERLINK("https://klocwork.india.ti.com:443/review/insight-review.html#issuedetails_goto:problemid=42669,project=MCU_PLUS_SDK_AM263X,searchquery=taxonomy:'C and C++' build:Build_Apr_13_2023_11_11_AM grouping:off ","KW Issue Link")</f>
        <v>KW Issue Link</v>
      </c>
      <c r="O250" s="1" t="s">
        <v>356</v>
      </c>
    </row>
    <row r="251" spans="1:15" ht="75" x14ac:dyDescent="0.25">
      <c r="A251" s="1" t="s">
        <v>298</v>
      </c>
      <c r="B251" s="1" t="s">
        <v>299</v>
      </c>
      <c r="C251" s="1" t="s">
        <v>519</v>
      </c>
      <c r="D251" s="1">
        <v>42845</v>
      </c>
      <c r="E251" s="1">
        <v>289</v>
      </c>
      <c r="F251" s="1" t="s">
        <v>520</v>
      </c>
      <c r="G251" s="1" t="s">
        <v>521</v>
      </c>
      <c r="H251" s="1" t="s">
        <v>141</v>
      </c>
      <c r="I251" s="1" t="s">
        <v>63</v>
      </c>
      <c r="J251" s="1">
        <v>1</v>
      </c>
      <c r="K251" s="1" t="s">
        <v>142</v>
      </c>
      <c r="L251" s="1" t="s">
        <v>177</v>
      </c>
      <c r="M251" s="1" t="s">
        <v>28</v>
      </c>
      <c r="N251" s="1" t="str">
        <f>HYPERLINK("https://klocwork.india.ti.com:443/review/insight-review.html#issuedetails_goto:problemid=42845,project=MCU_PLUS_SDK_AM263X,searchquery=taxonomy:'C and C++' build:Build_Apr_13_2023_11_11_AM grouping:off ","KW Issue Link")</f>
        <v>KW Issue Link</v>
      </c>
      <c r="O251" s="1" t="s">
        <v>291</v>
      </c>
    </row>
    <row r="252" spans="1:15" ht="75" x14ac:dyDescent="0.25">
      <c r="A252" s="1" t="s">
        <v>298</v>
      </c>
      <c r="B252" s="1" t="s">
        <v>299</v>
      </c>
      <c r="C252" s="1" t="s">
        <v>519</v>
      </c>
      <c r="D252" s="1">
        <v>42846</v>
      </c>
      <c r="E252" s="1">
        <v>398</v>
      </c>
      <c r="F252" s="1" t="s">
        <v>522</v>
      </c>
      <c r="G252" s="1" t="s">
        <v>523</v>
      </c>
      <c r="H252" s="1" t="s">
        <v>141</v>
      </c>
      <c r="I252" s="1" t="s">
        <v>63</v>
      </c>
      <c r="J252" s="1">
        <v>1</v>
      </c>
      <c r="K252" s="1" t="s">
        <v>142</v>
      </c>
      <c r="L252" s="1" t="s">
        <v>177</v>
      </c>
      <c r="M252" s="1" t="s">
        <v>28</v>
      </c>
      <c r="N252" s="1" t="str">
        <f>HYPERLINK("https://klocwork.india.ti.com:443/review/insight-review.html#issuedetails_goto:problemid=42846,project=MCU_PLUS_SDK_AM263X,searchquery=taxonomy:'C and C++' build:Build_Apr_13_2023_11_11_AM grouping:off ","KW Issue Link")</f>
        <v>KW Issue Link</v>
      </c>
      <c r="O252" s="1" t="s">
        <v>291</v>
      </c>
    </row>
    <row r="253" spans="1:15" ht="75" x14ac:dyDescent="0.25">
      <c r="A253" s="1" t="s">
        <v>298</v>
      </c>
      <c r="B253" s="1" t="s">
        <v>299</v>
      </c>
      <c r="C253" s="1" t="s">
        <v>519</v>
      </c>
      <c r="D253" s="1">
        <v>42847</v>
      </c>
      <c r="E253" s="1">
        <v>449</v>
      </c>
      <c r="F253" s="1" t="s">
        <v>524</v>
      </c>
      <c r="G253" s="1" t="s">
        <v>525</v>
      </c>
      <c r="H253" s="1" t="s">
        <v>141</v>
      </c>
      <c r="I253" s="1" t="s">
        <v>63</v>
      </c>
      <c r="J253" s="1">
        <v>1</v>
      </c>
      <c r="K253" s="1" t="s">
        <v>142</v>
      </c>
      <c r="L253" s="1" t="s">
        <v>177</v>
      </c>
      <c r="M253" s="1" t="s">
        <v>28</v>
      </c>
      <c r="N253" s="1" t="str">
        <f>HYPERLINK("https://klocwork.india.ti.com:443/review/insight-review.html#issuedetails_goto:problemid=42847,project=MCU_PLUS_SDK_AM263X,searchquery=taxonomy:'C and C++' build:Build_Apr_13_2023_11_11_AM grouping:off ","KW Issue Link")</f>
        <v>KW Issue Link</v>
      </c>
      <c r="O253" s="1" t="s">
        <v>291</v>
      </c>
    </row>
    <row r="254" spans="1:15" ht="75" x14ac:dyDescent="0.25">
      <c r="A254" s="1" t="s">
        <v>302</v>
      </c>
      <c r="B254" s="1" t="s">
        <v>299</v>
      </c>
      <c r="C254" s="1" t="s">
        <v>519</v>
      </c>
      <c r="D254" s="1">
        <v>42921</v>
      </c>
      <c r="E254" s="1">
        <v>418</v>
      </c>
      <c r="F254" s="1" t="s">
        <v>526</v>
      </c>
      <c r="G254" s="1" t="s">
        <v>523</v>
      </c>
      <c r="H254" s="1" t="s">
        <v>141</v>
      </c>
      <c r="I254" s="1" t="s">
        <v>63</v>
      </c>
      <c r="J254" s="1">
        <v>1</v>
      </c>
      <c r="K254" s="1" t="s">
        <v>142</v>
      </c>
      <c r="L254" s="1" t="s">
        <v>177</v>
      </c>
      <c r="M254" s="1" t="s">
        <v>28</v>
      </c>
      <c r="N254" s="1" t="str">
        <f>HYPERLINK("https://klocwork.india.ti.com:443/review/insight-review.html#issuedetails_goto:problemid=42921,project=MCU_PLUS_SDK_AM263X,searchquery=taxonomy:'C and C++' build:Build_Apr_13_2023_11_11_AM grouping:off ","KW Issue Link")</f>
        <v>KW Issue Link</v>
      </c>
      <c r="O254" s="1" t="s">
        <v>291</v>
      </c>
    </row>
    <row r="255" spans="1:15" ht="75" x14ac:dyDescent="0.25">
      <c r="A255" s="1" t="s">
        <v>302</v>
      </c>
      <c r="B255" s="1" t="s">
        <v>299</v>
      </c>
      <c r="C255" s="1" t="s">
        <v>519</v>
      </c>
      <c r="D255" s="1">
        <v>42922</v>
      </c>
      <c r="E255" s="1">
        <v>426</v>
      </c>
      <c r="F255" s="1" t="s">
        <v>527</v>
      </c>
      <c r="G255" s="1" t="s">
        <v>523</v>
      </c>
      <c r="H255" s="1" t="s">
        <v>141</v>
      </c>
      <c r="I255" s="1" t="s">
        <v>63</v>
      </c>
      <c r="J255" s="1">
        <v>1</v>
      </c>
      <c r="K255" s="1" t="s">
        <v>142</v>
      </c>
      <c r="L255" s="1" t="s">
        <v>177</v>
      </c>
      <c r="M255" s="1" t="s">
        <v>28</v>
      </c>
      <c r="N255" s="1" t="str">
        <f>HYPERLINK("https://klocwork.india.ti.com:443/review/insight-review.html#issuedetails_goto:problemid=42922,project=MCU_PLUS_SDK_AM263X,searchquery=taxonomy:'C and C++' build:Build_Apr_13_2023_11_11_AM grouping:off ","KW Issue Link")</f>
        <v>KW Issue Link</v>
      </c>
      <c r="O255" s="1" t="s">
        <v>291</v>
      </c>
    </row>
    <row r="256" spans="1:15" ht="75" x14ac:dyDescent="0.25">
      <c r="A256" s="1" t="s">
        <v>302</v>
      </c>
      <c r="B256" s="1" t="s">
        <v>299</v>
      </c>
      <c r="C256" s="1" t="s">
        <v>519</v>
      </c>
      <c r="D256" s="1">
        <v>42923</v>
      </c>
      <c r="E256" s="1">
        <v>733</v>
      </c>
      <c r="F256" s="1" t="s">
        <v>528</v>
      </c>
      <c r="G256" s="1" t="s">
        <v>529</v>
      </c>
      <c r="H256" s="1" t="s">
        <v>141</v>
      </c>
      <c r="I256" s="1" t="s">
        <v>63</v>
      </c>
      <c r="J256" s="1">
        <v>1</v>
      </c>
      <c r="K256" s="1" t="s">
        <v>142</v>
      </c>
      <c r="L256" s="1" t="s">
        <v>177</v>
      </c>
      <c r="M256" s="1" t="s">
        <v>28</v>
      </c>
      <c r="N256" s="1" t="str">
        <f>HYPERLINK("https://klocwork.india.ti.com:443/review/insight-review.html#issuedetails_goto:problemid=42923,project=MCU_PLUS_SDK_AM263X,searchquery=taxonomy:'C and C++' build:Build_Apr_13_2023_11_11_AM grouping:off ","KW Issue Link")</f>
        <v>KW Issue Link</v>
      </c>
      <c r="O256" s="1" t="s">
        <v>291</v>
      </c>
    </row>
    <row r="257" spans="1:15" ht="75" x14ac:dyDescent="0.25">
      <c r="A257" s="1" t="s">
        <v>302</v>
      </c>
      <c r="B257" s="1" t="s">
        <v>299</v>
      </c>
      <c r="C257" s="1" t="s">
        <v>519</v>
      </c>
      <c r="D257" s="1">
        <v>42924</v>
      </c>
      <c r="E257" s="1">
        <v>794</v>
      </c>
      <c r="F257" s="1" t="s">
        <v>530</v>
      </c>
      <c r="G257" s="1" t="s">
        <v>531</v>
      </c>
      <c r="H257" s="1" t="s">
        <v>141</v>
      </c>
      <c r="I257" s="1" t="s">
        <v>63</v>
      </c>
      <c r="J257" s="1">
        <v>1</v>
      </c>
      <c r="K257" s="1" t="s">
        <v>142</v>
      </c>
      <c r="L257" s="1" t="s">
        <v>177</v>
      </c>
      <c r="M257" s="1" t="s">
        <v>28</v>
      </c>
      <c r="N257" s="1" t="str">
        <f>HYPERLINK("https://klocwork.india.ti.com:443/review/insight-review.html#issuedetails_goto:problemid=42924,project=MCU_PLUS_SDK_AM263X,searchquery=taxonomy:'C and C++' build:Build_Apr_13_2023_11_11_AM grouping:off ","KW Issue Link")</f>
        <v>KW Issue Link</v>
      </c>
      <c r="O257" s="1" t="s">
        <v>291</v>
      </c>
    </row>
    <row r="258" spans="1:15" ht="75" x14ac:dyDescent="0.25">
      <c r="A258" s="1" t="s">
        <v>157</v>
      </c>
      <c r="B258" s="1"/>
      <c r="C258" s="1" t="s">
        <v>519</v>
      </c>
      <c r="D258" s="1">
        <v>42931</v>
      </c>
      <c r="E258" s="1">
        <v>721</v>
      </c>
      <c r="F258" s="1" t="s">
        <v>532</v>
      </c>
      <c r="G258" s="1" t="s">
        <v>529</v>
      </c>
      <c r="H258" s="1" t="s">
        <v>141</v>
      </c>
      <c r="I258" s="1" t="s">
        <v>65</v>
      </c>
      <c r="J258" s="1">
        <v>3</v>
      </c>
      <c r="K258" s="1" t="s">
        <v>142</v>
      </c>
      <c r="L258" s="1" t="s">
        <v>153</v>
      </c>
      <c r="M258" s="1" t="s">
        <v>28</v>
      </c>
      <c r="N258" s="1" t="str">
        <f>HYPERLINK("https://klocwork.india.ti.com:443/review/insight-review.html#issuedetails_goto:problemid=42931,project=MCU_PLUS_SDK_AM263X,searchquery=taxonomy:'C and C++' build:Build_Apr_13_2023_11_11_AM grouping:off ","KW Issue Link")</f>
        <v>KW Issue Link</v>
      </c>
      <c r="O258" s="1" t="s">
        <v>291</v>
      </c>
    </row>
    <row r="259" spans="1:15" ht="75" x14ac:dyDescent="0.25">
      <c r="A259" s="1" t="s">
        <v>136</v>
      </c>
      <c r="B259" s="1"/>
      <c r="C259" s="1" t="s">
        <v>519</v>
      </c>
      <c r="D259" s="1">
        <v>42932</v>
      </c>
      <c r="E259" s="1">
        <v>727</v>
      </c>
      <c r="F259" s="1" t="s">
        <v>533</v>
      </c>
      <c r="G259" s="1" t="s">
        <v>529</v>
      </c>
      <c r="H259" s="1" t="s">
        <v>141</v>
      </c>
      <c r="I259" s="1" t="s">
        <v>66</v>
      </c>
      <c r="J259" s="1">
        <v>4</v>
      </c>
      <c r="K259" s="1" t="s">
        <v>142</v>
      </c>
      <c r="L259" s="1" t="s">
        <v>153</v>
      </c>
      <c r="M259" s="1" t="s">
        <v>28</v>
      </c>
      <c r="N259" s="1" t="str">
        <f>HYPERLINK("https://klocwork.india.ti.com:443/review/insight-review.html#issuedetails_goto:problemid=42932,project=MCU_PLUS_SDK_AM263X,searchquery=taxonomy:'C and C++' build:Build_Apr_13_2023_11_11_AM grouping:off ","KW Issue Link")</f>
        <v>KW Issue Link</v>
      </c>
      <c r="O259" s="1" t="s">
        <v>291</v>
      </c>
    </row>
    <row r="260" spans="1:15" ht="60" x14ac:dyDescent="0.25">
      <c r="A260" s="1" t="s">
        <v>157</v>
      </c>
      <c r="B260" s="1"/>
      <c r="C260" s="1" t="s">
        <v>534</v>
      </c>
      <c r="D260" s="1">
        <v>43026</v>
      </c>
      <c r="E260" s="1">
        <v>363</v>
      </c>
      <c r="F260" s="1" t="s">
        <v>262</v>
      </c>
      <c r="G260" s="1" t="s">
        <v>535</v>
      </c>
      <c r="H260" s="1" t="s">
        <v>141</v>
      </c>
      <c r="I260" s="1" t="s">
        <v>65</v>
      </c>
      <c r="J260" s="1">
        <v>3</v>
      </c>
      <c r="K260" s="1" t="s">
        <v>142</v>
      </c>
      <c r="L260" s="1" t="s">
        <v>153</v>
      </c>
      <c r="M260" s="1" t="s">
        <v>28</v>
      </c>
      <c r="N260" s="1" t="str">
        <f>HYPERLINK("https://klocwork.india.ti.com:443/review/insight-review.html#issuedetails_goto:problemid=43026,project=MCU_PLUS_SDK_AM263X,searchquery=taxonomy:'C and C++' build:Build_Apr_13_2023_11_11_AM grouping:off ","KW Issue Link")</f>
        <v>KW Issue Link</v>
      </c>
      <c r="O260" s="1" t="s">
        <v>356</v>
      </c>
    </row>
    <row r="261" spans="1:15" ht="75" x14ac:dyDescent="0.25">
      <c r="A261" s="1" t="s">
        <v>157</v>
      </c>
      <c r="B261" s="1"/>
      <c r="C261" s="1" t="s">
        <v>536</v>
      </c>
      <c r="D261" s="1">
        <v>44025</v>
      </c>
      <c r="E261" s="1">
        <v>1365</v>
      </c>
      <c r="F261" s="1" t="s">
        <v>537</v>
      </c>
      <c r="G261" s="1" t="s">
        <v>538</v>
      </c>
      <c r="H261" s="1" t="s">
        <v>141</v>
      </c>
      <c r="I261" s="1" t="s">
        <v>65</v>
      </c>
      <c r="J261" s="1">
        <v>3</v>
      </c>
      <c r="K261" s="1" t="s">
        <v>142</v>
      </c>
      <c r="L261" s="1" t="s">
        <v>153</v>
      </c>
      <c r="M261" s="1" t="s">
        <v>28</v>
      </c>
      <c r="N261" s="1" t="str">
        <f>HYPERLINK("https://klocwork.india.ti.com:443/review/insight-review.html#issuedetails_goto:problemid=44025,project=MCU_PLUS_SDK_AM263X,searchquery=taxonomy:'C and C++' build:Build_Apr_13_2023_11_11_AM grouping:off ","KW Issue Link")</f>
        <v>KW Issue Link</v>
      </c>
      <c r="O261" s="1" t="s">
        <v>291</v>
      </c>
    </row>
    <row r="262" spans="1:15" ht="75" x14ac:dyDescent="0.25">
      <c r="A262" s="1" t="s">
        <v>157</v>
      </c>
      <c r="B262" s="1"/>
      <c r="C262" s="1" t="s">
        <v>536</v>
      </c>
      <c r="D262" s="1">
        <v>44026</v>
      </c>
      <c r="E262" s="1">
        <v>1365</v>
      </c>
      <c r="F262" s="1" t="s">
        <v>537</v>
      </c>
      <c r="G262" s="1" t="s">
        <v>538</v>
      </c>
      <c r="H262" s="1" t="s">
        <v>141</v>
      </c>
      <c r="I262" s="1" t="s">
        <v>65</v>
      </c>
      <c r="J262" s="1">
        <v>3</v>
      </c>
      <c r="K262" s="1" t="s">
        <v>142</v>
      </c>
      <c r="L262" s="1" t="s">
        <v>153</v>
      </c>
      <c r="M262" s="1" t="s">
        <v>28</v>
      </c>
      <c r="N262" s="1" t="str">
        <f>HYPERLINK("https://klocwork.india.ti.com:443/review/insight-review.html#issuedetails_goto:problemid=44026,project=MCU_PLUS_SDK_AM263X,searchquery=taxonomy:'C and C++' build:Build_Apr_13_2023_11_11_AM grouping:off ","KW Issue Link")</f>
        <v>KW Issue Link</v>
      </c>
      <c r="O262" s="1" t="s">
        <v>291</v>
      </c>
    </row>
    <row r="263" spans="1:15" ht="75" x14ac:dyDescent="0.25">
      <c r="A263" s="1" t="s">
        <v>157</v>
      </c>
      <c r="B263" s="1"/>
      <c r="C263" s="1" t="s">
        <v>536</v>
      </c>
      <c r="D263" s="1">
        <v>44027</v>
      </c>
      <c r="E263" s="1">
        <v>1412</v>
      </c>
      <c r="F263" s="1" t="s">
        <v>537</v>
      </c>
      <c r="G263" s="1" t="s">
        <v>538</v>
      </c>
      <c r="H263" s="1" t="s">
        <v>141</v>
      </c>
      <c r="I263" s="1" t="s">
        <v>65</v>
      </c>
      <c r="J263" s="1">
        <v>3</v>
      </c>
      <c r="K263" s="1" t="s">
        <v>142</v>
      </c>
      <c r="L263" s="1" t="s">
        <v>153</v>
      </c>
      <c r="M263" s="1" t="s">
        <v>28</v>
      </c>
      <c r="N263" s="1" t="str">
        <f>HYPERLINK("https://klocwork.india.ti.com:443/review/insight-review.html#issuedetails_goto:problemid=44027,project=MCU_PLUS_SDK_AM263X,searchquery=taxonomy:'C and C++' build:Build_Apr_13_2023_11_11_AM grouping:off ","KW Issue Link")</f>
        <v>KW Issue Link</v>
      </c>
      <c r="O263" s="1" t="s">
        <v>291</v>
      </c>
    </row>
    <row r="264" spans="1:15" ht="75" x14ac:dyDescent="0.25">
      <c r="A264" s="1" t="s">
        <v>157</v>
      </c>
      <c r="B264" s="1"/>
      <c r="C264" s="1" t="s">
        <v>536</v>
      </c>
      <c r="D264" s="1">
        <v>44028</v>
      </c>
      <c r="E264" s="1">
        <v>1412</v>
      </c>
      <c r="F264" s="1" t="s">
        <v>537</v>
      </c>
      <c r="G264" s="1" t="s">
        <v>538</v>
      </c>
      <c r="H264" s="1" t="s">
        <v>141</v>
      </c>
      <c r="I264" s="1" t="s">
        <v>65</v>
      </c>
      <c r="J264" s="1">
        <v>3</v>
      </c>
      <c r="K264" s="1" t="s">
        <v>142</v>
      </c>
      <c r="L264" s="1" t="s">
        <v>153</v>
      </c>
      <c r="M264" s="1" t="s">
        <v>28</v>
      </c>
      <c r="N264" s="1" t="str">
        <f>HYPERLINK("https://klocwork.india.ti.com:443/review/insight-review.html#issuedetails_goto:problemid=44028,project=MCU_PLUS_SDK_AM263X,searchquery=taxonomy:'C and C++' build:Build_Apr_13_2023_11_11_AM grouping:off ","KW Issue Link")</f>
        <v>KW Issue Link</v>
      </c>
      <c r="O264" s="1" t="s">
        <v>291</v>
      </c>
    </row>
    <row r="265" spans="1:15" ht="75" x14ac:dyDescent="0.25">
      <c r="A265" s="1" t="s">
        <v>157</v>
      </c>
      <c r="B265" s="1"/>
      <c r="C265" s="1" t="s">
        <v>536</v>
      </c>
      <c r="D265" s="1">
        <v>44029</v>
      </c>
      <c r="E265" s="1">
        <v>1542</v>
      </c>
      <c r="F265" s="1" t="s">
        <v>537</v>
      </c>
      <c r="G265" s="1" t="s">
        <v>539</v>
      </c>
      <c r="H265" s="1" t="s">
        <v>141</v>
      </c>
      <c r="I265" s="1" t="s">
        <v>65</v>
      </c>
      <c r="J265" s="1">
        <v>3</v>
      </c>
      <c r="K265" s="1" t="s">
        <v>142</v>
      </c>
      <c r="L265" s="1" t="s">
        <v>153</v>
      </c>
      <c r="M265" s="1" t="s">
        <v>28</v>
      </c>
      <c r="N265" s="1" t="str">
        <f>HYPERLINK("https://klocwork.india.ti.com:443/review/insight-review.html#issuedetails_goto:problemid=44029,project=MCU_PLUS_SDK_AM263X,searchquery=taxonomy:'C and C++' build:Build_Apr_13_2023_11_11_AM grouping:off ","KW Issue Link")</f>
        <v>KW Issue Link</v>
      </c>
      <c r="O265" s="1" t="s">
        <v>291</v>
      </c>
    </row>
    <row r="266" spans="1:15" ht="75" x14ac:dyDescent="0.25">
      <c r="A266" s="1" t="s">
        <v>157</v>
      </c>
      <c r="B266" s="1"/>
      <c r="C266" s="1" t="s">
        <v>536</v>
      </c>
      <c r="D266" s="1">
        <v>44030</v>
      </c>
      <c r="E266" s="1">
        <v>1542</v>
      </c>
      <c r="F266" s="1" t="s">
        <v>537</v>
      </c>
      <c r="G266" s="1" t="s">
        <v>539</v>
      </c>
      <c r="H266" s="1" t="s">
        <v>141</v>
      </c>
      <c r="I266" s="1" t="s">
        <v>65</v>
      </c>
      <c r="J266" s="1">
        <v>3</v>
      </c>
      <c r="K266" s="1" t="s">
        <v>142</v>
      </c>
      <c r="L266" s="1" t="s">
        <v>153</v>
      </c>
      <c r="M266" s="1" t="s">
        <v>28</v>
      </c>
      <c r="N266" s="1" t="str">
        <f>HYPERLINK("https://klocwork.india.ti.com:443/review/insight-review.html#issuedetails_goto:problemid=44030,project=MCU_PLUS_SDK_AM263X,searchquery=taxonomy:'C and C++' build:Build_Apr_13_2023_11_11_AM grouping:off ","KW Issue Link")</f>
        <v>KW Issue Link</v>
      </c>
      <c r="O266" s="1" t="s">
        <v>291</v>
      </c>
    </row>
    <row r="267" spans="1:15" ht="75" x14ac:dyDescent="0.25">
      <c r="A267" s="1" t="s">
        <v>157</v>
      </c>
      <c r="B267" s="1"/>
      <c r="C267" s="1" t="s">
        <v>536</v>
      </c>
      <c r="D267" s="1">
        <v>44031</v>
      </c>
      <c r="E267" s="1">
        <v>1600</v>
      </c>
      <c r="F267" s="1" t="s">
        <v>537</v>
      </c>
      <c r="G267" s="1" t="s">
        <v>540</v>
      </c>
      <c r="H267" s="1" t="s">
        <v>141</v>
      </c>
      <c r="I267" s="1" t="s">
        <v>65</v>
      </c>
      <c r="J267" s="1">
        <v>3</v>
      </c>
      <c r="K267" s="1" t="s">
        <v>142</v>
      </c>
      <c r="L267" s="1" t="s">
        <v>153</v>
      </c>
      <c r="M267" s="1" t="s">
        <v>28</v>
      </c>
      <c r="N267" s="1" t="str">
        <f>HYPERLINK("https://klocwork.india.ti.com:443/review/insight-review.html#issuedetails_goto:problemid=44031,project=MCU_PLUS_SDK_AM263X,searchquery=taxonomy:'C and C++' build:Build_Apr_13_2023_11_11_AM grouping:off ","KW Issue Link")</f>
        <v>KW Issue Link</v>
      </c>
      <c r="O267" s="1" t="s">
        <v>291</v>
      </c>
    </row>
    <row r="268" spans="1:15" ht="75" x14ac:dyDescent="0.25">
      <c r="A268" s="1" t="s">
        <v>157</v>
      </c>
      <c r="B268" s="1"/>
      <c r="C268" s="1" t="s">
        <v>536</v>
      </c>
      <c r="D268" s="1">
        <v>44032</v>
      </c>
      <c r="E268" s="1">
        <v>1600</v>
      </c>
      <c r="F268" s="1" t="s">
        <v>537</v>
      </c>
      <c r="G268" s="1" t="s">
        <v>540</v>
      </c>
      <c r="H268" s="1" t="s">
        <v>141</v>
      </c>
      <c r="I268" s="1" t="s">
        <v>65</v>
      </c>
      <c r="J268" s="1">
        <v>3</v>
      </c>
      <c r="K268" s="1" t="s">
        <v>142</v>
      </c>
      <c r="L268" s="1" t="s">
        <v>153</v>
      </c>
      <c r="M268" s="1" t="s">
        <v>28</v>
      </c>
      <c r="N268" s="1" t="str">
        <f>HYPERLINK("https://klocwork.india.ti.com:443/review/insight-review.html#issuedetails_goto:problemid=44032,project=MCU_PLUS_SDK_AM263X,searchquery=taxonomy:'C and C++' build:Build_Apr_13_2023_11_11_AM grouping:off ","KW Issue Link")</f>
        <v>KW Issue Link</v>
      </c>
      <c r="O268" s="1" t="s">
        <v>291</v>
      </c>
    </row>
    <row r="269" spans="1:15" ht="75" x14ac:dyDescent="0.25">
      <c r="A269" s="1" t="s">
        <v>157</v>
      </c>
      <c r="B269" s="1"/>
      <c r="C269" s="1" t="s">
        <v>536</v>
      </c>
      <c r="D269" s="1">
        <v>44033</v>
      </c>
      <c r="E269" s="1">
        <v>1679</v>
      </c>
      <c r="F269" s="1" t="s">
        <v>541</v>
      </c>
      <c r="G269" s="1" t="s">
        <v>540</v>
      </c>
      <c r="H269" s="1" t="s">
        <v>141</v>
      </c>
      <c r="I269" s="1" t="s">
        <v>65</v>
      </c>
      <c r="J269" s="1">
        <v>3</v>
      </c>
      <c r="K269" s="1" t="s">
        <v>142</v>
      </c>
      <c r="L269" s="1" t="s">
        <v>153</v>
      </c>
      <c r="M269" s="1" t="s">
        <v>28</v>
      </c>
      <c r="N269" s="1" t="str">
        <f>HYPERLINK("https://klocwork.india.ti.com:443/review/insight-review.html#issuedetails_goto:problemid=44033,project=MCU_PLUS_SDK_AM263X,searchquery=taxonomy:'C and C++' build:Build_Apr_13_2023_11_11_AM grouping:off ","KW Issue Link")</f>
        <v>KW Issue Link</v>
      </c>
      <c r="O269" s="1" t="s">
        <v>291</v>
      </c>
    </row>
    <row r="270" spans="1:15" ht="75" x14ac:dyDescent="0.25">
      <c r="A270" s="1" t="s">
        <v>157</v>
      </c>
      <c r="B270" s="1"/>
      <c r="C270" s="1" t="s">
        <v>536</v>
      </c>
      <c r="D270" s="1">
        <v>44034</v>
      </c>
      <c r="E270" s="1">
        <v>1691</v>
      </c>
      <c r="F270" s="1" t="s">
        <v>537</v>
      </c>
      <c r="G270" s="1" t="s">
        <v>540</v>
      </c>
      <c r="H270" s="1" t="s">
        <v>141</v>
      </c>
      <c r="I270" s="1" t="s">
        <v>65</v>
      </c>
      <c r="J270" s="1">
        <v>3</v>
      </c>
      <c r="K270" s="1" t="s">
        <v>142</v>
      </c>
      <c r="L270" s="1" t="s">
        <v>153</v>
      </c>
      <c r="M270" s="1" t="s">
        <v>28</v>
      </c>
      <c r="N270" s="1" t="str">
        <f>HYPERLINK("https://klocwork.india.ti.com:443/review/insight-review.html#issuedetails_goto:problemid=44034,project=MCU_PLUS_SDK_AM263X,searchquery=taxonomy:'C and C++' build:Build_Apr_13_2023_11_11_AM grouping:off ","KW Issue Link")</f>
        <v>KW Issue Link</v>
      </c>
      <c r="O270" s="1" t="s">
        <v>291</v>
      </c>
    </row>
    <row r="271" spans="1:15" ht="75" x14ac:dyDescent="0.25">
      <c r="A271" s="1" t="s">
        <v>157</v>
      </c>
      <c r="B271" s="1"/>
      <c r="C271" s="1" t="s">
        <v>536</v>
      </c>
      <c r="D271" s="1">
        <v>44035</v>
      </c>
      <c r="E271" s="1">
        <v>1691</v>
      </c>
      <c r="F271" s="1" t="s">
        <v>537</v>
      </c>
      <c r="G271" s="1" t="s">
        <v>540</v>
      </c>
      <c r="H271" s="1" t="s">
        <v>141</v>
      </c>
      <c r="I271" s="1" t="s">
        <v>65</v>
      </c>
      <c r="J271" s="1">
        <v>3</v>
      </c>
      <c r="K271" s="1" t="s">
        <v>142</v>
      </c>
      <c r="L271" s="1" t="s">
        <v>153</v>
      </c>
      <c r="M271" s="1" t="s">
        <v>28</v>
      </c>
      <c r="N271" s="1" t="str">
        <f>HYPERLINK("https://klocwork.india.ti.com:443/review/insight-review.html#issuedetails_goto:problemid=44035,project=MCU_PLUS_SDK_AM263X,searchquery=taxonomy:'C and C++' build:Build_Apr_13_2023_11_11_AM grouping:off ","KW Issue Link")</f>
        <v>KW Issue Link</v>
      </c>
      <c r="O271" s="1" t="s">
        <v>291</v>
      </c>
    </row>
    <row r="272" spans="1:15" ht="75" x14ac:dyDescent="0.25">
      <c r="A272" s="1" t="s">
        <v>157</v>
      </c>
      <c r="B272" s="1"/>
      <c r="C272" s="1" t="s">
        <v>536</v>
      </c>
      <c r="D272" s="1">
        <v>44036</v>
      </c>
      <c r="E272" s="1">
        <v>1755</v>
      </c>
      <c r="F272" s="1" t="s">
        <v>329</v>
      </c>
      <c r="G272" s="1" t="s">
        <v>540</v>
      </c>
      <c r="H272" s="1" t="s">
        <v>141</v>
      </c>
      <c r="I272" s="1" t="s">
        <v>65</v>
      </c>
      <c r="J272" s="1">
        <v>3</v>
      </c>
      <c r="K272" s="1" t="s">
        <v>142</v>
      </c>
      <c r="L272" s="1" t="s">
        <v>153</v>
      </c>
      <c r="M272" s="1" t="s">
        <v>28</v>
      </c>
      <c r="N272" s="1" t="str">
        <f>HYPERLINK("https://klocwork.india.ti.com:443/review/insight-review.html#issuedetails_goto:problemid=44036,project=MCU_PLUS_SDK_AM263X,searchquery=taxonomy:'C and C++' build:Build_Apr_13_2023_11_11_AM grouping:off ","KW Issue Link")</f>
        <v>KW Issue Link</v>
      </c>
      <c r="O272" s="1" t="s">
        <v>291</v>
      </c>
    </row>
    <row r="273" spans="1:15" ht="75" x14ac:dyDescent="0.25">
      <c r="A273" s="1" t="s">
        <v>157</v>
      </c>
      <c r="B273" s="1"/>
      <c r="C273" s="1" t="s">
        <v>536</v>
      </c>
      <c r="D273" s="1">
        <v>44037</v>
      </c>
      <c r="E273" s="1">
        <v>1826</v>
      </c>
      <c r="F273" s="1" t="s">
        <v>537</v>
      </c>
      <c r="G273" s="1" t="s">
        <v>542</v>
      </c>
      <c r="H273" s="1" t="s">
        <v>141</v>
      </c>
      <c r="I273" s="1" t="s">
        <v>65</v>
      </c>
      <c r="J273" s="1">
        <v>3</v>
      </c>
      <c r="K273" s="1" t="s">
        <v>142</v>
      </c>
      <c r="L273" s="1" t="s">
        <v>153</v>
      </c>
      <c r="M273" s="1" t="s">
        <v>28</v>
      </c>
      <c r="N273" s="1" t="str">
        <f>HYPERLINK("https://klocwork.india.ti.com:443/review/insight-review.html#issuedetails_goto:problemid=44037,project=MCU_PLUS_SDK_AM263X,searchquery=taxonomy:'C and C++' build:Build_Apr_13_2023_11_11_AM grouping:off ","KW Issue Link")</f>
        <v>KW Issue Link</v>
      </c>
      <c r="O273" s="1" t="s">
        <v>291</v>
      </c>
    </row>
    <row r="274" spans="1:15" ht="75" x14ac:dyDescent="0.25">
      <c r="A274" s="1" t="s">
        <v>157</v>
      </c>
      <c r="B274" s="1"/>
      <c r="C274" s="1" t="s">
        <v>536</v>
      </c>
      <c r="D274" s="1">
        <v>44038</v>
      </c>
      <c r="E274" s="1">
        <v>1826</v>
      </c>
      <c r="F274" s="1" t="s">
        <v>537</v>
      </c>
      <c r="G274" s="1" t="s">
        <v>542</v>
      </c>
      <c r="H274" s="1" t="s">
        <v>141</v>
      </c>
      <c r="I274" s="1" t="s">
        <v>65</v>
      </c>
      <c r="J274" s="1">
        <v>3</v>
      </c>
      <c r="K274" s="1" t="s">
        <v>142</v>
      </c>
      <c r="L274" s="1" t="s">
        <v>153</v>
      </c>
      <c r="M274" s="1" t="s">
        <v>28</v>
      </c>
      <c r="N274" s="1" t="str">
        <f>HYPERLINK("https://klocwork.india.ti.com:443/review/insight-review.html#issuedetails_goto:problemid=44038,project=MCU_PLUS_SDK_AM263X,searchquery=taxonomy:'C and C++' build:Build_Apr_13_2023_11_11_AM grouping:off ","KW Issue Link")</f>
        <v>KW Issue Link</v>
      </c>
      <c r="O274" s="1" t="s">
        <v>291</v>
      </c>
    </row>
    <row r="275" spans="1:15" ht="75" x14ac:dyDescent="0.25">
      <c r="A275" s="1" t="s">
        <v>157</v>
      </c>
      <c r="B275" s="1"/>
      <c r="C275" s="1" t="s">
        <v>536</v>
      </c>
      <c r="D275" s="1">
        <v>44039</v>
      </c>
      <c r="E275" s="1">
        <v>1900</v>
      </c>
      <c r="F275" s="1" t="s">
        <v>386</v>
      </c>
      <c r="G275" s="1" t="s">
        <v>543</v>
      </c>
      <c r="H275" s="1" t="s">
        <v>141</v>
      </c>
      <c r="I275" s="1" t="s">
        <v>65</v>
      </c>
      <c r="J275" s="1">
        <v>3</v>
      </c>
      <c r="K275" s="1" t="s">
        <v>142</v>
      </c>
      <c r="L275" s="1" t="s">
        <v>153</v>
      </c>
      <c r="M275" s="1" t="s">
        <v>28</v>
      </c>
      <c r="N275" s="1" t="str">
        <f>HYPERLINK("https://klocwork.india.ti.com:443/review/insight-review.html#issuedetails_goto:problemid=44039,project=MCU_PLUS_SDK_AM263X,searchquery=taxonomy:'C and C++' build:Build_Apr_13_2023_11_11_AM grouping:off ","KW Issue Link")</f>
        <v>KW Issue Link</v>
      </c>
      <c r="O275" s="1" t="s">
        <v>291</v>
      </c>
    </row>
    <row r="276" spans="1:15" ht="75" x14ac:dyDescent="0.25">
      <c r="A276" s="1" t="s">
        <v>157</v>
      </c>
      <c r="B276" s="1"/>
      <c r="C276" s="1" t="s">
        <v>536</v>
      </c>
      <c r="D276" s="1">
        <v>44040</v>
      </c>
      <c r="E276" s="1">
        <v>1968</v>
      </c>
      <c r="F276" s="1" t="s">
        <v>537</v>
      </c>
      <c r="G276" s="1" t="s">
        <v>544</v>
      </c>
      <c r="H276" s="1" t="s">
        <v>141</v>
      </c>
      <c r="I276" s="1" t="s">
        <v>65</v>
      </c>
      <c r="J276" s="1">
        <v>3</v>
      </c>
      <c r="K276" s="1" t="s">
        <v>142</v>
      </c>
      <c r="L276" s="1" t="s">
        <v>153</v>
      </c>
      <c r="M276" s="1" t="s">
        <v>28</v>
      </c>
      <c r="N276" s="1" t="str">
        <f>HYPERLINK("https://klocwork.india.ti.com:443/review/insight-review.html#issuedetails_goto:problemid=44040,project=MCU_PLUS_SDK_AM263X,searchquery=taxonomy:'C and C++' build:Build_Apr_13_2023_11_11_AM grouping:off ","KW Issue Link")</f>
        <v>KW Issue Link</v>
      </c>
      <c r="O276" s="1" t="s">
        <v>291</v>
      </c>
    </row>
    <row r="277" spans="1:15" ht="75" x14ac:dyDescent="0.25">
      <c r="A277" s="1" t="s">
        <v>157</v>
      </c>
      <c r="B277" s="1"/>
      <c r="C277" s="1" t="s">
        <v>536</v>
      </c>
      <c r="D277" s="1">
        <v>44041</v>
      </c>
      <c r="E277" s="1">
        <v>1968</v>
      </c>
      <c r="F277" s="1" t="s">
        <v>537</v>
      </c>
      <c r="G277" s="1" t="s">
        <v>544</v>
      </c>
      <c r="H277" s="1" t="s">
        <v>141</v>
      </c>
      <c r="I277" s="1" t="s">
        <v>65</v>
      </c>
      <c r="J277" s="1">
        <v>3</v>
      </c>
      <c r="K277" s="1" t="s">
        <v>142</v>
      </c>
      <c r="L277" s="1" t="s">
        <v>153</v>
      </c>
      <c r="M277" s="1" t="s">
        <v>28</v>
      </c>
      <c r="N277" s="1" t="str">
        <f>HYPERLINK("https://klocwork.india.ti.com:443/review/insight-review.html#issuedetails_goto:problemid=44041,project=MCU_PLUS_SDK_AM263X,searchquery=taxonomy:'C and C++' build:Build_Apr_13_2023_11_11_AM grouping:off ","KW Issue Link")</f>
        <v>KW Issue Link</v>
      </c>
      <c r="O277" s="1" t="s">
        <v>291</v>
      </c>
    </row>
    <row r="278" spans="1:15" ht="75" x14ac:dyDescent="0.25">
      <c r="A278" s="1" t="s">
        <v>157</v>
      </c>
      <c r="B278" s="1"/>
      <c r="C278" s="1" t="s">
        <v>536</v>
      </c>
      <c r="D278" s="1">
        <v>44042</v>
      </c>
      <c r="E278" s="1">
        <v>1995</v>
      </c>
      <c r="F278" s="1" t="s">
        <v>537</v>
      </c>
      <c r="G278" s="1" t="s">
        <v>544</v>
      </c>
      <c r="H278" s="1" t="s">
        <v>141</v>
      </c>
      <c r="I278" s="1" t="s">
        <v>65</v>
      </c>
      <c r="J278" s="1">
        <v>3</v>
      </c>
      <c r="K278" s="1" t="s">
        <v>142</v>
      </c>
      <c r="L278" s="1" t="s">
        <v>153</v>
      </c>
      <c r="M278" s="1" t="s">
        <v>28</v>
      </c>
      <c r="N278" s="1" t="str">
        <f>HYPERLINK("https://klocwork.india.ti.com:443/review/insight-review.html#issuedetails_goto:problemid=44042,project=MCU_PLUS_SDK_AM263X,searchquery=taxonomy:'C and C++' build:Build_Apr_13_2023_11_11_AM grouping:off ","KW Issue Link")</f>
        <v>KW Issue Link</v>
      </c>
      <c r="O278" s="1" t="s">
        <v>291</v>
      </c>
    </row>
    <row r="279" spans="1:15" ht="75" x14ac:dyDescent="0.25">
      <c r="A279" s="1" t="s">
        <v>157</v>
      </c>
      <c r="B279" s="1"/>
      <c r="C279" s="1" t="s">
        <v>536</v>
      </c>
      <c r="D279" s="1">
        <v>44043</v>
      </c>
      <c r="E279" s="1">
        <v>1995</v>
      </c>
      <c r="F279" s="1" t="s">
        <v>537</v>
      </c>
      <c r="G279" s="1" t="s">
        <v>544</v>
      </c>
      <c r="H279" s="1" t="s">
        <v>141</v>
      </c>
      <c r="I279" s="1" t="s">
        <v>65</v>
      </c>
      <c r="J279" s="1">
        <v>3</v>
      </c>
      <c r="K279" s="1" t="s">
        <v>142</v>
      </c>
      <c r="L279" s="1" t="s">
        <v>153</v>
      </c>
      <c r="M279" s="1" t="s">
        <v>28</v>
      </c>
      <c r="N279" s="1" t="str">
        <f>HYPERLINK("https://klocwork.india.ti.com:443/review/insight-review.html#issuedetails_goto:problemid=44043,project=MCU_PLUS_SDK_AM263X,searchquery=taxonomy:'C and C++' build:Build_Apr_13_2023_11_11_AM grouping:off ","KW Issue Link")</f>
        <v>KW Issue Link</v>
      </c>
      <c r="O279" s="1" t="s">
        <v>291</v>
      </c>
    </row>
    <row r="280" spans="1:15" ht="75" x14ac:dyDescent="0.25">
      <c r="A280" s="1" t="s">
        <v>157</v>
      </c>
      <c r="B280" s="1"/>
      <c r="C280" s="1" t="s">
        <v>536</v>
      </c>
      <c r="D280" s="1">
        <v>44044</v>
      </c>
      <c r="E280" s="1">
        <v>2126</v>
      </c>
      <c r="F280" s="1" t="s">
        <v>537</v>
      </c>
      <c r="G280" s="1" t="s">
        <v>545</v>
      </c>
      <c r="H280" s="1" t="s">
        <v>141</v>
      </c>
      <c r="I280" s="1" t="s">
        <v>65</v>
      </c>
      <c r="J280" s="1">
        <v>3</v>
      </c>
      <c r="K280" s="1" t="s">
        <v>142</v>
      </c>
      <c r="L280" s="1" t="s">
        <v>153</v>
      </c>
      <c r="M280" s="1" t="s">
        <v>28</v>
      </c>
      <c r="N280" s="1" t="str">
        <f>HYPERLINK("https://klocwork.india.ti.com:443/review/insight-review.html#issuedetails_goto:problemid=44044,project=MCU_PLUS_SDK_AM263X,searchquery=taxonomy:'C and C++' build:Build_Apr_13_2023_11_11_AM grouping:off ","KW Issue Link")</f>
        <v>KW Issue Link</v>
      </c>
      <c r="O280" s="1" t="s">
        <v>291</v>
      </c>
    </row>
    <row r="281" spans="1:15" ht="75" x14ac:dyDescent="0.25">
      <c r="A281" s="1" t="s">
        <v>157</v>
      </c>
      <c r="B281" s="1"/>
      <c r="C281" s="1" t="s">
        <v>536</v>
      </c>
      <c r="D281" s="1">
        <v>44045</v>
      </c>
      <c r="E281" s="1">
        <v>2126</v>
      </c>
      <c r="F281" s="1" t="s">
        <v>537</v>
      </c>
      <c r="G281" s="1" t="s">
        <v>545</v>
      </c>
      <c r="H281" s="1" t="s">
        <v>141</v>
      </c>
      <c r="I281" s="1" t="s">
        <v>65</v>
      </c>
      <c r="J281" s="1">
        <v>3</v>
      </c>
      <c r="K281" s="1" t="s">
        <v>142</v>
      </c>
      <c r="L281" s="1" t="s">
        <v>153</v>
      </c>
      <c r="M281" s="1" t="s">
        <v>28</v>
      </c>
      <c r="N281" s="1" t="str">
        <f>HYPERLINK("https://klocwork.india.ti.com:443/review/insight-review.html#issuedetails_goto:problemid=44045,project=MCU_PLUS_SDK_AM263X,searchquery=taxonomy:'C and C++' build:Build_Apr_13_2023_11_11_AM grouping:off ","KW Issue Link")</f>
        <v>KW Issue Link</v>
      </c>
      <c r="O281" s="1" t="s">
        <v>291</v>
      </c>
    </row>
    <row r="282" spans="1:15" ht="75" x14ac:dyDescent="0.25">
      <c r="A282" s="1" t="s">
        <v>157</v>
      </c>
      <c r="B282" s="1"/>
      <c r="C282" s="1" t="s">
        <v>536</v>
      </c>
      <c r="D282" s="1">
        <v>44047</v>
      </c>
      <c r="E282" s="1">
        <v>2208</v>
      </c>
      <c r="F282" s="1" t="s">
        <v>537</v>
      </c>
      <c r="G282" s="1" t="s">
        <v>546</v>
      </c>
      <c r="H282" s="1" t="s">
        <v>141</v>
      </c>
      <c r="I282" s="1" t="s">
        <v>65</v>
      </c>
      <c r="J282" s="1">
        <v>3</v>
      </c>
      <c r="K282" s="1" t="s">
        <v>142</v>
      </c>
      <c r="L282" s="1" t="s">
        <v>153</v>
      </c>
      <c r="M282" s="1" t="s">
        <v>28</v>
      </c>
      <c r="N282" s="1" t="str">
        <f>HYPERLINK("https://klocwork.india.ti.com:443/review/insight-review.html#issuedetails_goto:problemid=44047,project=MCU_PLUS_SDK_AM263X,searchquery=taxonomy:'C and C++' build:Build_Apr_13_2023_11_11_AM grouping:off ","KW Issue Link")</f>
        <v>KW Issue Link</v>
      </c>
      <c r="O282" s="1" t="s">
        <v>291</v>
      </c>
    </row>
    <row r="283" spans="1:15" ht="75" x14ac:dyDescent="0.25">
      <c r="A283" s="1" t="s">
        <v>157</v>
      </c>
      <c r="B283" s="1"/>
      <c r="C283" s="1" t="s">
        <v>536</v>
      </c>
      <c r="D283" s="1">
        <v>44048</v>
      </c>
      <c r="E283" s="1">
        <v>2208</v>
      </c>
      <c r="F283" s="1" t="s">
        <v>537</v>
      </c>
      <c r="G283" s="1" t="s">
        <v>546</v>
      </c>
      <c r="H283" s="1" t="s">
        <v>141</v>
      </c>
      <c r="I283" s="1" t="s">
        <v>65</v>
      </c>
      <c r="J283" s="1">
        <v>3</v>
      </c>
      <c r="K283" s="1" t="s">
        <v>142</v>
      </c>
      <c r="L283" s="1" t="s">
        <v>153</v>
      </c>
      <c r="M283" s="1" t="s">
        <v>28</v>
      </c>
      <c r="N283" s="1" t="str">
        <f>HYPERLINK("https://klocwork.india.ti.com:443/review/insight-review.html#issuedetails_goto:problemid=44048,project=MCU_PLUS_SDK_AM263X,searchquery=taxonomy:'C and C++' build:Build_Apr_13_2023_11_11_AM grouping:off ","KW Issue Link")</f>
        <v>KW Issue Link</v>
      </c>
      <c r="O283" s="1" t="s">
        <v>291</v>
      </c>
    </row>
    <row r="284" spans="1:15" ht="75" x14ac:dyDescent="0.25">
      <c r="A284" s="1" t="s">
        <v>547</v>
      </c>
      <c r="B284" s="1"/>
      <c r="C284" s="1" t="s">
        <v>536</v>
      </c>
      <c r="D284" s="1">
        <v>44049</v>
      </c>
      <c r="E284" s="1">
        <v>1598</v>
      </c>
      <c r="F284" s="1" t="s">
        <v>548</v>
      </c>
      <c r="G284" s="1" t="s">
        <v>540</v>
      </c>
      <c r="H284" s="1" t="s">
        <v>141</v>
      </c>
      <c r="I284" s="1" t="s">
        <v>66</v>
      </c>
      <c r="J284" s="1">
        <v>4</v>
      </c>
      <c r="K284" s="1" t="s">
        <v>142</v>
      </c>
      <c r="L284" s="1" t="s">
        <v>153</v>
      </c>
      <c r="M284" s="1" t="s">
        <v>28</v>
      </c>
      <c r="N284" s="1" t="str">
        <f>HYPERLINK("https://klocwork.india.ti.com:443/review/insight-review.html#issuedetails_goto:problemid=44049,project=MCU_PLUS_SDK_AM263X,searchquery=taxonomy:'C and C++' build:Build_Apr_13_2023_11_11_AM grouping:off ","KW Issue Link")</f>
        <v>KW Issue Link</v>
      </c>
      <c r="O284" s="1" t="s">
        <v>291</v>
      </c>
    </row>
    <row r="285" spans="1:15" ht="75" x14ac:dyDescent="0.25">
      <c r="A285" s="1" t="s">
        <v>547</v>
      </c>
      <c r="B285" s="1"/>
      <c r="C285" s="1" t="s">
        <v>536</v>
      </c>
      <c r="D285" s="1">
        <v>44050</v>
      </c>
      <c r="E285" s="1">
        <v>1606</v>
      </c>
      <c r="F285" s="1" t="s">
        <v>548</v>
      </c>
      <c r="G285" s="1" t="s">
        <v>540</v>
      </c>
      <c r="H285" s="1" t="s">
        <v>141</v>
      </c>
      <c r="I285" s="1" t="s">
        <v>66</v>
      </c>
      <c r="J285" s="1">
        <v>4</v>
      </c>
      <c r="K285" s="1" t="s">
        <v>142</v>
      </c>
      <c r="L285" s="1" t="s">
        <v>153</v>
      </c>
      <c r="M285" s="1" t="s">
        <v>28</v>
      </c>
      <c r="N285" s="1" t="str">
        <f>HYPERLINK("https://klocwork.india.ti.com:443/review/insight-review.html#issuedetails_goto:problemid=44050,project=MCU_PLUS_SDK_AM263X,searchquery=taxonomy:'C and C++' build:Build_Apr_13_2023_11_11_AM grouping:off ","KW Issue Link")</f>
        <v>KW Issue Link</v>
      </c>
      <c r="O285" s="1" t="s">
        <v>291</v>
      </c>
    </row>
    <row r="286" spans="1:15" ht="75" x14ac:dyDescent="0.25">
      <c r="A286" s="1" t="s">
        <v>155</v>
      </c>
      <c r="B286" s="1"/>
      <c r="C286" s="1" t="s">
        <v>536</v>
      </c>
      <c r="D286" s="1">
        <v>44056</v>
      </c>
      <c r="E286" s="1">
        <v>2206</v>
      </c>
      <c r="F286" s="1" t="s">
        <v>156</v>
      </c>
      <c r="G286" s="1" t="s">
        <v>546</v>
      </c>
      <c r="H286" s="1" t="s">
        <v>141</v>
      </c>
      <c r="I286" s="1" t="s">
        <v>65</v>
      </c>
      <c r="J286" s="1">
        <v>3</v>
      </c>
      <c r="K286" s="1" t="s">
        <v>142</v>
      </c>
      <c r="L286" s="1" t="s">
        <v>153</v>
      </c>
      <c r="M286" s="1" t="s">
        <v>28</v>
      </c>
      <c r="N286" s="1" t="str">
        <f>HYPERLINK("https://klocwork.india.ti.com:443/review/insight-review.html#issuedetails_goto:problemid=44056,project=MCU_PLUS_SDK_AM263X,searchquery=taxonomy:'C and C++' build:Build_Apr_13_2023_11_11_AM grouping:off ","KW Issue Link")</f>
        <v>KW Issue Link</v>
      </c>
      <c r="O286" s="1" t="s">
        <v>291</v>
      </c>
    </row>
    <row r="287" spans="1:15" ht="120" x14ac:dyDescent="0.25">
      <c r="A287" s="1" t="s">
        <v>190</v>
      </c>
      <c r="B287" s="1" t="s">
        <v>299</v>
      </c>
      <c r="C287" s="1" t="s">
        <v>536</v>
      </c>
      <c r="D287" s="1">
        <v>44057</v>
      </c>
      <c r="E287" s="1">
        <v>2390</v>
      </c>
      <c r="F287" s="1" t="s">
        <v>549</v>
      </c>
      <c r="G287" s="1" t="s">
        <v>550</v>
      </c>
      <c r="H287" s="1" t="s">
        <v>141</v>
      </c>
      <c r="I287" s="1" t="s">
        <v>63</v>
      </c>
      <c r="J287" s="1">
        <v>1</v>
      </c>
      <c r="K287" s="1" t="s">
        <v>142</v>
      </c>
      <c r="L287" s="1" t="s">
        <v>177</v>
      </c>
      <c r="M287" s="1" t="s">
        <v>28</v>
      </c>
      <c r="N287" s="1" t="str">
        <f>HYPERLINK("https://klocwork.india.ti.com:443/review/insight-review.html#issuedetails_goto:problemid=44057,project=MCU_PLUS_SDK_AM263X,searchquery=taxonomy:'C and C++' build:Build_Apr_13_2023_11_11_AM grouping:off ","KW Issue Link")</f>
        <v>KW Issue Link</v>
      </c>
      <c r="O287" s="1" t="s">
        <v>291</v>
      </c>
    </row>
    <row r="288" spans="1:15" ht="75" x14ac:dyDescent="0.25">
      <c r="A288" s="1" t="s">
        <v>298</v>
      </c>
      <c r="B288" s="1" t="s">
        <v>299</v>
      </c>
      <c r="C288" s="1" t="s">
        <v>536</v>
      </c>
      <c r="D288" s="1">
        <v>44058</v>
      </c>
      <c r="E288" s="1">
        <v>2390</v>
      </c>
      <c r="F288" s="1" t="s">
        <v>551</v>
      </c>
      <c r="G288" s="1" t="s">
        <v>550</v>
      </c>
      <c r="H288" s="1" t="s">
        <v>141</v>
      </c>
      <c r="I288" s="1" t="s">
        <v>63</v>
      </c>
      <c r="J288" s="1">
        <v>1</v>
      </c>
      <c r="K288" s="1" t="s">
        <v>142</v>
      </c>
      <c r="L288" s="1" t="s">
        <v>177</v>
      </c>
      <c r="M288" s="1" t="s">
        <v>28</v>
      </c>
      <c r="N288" s="1" t="str">
        <f>HYPERLINK("https://klocwork.india.ti.com:443/review/insight-review.html#issuedetails_goto:problemid=44058,project=MCU_PLUS_SDK_AM263X,searchquery=taxonomy:'C and C++' build:Build_Apr_13_2023_11_11_AM grouping:off ","KW Issue Link")</f>
        <v>KW Issue Link</v>
      </c>
      <c r="O288" s="1" t="s">
        <v>291</v>
      </c>
    </row>
    <row r="289" spans="1:15" ht="60" x14ac:dyDescent="0.25">
      <c r="A289" s="1" t="s">
        <v>298</v>
      </c>
      <c r="B289" s="1" t="s">
        <v>299</v>
      </c>
      <c r="C289" s="1" t="s">
        <v>552</v>
      </c>
      <c r="D289" s="1">
        <v>44123</v>
      </c>
      <c r="E289" s="1">
        <v>321</v>
      </c>
      <c r="F289" s="1" t="s">
        <v>553</v>
      </c>
      <c r="G289" s="1" t="s">
        <v>554</v>
      </c>
      <c r="H289" s="1" t="s">
        <v>141</v>
      </c>
      <c r="I289" s="1" t="s">
        <v>63</v>
      </c>
      <c r="J289" s="1">
        <v>1</v>
      </c>
      <c r="K289" s="1" t="s">
        <v>142</v>
      </c>
      <c r="L289" s="1" t="s">
        <v>177</v>
      </c>
      <c r="M289" s="1" t="s">
        <v>28</v>
      </c>
      <c r="N289" s="1" t="str">
        <f>HYPERLINK("https://klocwork.india.ti.com:443/review/insight-review.html#issuedetails_goto:problemid=44123,project=MCU_PLUS_SDK_AM263X,searchquery=taxonomy:'C and C++' build:Build_Apr_13_2023_11_11_AM grouping:off ","KW Issue Link")</f>
        <v>KW Issue Link</v>
      </c>
      <c r="O289" s="1" t="s">
        <v>291</v>
      </c>
    </row>
    <row r="290" spans="1:15" ht="75" x14ac:dyDescent="0.25">
      <c r="A290" s="1" t="s">
        <v>302</v>
      </c>
      <c r="B290" s="1" t="s">
        <v>299</v>
      </c>
      <c r="C290" s="1" t="s">
        <v>555</v>
      </c>
      <c r="D290" s="1">
        <v>44888</v>
      </c>
      <c r="E290" s="1">
        <v>294</v>
      </c>
      <c r="F290" s="1" t="s">
        <v>556</v>
      </c>
      <c r="G290" s="1" t="s">
        <v>557</v>
      </c>
      <c r="H290" s="1" t="s">
        <v>141</v>
      </c>
      <c r="I290" s="1" t="s">
        <v>63</v>
      </c>
      <c r="J290" s="1">
        <v>1</v>
      </c>
      <c r="K290" s="1" t="s">
        <v>142</v>
      </c>
      <c r="L290" s="1" t="s">
        <v>177</v>
      </c>
      <c r="M290" s="1" t="s">
        <v>28</v>
      </c>
      <c r="N290" s="1" t="str">
        <f>HYPERLINK("https://klocwork.india.ti.com:443/review/insight-review.html#issuedetails_goto:problemid=44888,project=MCU_PLUS_SDK_AM263X,searchquery=taxonomy:'C and C++' build:Build_Apr_13_2023_11_11_AM grouping:off ","KW Issue Link")</f>
        <v>KW Issue Link</v>
      </c>
      <c r="O290" s="1" t="s">
        <v>291</v>
      </c>
    </row>
    <row r="291" spans="1:15" ht="75" x14ac:dyDescent="0.25">
      <c r="A291" s="1" t="s">
        <v>302</v>
      </c>
      <c r="B291" s="1" t="s">
        <v>299</v>
      </c>
      <c r="C291" s="1" t="s">
        <v>555</v>
      </c>
      <c r="D291" s="1">
        <v>44889</v>
      </c>
      <c r="E291" s="1">
        <v>442</v>
      </c>
      <c r="F291" s="1" t="s">
        <v>558</v>
      </c>
      <c r="G291" s="1" t="s">
        <v>559</v>
      </c>
      <c r="H291" s="1" t="s">
        <v>141</v>
      </c>
      <c r="I291" s="1" t="s">
        <v>63</v>
      </c>
      <c r="J291" s="1">
        <v>1</v>
      </c>
      <c r="K291" s="1" t="s">
        <v>142</v>
      </c>
      <c r="L291" s="1" t="s">
        <v>177</v>
      </c>
      <c r="M291" s="1" t="s">
        <v>28</v>
      </c>
      <c r="N291" s="1" t="str">
        <f>HYPERLINK("https://klocwork.india.ti.com:443/review/insight-review.html#issuedetails_goto:problemid=44889,project=MCU_PLUS_SDK_AM263X,searchquery=taxonomy:'C and C++' build:Build_Apr_13_2023_11_11_AM grouping:off ","KW Issue Link")</f>
        <v>KW Issue Link</v>
      </c>
      <c r="O291" s="1" t="s">
        <v>291</v>
      </c>
    </row>
    <row r="292" spans="1:15" ht="75" x14ac:dyDescent="0.25">
      <c r="A292" s="1" t="s">
        <v>302</v>
      </c>
      <c r="B292" s="1" t="s">
        <v>299</v>
      </c>
      <c r="C292" s="1" t="s">
        <v>555</v>
      </c>
      <c r="D292" s="1">
        <v>44890</v>
      </c>
      <c r="E292" s="1">
        <v>1354</v>
      </c>
      <c r="F292" s="1" t="s">
        <v>560</v>
      </c>
      <c r="G292" s="1" t="s">
        <v>561</v>
      </c>
      <c r="H292" s="1" t="s">
        <v>141</v>
      </c>
      <c r="I292" s="1" t="s">
        <v>63</v>
      </c>
      <c r="J292" s="1">
        <v>1</v>
      </c>
      <c r="K292" s="1" t="s">
        <v>142</v>
      </c>
      <c r="L292" s="1" t="s">
        <v>177</v>
      </c>
      <c r="M292" s="1" t="s">
        <v>28</v>
      </c>
      <c r="N292" s="1" t="str">
        <f>HYPERLINK("https://klocwork.india.ti.com:443/review/insight-review.html#issuedetails_goto:problemid=44890,project=MCU_PLUS_SDK_AM263X,searchquery=taxonomy:'C and C++' build:Build_Apr_13_2023_11_11_AM grouping:off ","KW Issue Link")</f>
        <v>KW Issue Link</v>
      </c>
      <c r="O292" s="1" t="s">
        <v>291</v>
      </c>
    </row>
    <row r="293" spans="1:15" ht="75" x14ac:dyDescent="0.25">
      <c r="A293" s="1" t="s">
        <v>298</v>
      </c>
      <c r="B293" s="1" t="s">
        <v>299</v>
      </c>
      <c r="C293" s="1" t="s">
        <v>555</v>
      </c>
      <c r="D293" s="1">
        <v>44891</v>
      </c>
      <c r="E293" s="1">
        <v>322</v>
      </c>
      <c r="F293" s="1" t="s">
        <v>562</v>
      </c>
      <c r="G293" s="1" t="s">
        <v>563</v>
      </c>
      <c r="H293" s="1" t="s">
        <v>141</v>
      </c>
      <c r="I293" s="1" t="s">
        <v>63</v>
      </c>
      <c r="J293" s="1">
        <v>1</v>
      </c>
      <c r="K293" s="1" t="s">
        <v>142</v>
      </c>
      <c r="L293" s="1" t="s">
        <v>177</v>
      </c>
      <c r="M293" s="1" t="s">
        <v>28</v>
      </c>
      <c r="N293" s="1" t="str">
        <f>HYPERLINK("https://klocwork.india.ti.com:443/review/insight-review.html#issuedetails_goto:problemid=44891,project=MCU_PLUS_SDK_AM263X,searchquery=taxonomy:'C and C++' build:Build_Apr_13_2023_11_11_AM grouping:off ","KW Issue Link")</f>
        <v>KW Issue Link</v>
      </c>
      <c r="O293" s="1" t="s">
        <v>291</v>
      </c>
    </row>
    <row r="294" spans="1:15" ht="75" x14ac:dyDescent="0.25">
      <c r="A294" s="1" t="s">
        <v>298</v>
      </c>
      <c r="B294" s="1" t="s">
        <v>299</v>
      </c>
      <c r="C294" s="1" t="s">
        <v>555</v>
      </c>
      <c r="D294" s="1">
        <v>44892</v>
      </c>
      <c r="E294" s="1">
        <v>361</v>
      </c>
      <c r="F294" s="1" t="s">
        <v>564</v>
      </c>
      <c r="G294" s="1" t="s">
        <v>565</v>
      </c>
      <c r="H294" s="1" t="s">
        <v>141</v>
      </c>
      <c r="I294" s="1" t="s">
        <v>63</v>
      </c>
      <c r="J294" s="1">
        <v>1</v>
      </c>
      <c r="K294" s="1" t="s">
        <v>142</v>
      </c>
      <c r="L294" s="1" t="s">
        <v>177</v>
      </c>
      <c r="M294" s="1" t="s">
        <v>28</v>
      </c>
      <c r="N294" s="1" t="str">
        <f>HYPERLINK("https://klocwork.india.ti.com:443/review/insight-review.html#issuedetails_goto:problemid=44892,project=MCU_PLUS_SDK_AM263X,searchquery=taxonomy:'C and C++' build:Build_Apr_13_2023_11_11_AM grouping:off ","KW Issue Link")</f>
        <v>KW Issue Link</v>
      </c>
      <c r="O294" s="1" t="s">
        <v>291</v>
      </c>
    </row>
    <row r="295" spans="1:15" ht="75" x14ac:dyDescent="0.25">
      <c r="A295" s="1" t="s">
        <v>298</v>
      </c>
      <c r="B295" s="1" t="s">
        <v>299</v>
      </c>
      <c r="C295" s="1" t="s">
        <v>555</v>
      </c>
      <c r="D295" s="1">
        <v>44893</v>
      </c>
      <c r="E295" s="1">
        <v>395</v>
      </c>
      <c r="F295" s="1" t="s">
        <v>566</v>
      </c>
      <c r="G295" s="1" t="s">
        <v>567</v>
      </c>
      <c r="H295" s="1" t="s">
        <v>141</v>
      </c>
      <c r="I295" s="1" t="s">
        <v>63</v>
      </c>
      <c r="J295" s="1">
        <v>1</v>
      </c>
      <c r="K295" s="1" t="s">
        <v>142</v>
      </c>
      <c r="L295" s="1" t="s">
        <v>177</v>
      </c>
      <c r="M295" s="1" t="s">
        <v>28</v>
      </c>
      <c r="N295" s="1" t="str">
        <f>HYPERLINK("https://klocwork.india.ti.com:443/review/insight-review.html#issuedetails_goto:problemid=44893,project=MCU_PLUS_SDK_AM263X,searchquery=taxonomy:'C and C++' build:Build_Apr_13_2023_11_11_AM grouping:off ","KW Issue Link")</f>
        <v>KW Issue Link</v>
      </c>
      <c r="O295" s="1" t="s">
        <v>291</v>
      </c>
    </row>
    <row r="296" spans="1:15" ht="75" x14ac:dyDescent="0.25">
      <c r="A296" s="1" t="s">
        <v>298</v>
      </c>
      <c r="B296" s="1" t="s">
        <v>299</v>
      </c>
      <c r="C296" s="1" t="s">
        <v>555</v>
      </c>
      <c r="D296" s="1">
        <v>44894</v>
      </c>
      <c r="E296" s="1">
        <v>424</v>
      </c>
      <c r="F296" s="1" t="s">
        <v>568</v>
      </c>
      <c r="G296" s="1" t="s">
        <v>569</v>
      </c>
      <c r="H296" s="1" t="s">
        <v>141</v>
      </c>
      <c r="I296" s="1" t="s">
        <v>63</v>
      </c>
      <c r="J296" s="1">
        <v>1</v>
      </c>
      <c r="K296" s="1" t="s">
        <v>142</v>
      </c>
      <c r="L296" s="1" t="s">
        <v>177</v>
      </c>
      <c r="M296" s="1" t="s">
        <v>28</v>
      </c>
      <c r="N296" s="1" t="str">
        <f>HYPERLINK("https://klocwork.india.ti.com:443/review/insight-review.html#issuedetails_goto:problemid=44894,project=MCU_PLUS_SDK_AM263X,searchquery=taxonomy:'C and C++' build:Build_Apr_13_2023_11_11_AM grouping:off ","KW Issue Link")</f>
        <v>KW Issue Link</v>
      </c>
      <c r="O296" s="1" t="s">
        <v>291</v>
      </c>
    </row>
    <row r="297" spans="1:15" ht="75" x14ac:dyDescent="0.25">
      <c r="A297" s="1" t="s">
        <v>298</v>
      </c>
      <c r="B297" s="1" t="s">
        <v>299</v>
      </c>
      <c r="C297" s="1" t="s">
        <v>555</v>
      </c>
      <c r="D297" s="1">
        <v>44895</v>
      </c>
      <c r="E297" s="1">
        <v>527</v>
      </c>
      <c r="F297" s="1" t="s">
        <v>570</v>
      </c>
      <c r="G297" s="1" t="s">
        <v>571</v>
      </c>
      <c r="H297" s="1" t="s">
        <v>141</v>
      </c>
      <c r="I297" s="1" t="s">
        <v>63</v>
      </c>
      <c r="J297" s="1">
        <v>1</v>
      </c>
      <c r="K297" s="1" t="s">
        <v>142</v>
      </c>
      <c r="L297" s="1" t="s">
        <v>177</v>
      </c>
      <c r="M297" s="1" t="s">
        <v>28</v>
      </c>
      <c r="N297" s="1" t="str">
        <f>HYPERLINK("https://klocwork.india.ti.com:443/review/insight-review.html#issuedetails_goto:problemid=44895,project=MCU_PLUS_SDK_AM263X,searchquery=taxonomy:'C and C++' build:Build_Apr_13_2023_11_11_AM grouping:off ","KW Issue Link")</f>
        <v>KW Issue Link</v>
      </c>
      <c r="O297" s="1" t="s">
        <v>291</v>
      </c>
    </row>
    <row r="298" spans="1:15" ht="75" x14ac:dyDescent="0.25">
      <c r="A298" s="1" t="s">
        <v>298</v>
      </c>
      <c r="B298" s="1" t="s">
        <v>299</v>
      </c>
      <c r="C298" s="1" t="s">
        <v>555</v>
      </c>
      <c r="D298" s="1">
        <v>44896</v>
      </c>
      <c r="E298" s="1">
        <v>542</v>
      </c>
      <c r="F298" s="1" t="s">
        <v>572</v>
      </c>
      <c r="G298" s="1" t="s">
        <v>573</v>
      </c>
      <c r="H298" s="1" t="s">
        <v>141</v>
      </c>
      <c r="I298" s="1" t="s">
        <v>63</v>
      </c>
      <c r="J298" s="1">
        <v>1</v>
      </c>
      <c r="K298" s="1" t="s">
        <v>142</v>
      </c>
      <c r="L298" s="1" t="s">
        <v>177</v>
      </c>
      <c r="M298" s="1" t="s">
        <v>28</v>
      </c>
      <c r="N298" s="1" t="str">
        <f>HYPERLINK("https://klocwork.india.ti.com:443/review/insight-review.html#issuedetails_goto:problemid=44896,project=MCU_PLUS_SDK_AM263X,searchquery=taxonomy:'C and C++' build:Build_Apr_13_2023_11_11_AM grouping:off ","KW Issue Link")</f>
        <v>KW Issue Link</v>
      </c>
      <c r="O298" s="1" t="s">
        <v>291</v>
      </c>
    </row>
    <row r="299" spans="1:15" ht="75" x14ac:dyDescent="0.25">
      <c r="A299" s="1" t="s">
        <v>298</v>
      </c>
      <c r="B299" s="1" t="s">
        <v>299</v>
      </c>
      <c r="C299" s="1" t="s">
        <v>555</v>
      </c>
      <c r="D299" s="1">
        <v>44897</v>
      </c>
      <c r="E299" s="1">
        <v>582</v>
      </c>
      <c r="F299" s="1" t="s">
        <v>574</v>
      </c>
      <c r="G299" s="1" t="s">
        <v>575</v>
      </c>
      <c r="H299" s="1" t="s">
        <v>141</v>
      </c>
      <c r="I299" s="1" t="s">
        <v>63</v>
      </c>
      <c r="J299" s="1">
        <v>1</v>
      </c>
      <c r="K299" s="1" t="s">
        <v>142</v>
      </c>
      <c r="L299" s="1" t="s">
        <v>177</v>
      </c>
      <c r="M299" s="1" t="s">
        <v>28</v>
      </c>
      <c r="N299" s="1" t="str">
        <f>HYPERLINK("https://klocwork.india.ti.com:443/review/insight-review.html#issuedetails_goto:problemid=44897,project=MCU_PLUS_SDK_AM263X,searchquery=taxonomy:'C and C++' build:Build_Apr_13_2023_11_11_AM grouping:off ","KW Issue Link")</f>
        <v>KW Issue Link</v>
      </c>
      <c r="O299" s="1" t="s">
        <v>291</v>
      </c>
    </row>
    <row r="300" spans="1:15" ht="75" x14ac:dyDescent="0.25">
      <c r="A300" s="1" t="s">
        <v>298</v>
      </c>
      <c r="B300" s="1" t="s">
        <v>299</v>
      </c>
      <c r="C300" s="1" t="s">
        <v>555</v>
      </c>
      <c r="D300" s="1">
        <v>44898</v>
      </c>
      <c r="E300" s="1">
        <v>936</v>
      </c>
      <c r="F300" s="1" t="s">
        <v>576</v>
      </c>
      <c r="G300" s="1" t="s">
        <v>577</v>
      </c>
      <c r="H300" s="1" t="s">
        <v>141</v>
      </c>
      <c r="I300" s="1" t="s">
        <v>63</v>
      </c>
      <c r="J300" s="1">
        <v>1</v>
      </c>
      <c r="K300" s="1" t="s">
        <v>142</v>
      </c>
      <c r="L300" s="1" t="s">
        <v>177</v>
      </c>
      <c r="M300" s="1" t="s">
        <v>28</v>
      </c>
      <c r="N300" s="1" t="str">
        <f>HYPERLINK("https://klocwork.india.ti.com:443/review/insight-review.html#issuedetails_goto:problemid=44898,project=MCU_PLUS_SDK_AM263X,searchquery=taxonomy:'C and C++' build:Build_Apr_13_2023_11_11_AM grouping:off ","KW Issue Link")</f>
        <v>KW Issue Link</v>
      </c>
      <c r="O300" s="1" t="s">
        <v>291</v>
      </c>
    </row>
    <row r="301" spans="1:15" ht="75" x14ac:dyDescent="0.25">
      <c r="A301" s="1" t="s">
        <v>298</v>
      </c>
      <c r="B301" s="1" t="s">
        <v>299</v>
      </c>
      <c r="C301" s="1" t="s">
        <v>555</v>
      </c>
      <c r="D301" s="1">
        <v>44899</v>
      </c>
      <c r="E301" s="1">
        <v>1016</v>
      </c>
      <c r="F301" s="1" t="s">
        <v>578</v>
      </c>
      <c r="G301" s="1" t="s">
        <v>579</v>
      </c>
      <c r="H301" s="1" t="s">
        <v>141</v>
      </c>
      <c r="I301" s="1" t="s">
        <v>63</v>
      </c>
      <c r="J301" s="1">
        <v>1</v>
      </c>
      <c r="K301" s="1" t="s">
        <v>142</v>
      </c>
      <c r="L301" s="1" t="s">
        <v>177</v>
      </c>
      <c r="M301" s="1" t="s">
        <v>28</v>
      </c>
      <c r="N301" s="1" t="str">
        <f>HYPERLINK("https://klocwork.india.ti.com:443/review/insight-review.html#issuedetails_goto:problemid=44899,project=MCU_PLUS_SDK_AM263X,searchquery=taxonomy:'C and C++' build:Build_Apr_13_2023_11_11_AM grouping:off ","KW Issue Link")</f>
        <v>KW Issue Link</v>
      </c>
      <c r="O301" s="1" t="s">
        <v>291</v>
      </c>
    </row>
    <row r="302" spans="1:15" ht="75" x14ac:dyDescent="0.25">
      <c r="A302" s="1" t="s">
        <v>298</v>
      </c>
      <c r="B302" s="1" t="s">
        <v>299</v>
      </c>
      <c r="C302" s="1" t="s">
        <v>555</v>
      </c>
      <c r="D302" s="1">
        <v>44900</v>
      </c>
      <c r="E302" s="1">
        <v>1243</v>
      </c>
      <c r="F302" s="1" t="s">
        <v>580</v>
      </c>
      <c r="G302" s="1" t="s">
        <v>581</v>
      </c>
      <c r="H302" s="1" t="s">
        <v>141</v>
      </c>
      <c r="I302" s="1" t="s">
        <v>63</v>
      </c>
      <c r="J302" s="1">
        <v>1</v>
      </c>
      <c r="K302" s="1" t="s">
        <v>142</v>
      </c>
      <c r="L302" s="1" t="s">
        <v>177</v>
      </c>
      <c r="M302" s="1" t="s">
        <v>28</v>
      </c>
      <c r="N302" s="1" t="str">
        <f>HYPERLINK("https://klocwork.india.ti.com:443/review/insight-review.html#issuedetails_goto:problemid=44900,project=MCU_PLUS_SDK_AM263X,searchquery=taxonomy:'C and C++' build:Build_Apr_13_2023_11_11_AM grouping:off ","KW Issue Link")</f>
        <v>KW Issue Link</v>
      </c>
      <c r="O302" s="1" t="s">
        <v>291</v>
      </c>
    </row>
    <row r="303" spans="1:15" ht="75" x14ac:dyDescent="0.25">
      <c r="A303" s="1" t="s">
        <v>298</v>
      </c>
      <c r="B303" s="1" t="s">
        <v>299</v>
      </c>
      <c r="C303" s="1" t="s">
        <v>555</v>
      </c>
      <c r="D303" s="1">
        <v>44901</v>
      </c>
      <c r="E303" s="1">
        <v>1298</v>
      </c>
      <c r="F303" s="1" t="s">
        <v>582</v>
      </c>
      <c r="G303" s="1" t="s">
        <v>561</v>
      </c>
      <c r="H303" s="1" t="s">
        <v>141</v>
      </c>
      <c r="I303" s="1" t="s">
        <v>63</v>
      </c>
      <c r="J303" s="1">
        <v>1</v>
      </c>
      <c r="K303" s="1" t="s">
        <v>142</v>
      </c>
      <c r="L303" s="1" t="s">
        <v>177</v>
      </c>
      <c r="M303" s="1" t="s">
        <v>28</v>
      </c>
      <c r="N303" s="1" t="str">
        <f>HYPERLINK("https://klocwork.india.ti.com:443/review/insight-review.html#issuedetails_goto:problemid=44901,project=MCU_PLUS_SDK_AM263X,searchquery=taxonomy:'C and C++' build:Build_Apr_13_2023_11_11_AM grouping:off ","KW Issue Link")</f>
        <v>KW Issue Link</v>
      </c>
      <c r="O303" s="1" t="s">
        <v>291</v>
      </c>
    </row>
    <row r="304" spans="1:15" ht="75" x14ac:dyDescent="0.25">
      <c r="A304" s="1" t="s">
        <v>298</v>
      </c>
      <c r="B304" s="1" t="s">
        <v>299</v>
      </c>
      <c r="C304" s="1" t="s">
        <v>555</v>
      </c>
      <c r="D304" s="1">
        <v>44902</v>
      </c>
      <c r="E304" s="1">
        <v>1300</v>
      </c>
      <c r="F304" s="1" t="s">
        <v>583</v>
      </c>
      <c r="G304" s="1" t="s">
        <v>561</v>
      </c>
      <c r="H304" s="1" t="s">
        <v>141</v>
      </c>
      <c r="I304" s="1" t="s">
        <v>63</v>
      </c>
      <c r="J304" s="1">
        <v>1</v>
      </c>
      <c r="K304" s="1" t="s">
        <v>142</v>
      </c>
      <c r="L304" s="1" t="s">
        <v>177</v>
      </c>
      <c r="M304" s="1" t="s">
        <v>28</v>
      </c>
      <c r="N304" s="1" t="str">
        <f>HYPERLINK("https://klocwork.india.ti.com:443/review/insight-review.html#issuedetails_goto:problemid=44902,project=MCU_PLUS_SDK_AM263X,searchquery=taxonomy:'C and C++' build:Build_Apr_13_2023_11_11_AM grouping:off ","KW Issue Link")</f>
        <v>KW Issue Link</v>
      </c>
      <c r="O304" s="1" t="s">
        <v>291</v>
      </c>
    </row>
    <row r="305" spans="1:15" ht="120" x14ac:dyDescent="0.25">
      <c r="A305" s="1" t="s">
        <v>190</v>
      </c>
      <c r="B305" s="1" t="s">
        <v>299</v>
      </c>
      <c r="C305" s="1" t="s">
        <v>584</v>
      </c>
      <c r="D305" s="1">
        <v>44955</v>
      </c>
      <c r="E305" s="1">
        <v>118</v>
      </c>
      <c r="F305" s="1" t="s">
        <v>585</v>
      </c>
      <c r="G305" s="1" t="s">
        <v>586</v>
      </c>
      <c r="H305" s="1" t="s">
        <v>141</v>
      </c>
      <c r="I305" s="1" t="s">
        <v>63</v>
      </c>
      <c r="J305" s="1">
        <v>1</v>
      </c>
      <c r="K305" s="1" t="s">
        <v>142</v>
      </c>
      <c r="L305" s="1" t="s">
        <v>177</v>
      </c>
      <c r="M305" s="1" t="s">
        <v>28</v>
      </c>
      <c r="N305" s="1" t="str">
        <f>HYPERLINK("https://klocwork.india.ti.com:443/review/insight-review.html#issuedetails_goto:problemid=44955,project=MCU_PLUS_SDK_AM263X,searchquery=taxonomy:'C and C++' build:Build_Apr_13_2023_11_11_AM grouping:off ","KW Issue Link")</f>
        <v>KW Issue Link</v>
      </c>
      <c r="O305" s="1" t="s">
        <v>353</v>
      </c>
    </row>
    <row r="306" spans="1:15" ht="60" x14ac:dyDescent="0.25">
      <c r="A306" s="1" t="s">
        <v>136</v>
      </c>
      <c r="B306" s="1"/>
      <c r="C306" s="1" t="s">
        <v>587</v>
      </c>
      <c r="D306" s="1">
        <v>45165</v>
      </c>
      <c r="E306" s="1">
        <v>302</v>
      </c>
      <c r="F306" s="1" t="s">
        <v>588</v>
      </c>
      <c r="G306" s="1" t="s">
        <v>589</v>
      </c>
      <c r="H306" s="1" t="s">
        <v>141</v>
      </c>
      <c r="I306" s="1" t="s">
        <v>66</v>
      </c>
      <c r="J306" s="1">
        <v>4</v>
      </c>
      <c r="K306" s="1" t="s">
        <v>142</v>
      </c>
      <c r="L306" s="1" t="s">
        <v>153</v>
      </c>
      <c r="M306" s="1" t="s">
        <v>28</v>
      </c>
      <c r="N306" s="1" t="str">
        <f>HYPERLINK("https://klocwork.india.ti.com:443/review/insight-review.html#issuedetails_goto:problemid=45165,project=MCU_PLUS_SDK_AM263X,searchquery=taxonomy:'C and C++' build:Build_Apr_13_2023_11_11_AM grouping:off ","KW Issue Link")</f>
        <v>KW Issue Link</v>
      </c>
      <c r="O306" s="1" t="s">
        <v>291</v>
      </c>
    </row>
    <row r="307" spans="1:15" ht="60" x14ac:dyDescent="0.25">
      <c r="A307" s="1" t="s">
        <v>298</v>
      </c>
      <c r="B307" s="1" t="s">
        <v>299</v>
      </c>
      <c r="C307" s="1" t="s">
        <v>590</v>
      </c>
      <c r="D307" s="1">
        <v>45358</v>
      </c>
      <c r="E307" s="1">
        <v>225</v>
      </c>
      <c r="F307" s="1" t="s">
        <v>591</v>
      </c>
      <c r="G307" s="1" t="s">
        <v>592</v>
      </c>
      <c r="H307" s="1" t="s">
        <v>141</v>
      </c>
      <c r="I307" s="1" t="s">
        <v>63</v>
      </c>
      <c r="J307" s="1">
        <v>1</v>
      </c>
      <c r="K307" s="1" t="s">
        <v>142</v>
      </c>
      <c r="L307" s="1" t="s">
        <v>177</v>
      </c>
      <c r="M307" s="1" t="s">
        <v>28</v>
      </c>
      <c r="N307" s="1" t="str">
        <f>HYPERLINK("https://klocwork.india.ti.com:443/review/insight-review.html#issuedetails_goto:problemid=45358,project=MCU_PLUS_SDK_AM263X,searchquery=taxonomy:'C and C++' build:Build_Apr_13_2023_11_11_AM grouping:off ","KW Issue Link")</f>
        <v>KW Issue Link</v>
      </c>
      <c r="O307" s="1" t="s">
        <v>291</v>
      </c>
    </row>
    <row r="308" spans="1:15" ht="60" x14ac:dyDescent="0.25">
      <c r="A308" s="1" t="s">
        <v>298</v>
      </c>
      <c r="B308" s="1" t="s">
        <v>299</v>
      </c>
      <c r="C308" s="1" t="s">
        <v>590</v>
      </c>
      <c r="D308" s="1">
        <v>45359</v>
      </c>
      <c r="E308" s="1">
        <v>226</v>
      </c>
      <c r="F308" s="1" t="s">
        <v>593</v>
      </c>
      <c r="G308" s="1" t="s">
        <v>592</v>
      </c>
      <c r="H308" s="1" t="s">
        <v>141</v>
      </c>
      <c r="I308" s="1" t="s">
        <v>63</v>
      </c>
      <c r="J308" s="1">
        <v>1</v>
      </c>
      <c r="K308" s="1" t="s">
        <v>142</v>
      </c>
      <c r="L308" s="1" t="s">
        <v>177</v>
      </c>
      <c r="M308" s="1" t="s">
        <v>28</v>
      </c>
      <c r="N308" s="1" t="str">
        <f>HYPERLINK("https://klocwork.india.ti.com:443/review/insight-review.html#issuedetails_goto:problemid=45359,project=MCU_PLUS_SDK_AM263X,searchquery=taxonomy:'C and C++' build:Build_Apr_13_2023_11_11_AM grouping:off ","KW Issue Link")</f>
        <v>KW Issue Link</v>
      </c>
      <c r="O308" s="1" t="s">
        <v>291</v>
      </c>
    </row>
    <row r="309" spans="1:15" ht="60" x14ac:dyDescent="0.25">
      <c r="A309" s="1" t="s">
        <v>298</v>
      </c>
      <c r="B309" s="1" t="s">
        <v>299</v>
      </c>
      <c r="C309" s="1" t="s">
        <v>590</v>
      </c>
      <c r="D309" s="1">
        <v>45360</v>
      </c>
      <c r="E309" s="1">
        <v>229</v>
      </c>
      <c r="F309" s="1" t="s">
        <v>594</v>
      </c>
      <c r="G309" s="1" t="s">
        <v>592</v>
      </c>
      <c r="H309" s="1" t="s">
        <v>141</v>
      </c>
      <c r="I309" s="1" t="s">
        <v>63</v>
      </c>
      <c r="J309" s="1">
        <v>1</v>
      </c>
      <c r="K309" s="1" t="s">
        <v>142</v>
      </c>
      <c r="L309" s="1" t="s">
        <v>177</v>
      </c>
      <c r="M309" s="1" t="s">
        <v>28</v>
      </c>
      <c r="N309" s="1" t="str">
        <f>HYPERLINK("https://klocwork.india.ti.com:443/review/insight-review.html#issuedetails_goto:problemid=45360,project=MCU_PLUS_SDK_AM263X,searchquery=taxonomy:'C and C++' build:Build_Apr_13_2023_11_11_AM grouping:off ","KW Issue Link")</f>
        <v>KW Issue Link</v>
      </c>
      <c r="O309" s="1" t="s">
        <v>291</v>
      </c>
    </row>
    <row r="310" spans="1:15" ht="60" x14ac:dyDescent="0.25">
      <c r="A310" s="1" t="s">
        <v>298</v>
      </c>
      <c r="B310" s="1" t="s">
        <v>299</v>
      </c>
      <c r="C310" s="1" t="s">
        <v>590</v>
      </c>
      <c r="D310" s="1">
        <v>45361</v>
      </c>
      <c r="E310" s="1">
        <v>463</v>
      </c>
      <c r="F310" s="1" t="s">
        <v>595</v>
      </c>
      <c r="G310" s="1" t="s">
        <v>596</v>
      </c>
      <c r="H310" s="1" t="s">
        <v>141</v>
      </c>
      <c r="I310" s="1" t="s">
        <v>63</v>
      </c>
      <c r="J310" s="1">
        <v>1</v>
      </c>
      <c r="K310" s="1" t="s">
        <v>142</v>
      </c>
      <c r="L310" s="1" t="s">
        <v>177</v>
      </c>
      <c r="M310" s="1" t="s">
        <v>28</v>
      </c>
      <c r="N310" s="1" t="str">
        <f>HYPERLINK("https://klocwork.india.ti.com:443/review/insight-review.html#issuedetails_goto:problemid=45361,project=MCU_PLUS_SDK_AM263X,searchquery=taxonomy:'C and C++' build:Build_Apr_13_2023_11_11_AM grouping:off ","KW Issue Link")</f>
        <v>KW Issue Link</v>
      </c>
      <c r="O310" s="1" t="s">
        <v>291</v>
      </c>
    </row>
    <row r="311" spans="1:15" ht="75" x14ac:dyDescent="0.25">
      <c r="A311" s="1" t="s">
        <v>298</v>
      </c>
      <c r="B311" s="1" t="s">
        <v>299</v>
      </c>
      <c r="C311" s="1" t="s">
        <v>590</v>
      </c>
      <c r="D311" s="1">
        <v>45362</v>
      </c>
      <c r="E311" s="1">
        <v>529</v>
      </c>
      <c r="F311" s="1" t="s">
        <v>597</v>
      </c>
      <c r="G311" s="1" t="s">
        <v>598</v>
      </c>
      <c r="H311" s="1" t="s">
        <v>141</v>
      </c>
      <c r="I311" s="1" t="s">
        <v>63</v>
      </c>
      <c r="J311" s="1">
        <v>1</v>
      </c>
      <c r="K311" s="1" t="s">
        <v>142</v>
      </c>
      <c r="L311" s="1" t="s">
        <v>177</v>
      </c>
      <c r="M311" s="1" t="s">
        <v>28</v>
      </c>
      <c r="N311" s="1" t="str">
        <f>HYPERLINK("https://klocwork.india.ti.com:443/review/insight-review.html#issuedetails_goto:problemid=45362,project=MCU_PLUS_SDK_AM263X,searchquery=taxonomy:'C and C++' build:Build_Apr_13_2023_11_11_AM grouping:off ","KW Issue Link")</f>
        <v>KW Issue Link</v>
      </c>
      <c r="O311" s="1" t="s">
        <v>291</v>
      </c>
    </row>
    <row r="312" spans="1:15" ht="75" x14ac:dyDescent="0.25">
      <c r="A312" s="1" t="s">
        <v>298</v>
      </c>
      <c r="B312" s="1" t="s">
        <v>299</v>
      </c>
      <c r="C312" s="1" t="s">
        <v>590</v>
      </c>
      <c r="D312" s="1">
        <v>45363</v>
      </c>
      <c r="E312" s="1">
        <v>593</v>
      </c>
      <c r="F312" s="1" t="s">
        <v>599</v>
      </c>
      <c r="G312" s="1" t="s">
        <v>600</v>
      </c>
      <c r="H312" s="1" t="s">
        <v>141</v>
      </c>
      <c r="I312" s="1" t="s">
        <v>63</v>
      </c>
      <c r="J312" s="1">
        <v>1</v>
      </c>
      <c r="K312" s="1" t="s">
        <v>142</v>
      </c>
      <c r="L312" s="1" t="s">
        <v>177</v>
      </c>
      <c r="M312" s="1" t="s">
        <v>28</v>
      </c>
      <c r="N312" s="1" t="str">
        <f>HYPERLINK("https://klocwork.india.ti.com:443/review/insight-review.html#issuedetails_goto:problemid=45363,project=MCU_PLUS_SDK_AM263X,searchquery=taxonomy:'C and C++' build:Build_Apr_13_2023_11_11_AM grouping:off ","KW Issue Link")</f>
        <v>KW Issue Link</v>
      </c>
      <c r="O312" s="1" t="s">
        <v>291</v>
      </c>
    </row>
    <row r="313" spans="1:15" ht="60" x14ac:dyDescent="0.25">
      <c r="A313" s="1" t="s">
        <v>298</v>
      </c>
      <c r="B313" s="1" t="s">
        <v>299</v>
      </c>
      <c r="C313" s="1" t="s">
        <v>590</v>
      </c>
      <c r="D313" s="1">
        <v>45364</v>
      </c>
      <c r="E313" s="1">
        <v>880</v>
      </c>
      <c r="F313" s="1" t="s">
        <v>601</v>
      </c>
      <c r="G313" s="1" t="s">
        <v>602</v>
      </c>
      <c r="H313" s="1" t="s">
        <v>141</v>
      </c>
      <c r="I313" s="1" t="s">
        <v>63</v>
      </c>
      <c r="J313" s="1">
        <v>1</v>
      </c>
      <c r="K313" s="1" t="s">
        <v>142</v>
      </c>
      <c r="L313" s="1" t="s">
        <v>177</v>
      </c>
      <c r="M313" s="1" t="s">
        <v>28</v>
      </c>
      <c r="N313" s="1" t="str">
        <f>HYPERLINK("https://klocwork.india.ti.com:443/review/insight-review.html#issuedetails_goto:problemid=45364,project=MCU_PLUS_SDK_AM263X,searchquery=taxonomy:'C and C++' build:Build_Apr_13_2023_11_11_AM grouping:off ","KW Issue Link")</f>
        <v>KW Issue Link</v>
      </c>
      <c r="O313" s="1" t="s">
        <v>291</v>
      </c>
    </row>
    <row r="314" spans="1:15" ht="75" x14ac:dyDescent="0.25">
      <c r="A314" s="1" t="s">
        <v>298</v>
      </c>
      <c r="B314" s="1" t="s">
        <v>299</v>
      </c>
      <c r="C314" s="1" t="s">
        <v>590</v>
      </c>
      <c r="D314" s="1">
        <v>45368</v>
      </c>
      <c r="E314" s="1">
        <v>1740</v>
      </c>
      <c r="F314" s="1" t="s">
        <v>603</v>
      </c>
      <c r="G314" s="1" t="s">
        <v>604</v>
      </c>
      <c r="H314" s="1" t="s">
        <v>141</v>
      </c>
      <c r="I314" s="1" t="s">
        <v>63</v>
      </c>
      <c r="J314" s="1">
        <v>1</v>
      </c>
      <c r="K314" s="1" t="s">
        <v>142</v>
      </c>
      <c r="L314" s="1" t="s">
        <v>177</v>
      </c>
      <c r="M314" s="1" t="s">
        <v>28</v>
      </c>
      <c r="N314" s="1" t="str">
        <f>HYPERLINK("https://klocwork.india.ti.com:443/review/insight-review.html#issuedetails_goto:problemid=45368,project=MCU_PLUS_SDK_AM263X,searchquery=taxonomy:'C and C++' build:Build_Apr_13_2023_11_11_AM grouping:off ","KW Issue Link")</f>
        <v>KW Issue Link</v>
      </c>
      <c r="O314" s="1" t="s">
        <v>291</v>
      </c>
    </row>
    <row r="315" spans="1:15" ht="75" x14ac:dyDescent="0.25">
      <c r="A315" s="1" t="s">
        <v>302</v>
      </c>
      <c r="B315" s="1" t="s">
        <v>299</v>
      </c>
      <c r="C315" s="1" t="s">
        <v>590</v>
      </c>
      <c r="D315" s="1">
        <v>45552</v>
      </c>
      <c r="E315" s="1">
        <v>468</v>
      </c>
      <c r="F315" s="1" t="s">
        <v>605</v>
      </c>
      <c r="G315" s="1" t="s">
        <v>596</v>
      </c>
      <c r="H315" s="1" t="s">
        <v>141</v>
      </c>
      <c r="I315" s="1" t="s">
        <v>63</v>
      </c>
      <c r="J315" s="1">
        <v>1</v>
      </c>
      <c r="K315" s="1" t="s">
        <v>142</v>
      </c>
      <c r="L315" s="1" t="s">
        <v>177</v>
      </c>
      <c r="M315" s="1" t="s">
        <v>28</v>
      </c>
      <c r="N315" s="1" t="str">
        <f>HYPERLINK("https://klocwork.india.ti.com:443/review/insight-review.html#issuedetails_goto:problemid=45552,project=MCU_PLUS_SDK_AM263X,searchquery=taxonomy:'C and C++' build:Build_Apr_13_2023_11_11_AM grouping:off ","KW Issue Link")</f>
        <v>KW Issue Link</v>
      </c>
      <c r="O315" s="1" t="s">
        <v>291</v>
      </c>
    </row>
    <row r="316" spans="1:15" ht="60" x14ac:dyDescent="0.25">
      <c r="A316" s="1" t="s">
        <v>155</v>
      </c>
      <c r="B316" s="1"/>
      <c r="C316" s="1" t="s">
        <v>590</v>
      </c>
      <c r="D316" s="1">
        <v>45561</v>
      </c>
      <c r="E316" s="1">
        <v>835</v>
      </c>
      <c r="F316" s="1" t="s">
        <v>156</v>
      </c>
      <c r="G316" s="1" t="s">
        <v>606</v>
      </c>
      <c r="H316" s="1" t="s">
        <v>141</v>
      </c>
      <c r="I316" s="1" t="s">
        <v>65</v>
      </c>
      <c r="J316" s="1">
        <v>3</v>
      </c>
      <c r="K316" s="1" t="s">
        <v>142</v>
      </c>
      <c r="L316" s="1" t="s">
        <v>153</v>
      </c>
      <c r="M316" s="1" t="s">
        <v>28</v>
      </c>
      <c r="N316" s="1" t="str">
        <f>HYPERLINK("https://klocwork.india.ti.com:443/review/insight-review.html#issuedetails_goto:problemid=45561,project=MCU_PLUS_SDK_AM263X,searchquery=taxonomy:'C and C++' build:Build_Apr_13_2023_11_11_AM grouping:off ","KW Issue Link")</f>
        <v>KW Issue Link</v>
      </c>
      <c r="O316" s="1" t="s">
        <v>291</v>
      </c>
    </row>
    <row r="317" spans="1:15" ht="60" x14ac:dyDescent="0.25">
      <c r="A317" s="1" t="s">
        <v>155</v>
      </c>
      <c r="B317" s="1"/>
      <c r="C317" s="1" t="s">
        <v>607</v>
      </c>
      <c r="D317" s="1">
        <v>45941</v>
      </c>
      <c r="E317" s="1">
        <v>295</v>
      </c>
      <c r="F317" s="1" t="s">
        <v>156</v>
      </c>
      <c r="G317" s="1" t="s">
        <v>608</v>
      </c>
      <c r="H317" s="1" t="s">
        <v>141</v>
      </c>
      <c r="I317" s="1" t="s">
        <v>65</v>
      </c>
      <c r="J317" s="1">
        <v>3</v>
      </c>
      <c r="K317" s="1" t="s">
        <v>142</v>
      </c>
      <c r="L317" s="1" t="s">
        <v>153</v>
      </c>
      <c r="M317" s="1" t="s">
        <v>28</v>
      </c>
      <c r="N317" s="1" t="str">
        <f>HYPERLINK("https://klocwork.india.ti.com:443/review/insight-review.html#issuedetails_goto:problemid=45941,project=MCU_PLUS_SDK_AM263X,searchquery=taxonomy:'C and C++' build:Build_Apr_13_2023_11_11_AM grouping:off ","KW Issue Link")</f>
        <v>KW Issue Link</v>
      </c>
      <c r="O317" s="1" t="s">
        <v>291</v>
      </c>
    </row>
    <row r="318" spans="1:15" ht="60" x14ac:dyDescent="0.25">
      <c r="A318" s="1" t="s">
        <v>155</v>
      </c>
      <c r="B318" s="1"/>
      <c r="C318" s="1" t="s">
        <v>607</v>
      </c>
      <c r="D318" s="1">
        <v>45942</v>
      </c>
      <c r="E318" s="1">
        <v>336</v>
      </c>
      <c r="F318" s="1" t="s">
        <v>156</v>
      </c>
      <c r="G318" s="1" t="s">
        <v>609</v>
      </c>
      <c r="H318" s="1" t="s">
        <v>141</v>
      </c>
      <c r="I318" s="1" t="s">
        <v>65</v>
      </c>
      <c r="J318" s="1">
        <v>3</v>
      </c>
      <c r="K318" s="1" t="s">
        <v>142</v>
      </c>
      <c r="L318" s="1" t="s">
        <v>153</v>
      </c>
      <c r="M318" s="1" t="s">
        <v>28</v>
      </c>
      <c r="N318" s="1" t="str">
        <f>HYPERLINK("https://klocwork.india.ti.com:443/review/insight-review.html#issuedetails_goto:problemid=45942,project=MCU_PLUS_SDK_AM263X,searchquery=taxonomy:'C and C++' build:Build_Apr_13_2023_11_11_AM grouping:off ","KW Issue Link")</f>
        <v>KW Issue Link</v>
      </c>
      <c r="O318" s="1" t="s">
        <v>291</v>
      </c>
    </row>
    <row r="319" spans="1:15" ht="60" x14ac:dyDescent="0.25">
      <c r="A319" s="1" t="s">
        <v>298</v>
      </c>
      <c r="B319" s="1" t="s">
        <v>299</v>
      </c>
      <c r="C319" s="1" t="s">
        <v>607</v>
      </c>
      <c r="D319" s="1">
        <v>45943</v>
      </c>
      <c r="E319" s="1">
        <v>411</v>
      </c>
      <c r="F319" s="1" t="s">
        <v>610</v>
      </c>
      <c r="G319" s="1" t="s">
        <v>611</v>
      </c>
      <c r="H319" s="1" t="s">
        <v>141</v>
      </c>
      <c r="I319" s="1" t="s">
        <v>63</v>
      </c>
      <c r="J319" s="1">
        <v>1</v>
      </c>
      <c r="K319" s="1" t="s">
        <v>142</v>
      </c>
      <c r="L319" s="1" t="s">
        <v>177</v>
      </c>
      <c r="M319" s="1" t="s">
        <v>28</v>
      </c>
      <c r="N319" s="1" t="str">
        <f>HYPERLINK("https://klocwork.india.ti.com:443/review/insight-review.html#issuedetails_goto:problemid=45943,project=MCU_PLUS_SDK_AM263X,searchquery=taxonomy:'C and C++' build:Build_Apr_13_2023_11_11_AM grouping:off ","KW Issue Link")</f>
        <v>KW Issue Link</v>
      </c>
      <c r="O319" s="1" t="s">
        <v>291</v>
      </c>
    </row>
    <row r="320" spans="1:15" ht="60" x14ac:dyDescent="0.25">
      <c r="A320" s="1" t="s">
        <v>298</v>
      </c>
      <c r="B320" s="1" t="s">
        <v>299</v>
      </c>
      <c r="C320" s="1" t="s">
        <v>607</v>
      </c>
      <c r="D320" s="1">
        <v>45944</v>
      </c>
      <c r="E320" s="1">
        <v>424</v>
      </c>
      <c r="F320" s="1" t="s">
        <v>612</v>
      </c>
      <c r="G320" s="1" t="s">
        <v>611</v>
      </c>
      <c r="H320" s="1" t="s">
        <v>141</v>
      </c>
      <c r="I320" s="1" t="s">
        <v>63</v>
      </c>
      <c r="J320" s="1">
        <v>1</v>
      </c>
      <c r="K320" s="1" t="s">
        <v>142</v>
      </c>
      <c r="L320" s="1" t="s">
        <v>177</v>
      </c>
      <c r="M320" s="1" t="s">
        <v>28</v>
      </c>
      <c r="N320" s="1" t="str">
        <f>HYPERLINK("https://klocwork.india.ti.com:443/review/insight-review.html#issuedetails_goto:problemid=45944,project=MCU_PLUS_SDK_AM263X,searchquery=taxonomy:'C and C++' build:Build_Apr_13_2023_11_11_AM grouping:off ","KW Issue Link")</f>
        <v>KW Issue Link</v>
      </c>
      <c r="O320" s="1" t="s">
        <v>291</v>
      </c>
    </row>
    <row r="321" spans="1:15" ht="60" x14ac:dyDescent="0.25">
      <c r="A321" s="1" t="s">
        <v>298</v>
      </c>
      <c r="B321" s="1" t="s">
        <v>299</v>
      </c>
      <c r="C321" s="1" t="s">
        <v>607</v>
      </c>
      <c r="D321" s="1">
        <v>45945</v>
      </c>
      <c r="E321" s="1">
        <v>448</v>
      </c>
      <c r="F321" s="1" t="s">
        <v>613</v>
      </c>
      <c r="G321" s="1" t="s">
        <v>611</v>
      </c>
      <c r="H321" s="1" t="s">
        <v>141</v>
      </c>
      <c r="I321" s="1" t="s">
        <v>63</v>
      </c>
      <c r="J321" s="1">
        <v>1</v>
      </c>
      <c r="K321" s="1" t="s">
        <v>142</v>
      </c>
      <c r="L321" s="1" t="s">
        <v>177</v>
      </c>
      <c r="M321" s="1" t="s">
        <v>28</v>
      </c>
      <c r="N321" s="1" t="str">
        <f>HYPERLINK("https://klocwork.india.ti.com:443/review/insight-review.html#issuedetails_goto:problemid=45945,project=MCU_PLUS_SDK_AM263X,searchquery=taxonomy:'C and C++' build:Build_Apr_13_2023_11_11_AM grouping:off ","KW Issue Link")</f>
        <v>KW Issue Link</v>
      </c>
      <c r="O321" s="1" t="s">
        <v>291</v>
      </c>
    </row>
    <row r="322" spans="1:15" ht="60" x14ac:dyDescent="0.25">
      <c r="A322" s="1" t="s">
        <v>298</v>
      </c>
      <c r="B322" s="1" t="s">
        <v>299</v>
      </c>
      <c r="C322" s="1" t="s">
        <v>607</v>
      </c>
      <c r="D322" s="1">
        <v>45946</v>
      </c>
      <c r="E322" s="1">
        <v>1215</v>
      </c>
      <c r="F322" s="1" t="s">
        <v>614</v>
      </c>
      <c r="G322" s="1" t="s">
        <v>615</v>
      </c>
      <c r="H322" s="1" t="s">
        <v>141</v>
      </c>
      <c r="I322" s="1" t="s">
        <v>63</v>
      </c>
      <c r="J322" s="1">
        <v>1</v>
      </c>
      <c r="K322" s="1" t="s">
        <v>142</v>
      </c>
      <c r="L322" s="1" t="s">
        <v>177</v>
      </c>
      <c r="M322" s="1" t="s">
        <v>28</v>
      </c>
      <c r="N322" s="1" t="str">
        <f>HYPERLINK("https://klocwork.india.ti.com:443/review/insight-review.html#issuedetails_goto:problemid=45946,project=MCU_PLUS_SDK_AM263X,searchquery=taxonomy:'C and C++' build:Build_Apr_13_2023_11_11_AM grouping:off ","KW Issue Link")</f>
        <v>KW Issue Link</v>
      </c>
      <c r="O322" s="1" t="s">
        <v>291</v>
      </c>
    </row>
    <row r="323" spans="1:15" ht="60" x14ac:dyDescent="0.25">
      <c r="A323" s="1" t="s">
        <v>157</v>
      </c>
      <c r="B323" s="1"/>
      <c r="C323" s="1" t="s">
        <v>607</v>
      </c>
      <c r="D323" s="1">
        <v>45988</v>
      </c>
      <c r="E323" s="1">
        <v>1207</v>
      </c>
      <c r="F323" s="1" t="s">
        <v>616</v>
      </c>
      <c r="G323" s="1" t="s">
        <v>615</v>
      </c>
      <c r="H323" s="1" t="s">
        <v>141</v>
      </c>
      <c r="I323" s="1" t="s">
        <v>65</v>
      </c>
      <c r="J323" s="1">
        <v>3</v>
      </c>
      <c r="K323" s="1" t="s">
        <v>142</v>
      </c>
      <c r="L323" s="1" t="s">
        <v>153</v>
      </c>
      <c r="M323" s="1" t="s">
        <v>28</v>
      </c>
      <c r="N323" s="1" t="str">
        <f>HYPERLINK("https://klocwork.india.ti.com:443/review/insight-review.html#issuedetails_goto:problemid=45988,project=MCU_PLUS_SDK_AM263X,searchquery=taxonomy:'C and C++' build:Build_Apr_13_2023_11_11_AM grouping:off ","KW Issue Link")</f>
        <v>KW Issue Link</v>
      </c>
      <c r="O323" s="1" t="s">
        <v>291</v>
      </c>
    </row>
    <row r="324" spans="1:15" ht="60" x14ac:dyDescent="0.25">
      <c r="A324" s="1" t="s">
        <v>157</v>
      </c>
      <c r="B324" s="1"/>
      <c r="C324" s="1" t="s">
        <v>607</v>
      </c>
      <c r="D324" s="1">
        <v>45989</v>
      </c>
      <c r="E324" s="1">
        <v>1207</v>
      </c>
      <c r="F324" s="1" t="s">
        <v>617</v>
      </c>
      <c r="G324" s="1" t="s">
        <v>615</v>
      </c>
      <c r="H324" s="1" t="s">
        <v>141</v>
      </c>
      <c r="I324" s="1" t="s">
        <v>65</v>
      </c>
      <c r="J324" s="1">
        <v>3</v>
      </c>
      <c r="K324" s="1" t="s">
        <v>142</v>
      </c>
      <c r="L324" s="1" t="s">
        <v>153</v>
      </c>
      <c r="M324" s="1" t="s">
        <v>28</v>
      </c>
      <c r="N324" s="1" t="str">
        <f>HYPERLINK("https://klocwork.india.ti.com:443/review/insight-review.html#issuedetails_goto:problemid=45989,project=MCU_PLUS_SDK_AM263X,searchquery=taxonomy:'C and C++' build:Build_Apr_13_2023_11_11_AM grouping:off ","KW Issue Link")</f>
        <v>KW Issue Link</v>
      </c>
      <c r="O324" s="1" t="s">
        <v>291</v>
      </c>
    </row>
    <row r="325" spans="1:15" ht="60" x14ac:dyDescent="0.25">
      <c r="A325" s="1" t="s">
        <v>136</v>
      </c>
      <c r="B325" s="1"/>
      <c r="C325" s="1" t="s">
        <v>618</v>
      </c>
      <c r="D325" s="1">
        <v>46263</v>
      </c>
      <c r="E325" s="1">
        <v>181</v>
      </c>
      <c r="F325" s="1" t="s">
        <v>465</v>
      </c>
      <c r="G325" s="1" t="s">
        <v>619</v>
      </c>
      <c r="H325" s="1" t="s">
        <v>141</v>
      </c>
      <c r="I325" s="1" t="s">
        <v>66</v>
      </c>
      <c r="J325" s="1">
        <v>4</v>
      </c>
      <c r="K325" s="1" t="s">
        <v>142</v>
      </c>
      <c r="L325" s="1" t="s">
        <v>153</v>
      </c>
      <c r="M325" s="1" t="s">
        <v>28</v>
      </c>
      <c r="N325" s="1" t="str">
        <f>HYPERLINK("https://klocwork.india.ti.com:443/review/insight-review.html#issuedetails_goto:problemid=46263,project=MCU_PLUS_SDK_AM263X,searchquery=taxonomy:'C and C++' build:Build_Apr_13_2023_11_11_AM grouping:off ","KW Issue Link")</f>
        <v>KW Issue Link</v>
      </c>
      <c r="O325" s="1" t="s">
        <v>291</v>
      </c>
    </row>
    <row r="326" spans="1:15" ht="60" x14ac:dyDescent="0.25">
      <c r="A326" s="1" t="s">
        <v>157</v>
      </c>
      <c r="B326" s="1"/>
      <c r="C326" s="1" t="s">
        <v>618</v>
      </c>
      <c r="D326" s="1">
        <v>46274</v>
      </c>
      <c r="E326" s="1">
        <v>359</v>
      </c>
      <c r="F326" s="1" t="s">
        <v>620</v>
      </c>
      <c r="G326" s="1" t="s">
        <v>621</v>
      </c>
      <c r="H326" s="1" t="s">
        <v>141</v>
      </c>
      <c r="I326" s="1" t="s">
        <v>65</v>
      </c>
      <c r="J326" s="1">
        <v>3</v>
      </c>
      <c r="K326" s="1" t="s">
        <v>142</v>
      </c>
      <c r="L326" s="1" t="s">
        <v>153</v>
      </c>
      <c r="M326" s="1" t="s">
        <v>28</v>
      </c>
      <c r="N326" s="1" t="str">
        <f>HYPERLINK("https://klocwork.india.ti.com:443/review/insight-review.html#issuedetails_goto:problemid=46274,project=MCU_PLUS_SDK_AM263X,searchquery=taxonomy:'C and C++' build:Build_Apr_13_2023_11_11_AM grouping:off ","KW Issue Link")</f>
        <v>KW Issue Link</v>
      </c>
      <c r="O326" s="1" t="s">
        <v>291</v>
      </c>
    </row>
    <row r="327" spans="1:15" ht="60" x14ac:dyDescent="0.25">
      <c r="A327" s="1" t="s">
        <v>157</v>
      </c>
      <c r="B327" s="1"/>
      <c r="C327" s="1" t="s">
        <v>618</v>
      </c>
      <c r="D327" s="1">
        <v>46275</v>
      </c>
      <c r="E327" s="1">
        <v>431</v>
      </c>
      <c r="F327" s="1" t="s">
        <v>620</v>
      </c>
      <c r="G327" s="1" t="s">
        <v>622</v>
      </c>
      <c r="H327" s="1" t="s">
        <v>141</v>
      </c>
      <c r="I327" s="1" t="s">
        <v>65</v>
      </c>
      <c r="J327" s="1">
        <v>3</v>
      </c>
      <c r="K327" s="1" t="s">
        <v>142</v>
      </c>
      <c r="L327" s="1" t="s">
        <v>153</v>
      </c>
      <c r="M327" s="1" t="s">
        <v>28</v>
      </c>
      <c r="N327" s="1" t="str">
        <f>HYPERLINK("https://klocwork.india.ti.com:443/review/insight-review.html#issuedetails_goto:problemid=46275,project=MCU_PLUS_SDK_AM263X,searchquery=taxonomy:'C and C++' build:Build_Apr_13_2023_11_11_AM grouping:off ","KW Issue Link")</f>
        <v>KW Issue Link</v>
      </c>
      <c r="O327" s="1" t="s">
        <v>291</v>
      </c>
    </row>
    <row r="328" spans="1:15" ht="60" x14ac:dyDescent="0.25">
      <c r="A328" s="1" t="s">
        <v>157</v>
      </c>
      <c r="B328" s="1"/>
      <c r="C328" s="1" t="s">
        <v>618</v>
      </c>
      <c r="D328" s="1">
        <v>46276</v>
      </c>
      <c r="E328" s="1">
        <v>431</v>
      </c>
      <c r="F328" s="1" t="s">
        <v>620</v>
      </c>
      <c r="G328" s="1" t="s">
        <v>622</v>
      </c>
      <c r="H328" s="1" t="s">
        <v>141</v>
      </c>
      <c r="I328" s="1" t="s">
        <v>65</v>
      </c>
      <c r="J328" s="1">
        <v>3</v>
      </c>
      <c r="K328" s="1" t="s">
        <v>142</v>
      </c>
      <c r="L328" s="1" t="s">
        <v>153</v>
      </c>
      <c r="M328" s="1" t="s">
        <v>28</v>
      </c>
      <c r="N328" s="1" t="str">
        <f>HYPERLINK("https://klocwork.india.ti.com:443/review/insight-review.html#issuedetails_goto:problemid=46276,project=MCU_PLUS_SDK_AM263X,searchquery=taxonomy:'C and C++' build:Build_Apr_13_2023_11_11_AM grouping:off ","KW Issue Link")</f>
        <v>KW Issue Link</v>
      </c>
      <c r="O328" s="1" t="s">
        <v>291</v>
      </c>
    </row>
    <row r="329" spans="1:15" ht="60" x14ac:dyDescent="0.25">
      <c r="A329" s="1" t="s">
        <v>145</v>
      </c>
      <c r="B329" s="1" t="s">
        <v>299</v>
      </c>
      <c r="C329" s="1" t="s">
        <v>623</v>
      </c>
      <c r="D329" s="1">
        <v>46380</v>
      </c>
      <c r="E329" s="1">
        <v>200</v>
      </c>
      <c r="F329" s="1" t="s">
        <v>147</v>
      </c>
      <c r="G329" s="1" t="s">
        <v>624</v>
      </c>
      <c r="H329" s="1" t="s">
        <v>141</v>
      </c>
      <c r="I329" s="1" t="s">
        <v>64</v>
      </c>
      <c r="J329" s="1">
        <v>2</v>
      </c>
      <c r="K329" s="1" t="s">
        <v>142</v>
      </c>
      <c r="L329" s="1" t="s">
        <v>177</v>
      </c>
      <c r="M329" s="1" t="s">
        <v>28</v>
      </c>
      <c r="N329" s="1" t="str">
        <f>HYPERLINK("https://klocwork.india.ti.com:443/review/insight-review.html#issuedetails_goto:problemid=46380,project=MCU_PLUS_SDK_AM263X,searchquery=taxonomy:'C and C++' build:Build_Apr_13_2023_11_11_AM grouping:off ","KW Issue Link")</f>
        <v>KW Issue Link</v>
      </c>
      <c r="O329" s="1" t="s">
        <v>353</v>
      </c>
    </row>
    <row r="330" spans="1:15" ht="60" x14ac:dyDescent="0.25">
      <c r="A330" s="1" t="s">
        <v>145</v>
      </c>
      <c r="B330" s="1" t="s">
        <v>299</v>
      </c>
      <c r="C330" s="1" t="s">
        <v>623</v>
      </c>
      <c r="D330" s="1">
        <v>46381</v>
      </c>
      <c r="E330" s="1">
        <v>263</v>
      </c>
      <c r="F330" s="1" t="s">
        <v>147</v>
      </c>
      <c r="G330" s="1" t="s">
        <v>625</v>
      </c>
      <c r="H330" s="1" t="s">
        <v>141</v>
      </c>
      <c r="I330" s="1" t="s">
        <v>64</v>
      </c>
      <c r="J330" s="1">
        <v>2</v>
      </c>
      <c r="K330" s="1" t="s">
        <v>142</v>
      </c>
      <c r="L330" s="1" t="s">
        <v>177</v>
      </c>
      <c r="M330" s="1" t="s">
        <v>28</v>
      </c>
      <c r="N330" s="1" t="str">
        <f>HYPERLINK("https://klocwork.india.ti.com:443/review/insight-review.html#issuedetails_goto:problemid=46381,project=MCU_PLUS_SDK_AM263X,searchquery=taxonomy:'C and C++' build:Build_Apr_13_2023_11_11_AM grouping:off ","KW Issue Link")</f>
        <v>KW Issue Link</v>
      </c>
      <c r="O330" s="1" t="s">
        <v>353</v>
      </c>
    </row>
    <row r="331" spans="1:15" ht="105" x14ac:dyDescent="0.25">
      <c r="A331" s="1" t="s">
        <v>149</v>
      </c>
      <c r="B331" s="1"/>
      <c r="C331" s="1" t="s">
        <v>626</v>
      </c>
      <c r="D331" s="1">
        <v>46488</v>
      </c>
      <c r="E331" s="1">
        <v>198</v>
      </c>
      <c r="F331" s="1" t="s">
        <v>627</v>
      </c>
      <c r="G331" s="1" t="s">
        <v>628</v>
      </c>
      <c r="H331" s="1" t="s">
        <v>141</v>
      </c>
      <c r="I331" s="1" t="s">
        <v>65</v>
      </c>
      <c r="J331" s="1">
        <v>3</v>
      </c>
      <c r="K331" s="1" t="s">
        <v>142</v>
      </c>
      <c r="L331" s="1" t="s">
        <v>153</v>
      </c>
      <c r="M331" s="1" t="s">
        <v>28</v>
      </c>
      <c r="N331" s="1" t="str">
        <f>HYPERLINK("https://klocwork.india.ti.com:443/review/insight-review.html#issuedetails_goto:problemid=46488,project=MCU_PLUS_SDK_AM263X,searchquery=taxonomy:'C and C++' build:Build_Apr_13_2023_11_11_AM grouping:off ","KW Issue Link")</f>
        <v>KW Issue Link</v>
      </c>
      <c r="O331" s="1" t="s">
        <v>353</v>
      </c>
    </row>
    <row r="332" spans="1:15" ht="105" x14ac:dyDescent="0.25">
      <c r="A332" s="1" t="s">
        <v>149</v>
      </c>
      <c r="B332" s="1"/>
      <c r="C332" s="1" t="s">
        <v>626</v>
      </c>
      <c r="D332" s="1">
        <v>46489</v>
      </c>
      <c r="E332" s="1">
        <v>591</v>
      </c>
      <c r="F332" s="1" t="s">
        <v>629</v>
      </c>
      <c r="G332" s="1" t="s">
        <v>630</v>
      </c>
      <c r="H332" s="1" t="s">
        <v>141</v>
      </c>
      <c r="I332" s="1" t="s">
        <v>65</v>
      </c>
      <c r="J332" s="1">
        <v>3</v>
      </c>
      <c r="K332" s="1" t="s">
        <v>142</v>
      </c>
      <c r="L332" s="1" t="s">
        <v>153</v>
      </c>
      <c r="M332" s="1" t="s">
        <v>28</v>
      </c>
      <c r="N332" s="1" t="str">
        <f>HYPERLINK("https://klocwork.india.ti.com:443/review/insight-review.html#issuedetails_goto:problemid=46489,project=MCU_PLUS_SDK_AM263X,searchquery=taxonomy:'C and C++' build:Build_Apr_13_2023_11_11_AM grouping:off ","KW Issue Link")</f>
        <v>KW Issue Link</v>
      </c>
      <c r="O332" s="1" t="s">
        <v>353</v>
      </c>
    </row>
    <row r="333" spans="1:15" ht="105" x14ac:dyDescent="0.25">
      <c r="A333" s="1" t="s">
        <v>149</v>
      </c>
      <c r="B333" s="1"/>
      <c r="C333" s="1" t="s">
        <v>626</v>
      </c>
      <c r="D333" s="1">
        <v>46490</v>
      </c>
      <c r="E333" s="1">
        <v>674</v>
      </c>
      <c r="F333" s="1" t="s">
        <v>629</v>
      </c>
      <c r="G333" s="1" t="s">
        <v>631</v>
      </c>
      <c r="H333" s="1" t="s">
        <v>141</v>
      </c>
      <c r="I333" s="1" t="s">
        <v>65</v>
      </c>
      <c r="J333" s="1">
        <v>3</v>
      </c>
      <c r="K333" s="1" t="s">
        <v>142</v>
      </c>
      <c r="L333" s="1" t="s">
        <v>153</v>
      </c>
      <c r="M333" s="1" t="s">
        <v>28</v>
      </c>
      <c r="N333" s="1" t="str">
        <f>HYPERLINK("https://klocwork.india.ti.com:443/review/insight-review.html#issuedetails_goto:problemid=46490,project=MCU_PLUS_SDK_AM263X,searchquery=taxonomy:'C and C++' build:Build_Apr_13_2023_11_11_AM grouping:off ","KW Issue Link")</f>
        <v>KW Issue Link</v>
      </c>
      <c r="O333" s="1" t="s">
        <v>353</v>
      </c>
    </row>
    <row r="334" spans="1:15" ht="105" x14ac:dyDescent="0.25">
      <c r="A334" s="1" t="s">
        <v>149</v>
      </c>
      <c r="B334" s="1"/>
      <c r="C334" s="1" t="s">
        <v>626</v>
      </c>
      <c r="D334" s="1">
        <v>46491</v>
      </c>
      <c r="E334" s="1">
        <v>757</v>
      </c>
      <c r="F334" s="1" t="s">
        <v>629</v>
      </c>
      <c r="G334" s="1" t="s">
        <v>632</v>
      </c>
      <c r="H334" s="1" t="s">
        <v>141</v>
      </c>
      <c r="I334" s="1" t="s">
        <v>65</v>
      </c>
      <c r="J334" s="1">
        <v>3</v>
      </c>
      <c r="K334" s="1" t="s">
        <v>142</v>
      </c>
      <c r="L334" s="1" t="s">
        <v>153</v>
      </c>
      <c r="M334" s="1" t="s">
        <v>28</v>
      </c>
      <c r="N334" s="1" t="str">
        <f>HYPERLINK("https://klocwork.india.ti.com:443/review/insight-review.html#issuedetails_goto:problemid=46491,project=MCU_PLUS_SDK_AM263X,searchquery=taxonomy:'C and C++' build:Build_Apr_13_2023_11_11_AM grouping:off ","KW Issue Link")</f>
        <v>KW Issue Link</v>
      </c>
      <c r="O334" s="1" t="s">
        <v>353</v>
      </c>
    </row>
    <row r="335" spans="1:15" ht="105" x14ac:dyDescent="0.25">
      <c r="A335" s="1" t="s">
        <v>149</v>
      </c>
      <c r="B335" s="1"/>
      <c r="C335" s="1" t="s">
        <v>626</v>
      </c>
      <c r="D335" s="1">
        <v>46492</v>
      </c>
      <c r="E335" s="1">
        <v>845</v>
      </c>
      <c r="F335" s="1" t="s">
        <v>629</v>
      </c>
      <c r="G335" s="1" t="s">
        <v>633</v>
      </c>
      <c r="H335" s="1" t="s">
        <v>141</v>
      </c>
      <c r="I335" s="1" t="s">
        <v>65</v>
      </c>
      <c r="J335" s="1">
        <v>3</v>
      </c>
      <c r="K335" s="1" t="s">
        <v>142</v>
      </c>
      <c r="L335" s="1" t="s">
        <v>153</v>
      </c>
      <c r="M335" s="1" t="s">
        <v>28</v>
      </c>
      <c r="N335" s="1" t="str">
        <f>HYPERLINK("https://klocwork.india.ti.com:443/review/insight-review.html#issuedetails_goto:problemid=46492,project=MCU_PLUS_SDK_AM263X,searchquery=taxonomy:'C and C++' build:Build_Apr_13_2023_11_11_AM grouping:off ","KW Issue Link")</f>
        <v>KW Issue Link</v>
      </c>
      <c r="O335" s="1" t="s">
        <v>353</v>
      </c>
    </row>
    <row r="336" spans="1:15" ht="75" x14ac:dyDescent="0.25">
      <c r="A336" s="1" t="s">
        <v>155</v>
      </c>
      <c r="B336" s="1"/>
      <c r="C336" s="1" t="s">
        <v>626</v>
      </c>
      <c r="D336" s="1">
        <v>46493</v>
      </c>
      <c r="E336" s="1">
        <v>199</v>
      </c>
      <c r="F336" s="1" t="s">
        <v>156</v>
      </c>
      <c r="G336" s="1" t="s">
        <v>628</v>
      </c>
      <c r="H336" s="1" t="s">
        <v>141</v>
      </c>
      <c r="I336" s="1" t="s">
        <v>65</v>
      </c>
      <c r="J336" s="1">
        <v>3</v>
      </c>
      <c r="K336" s="1" t="s">
        <v>142</v>
      </c>
      <c r="L336" s="1" t="s">
        <v>153</v>
      </c>
      <c r="M336" s="1" t="s">
        <v>28</v>
      </c>
      <c r="N336" s="1" t="str">
        <f>HYPERLINK("https://klocwork.india.ti.com:443/review/insight-review.html#issuedetails_goto:problemid=46493,project=MCU_PLUS_SDK_AM263X,searchquery=taxonomy:'C and C++' build:Build_Apr_13_2023_11_11_AM grouping:off ","KW Issue Link")</f>
        <v>KW Issue Link</v>
      </c>
      <c r="O336" s="1" t="s">
        <v>353</v>
      </c>
    </row>
    <row r="337" spans="1:15" ht="75" x14ac:dyDescent="0.25">
      <c r="A337" s="1" t="s">
        <v>155</v>
      </c>
      <c r="B337" s="1"/>
      <c r="C337" s="1" t="s">
        <v>626</v>
      </c>
      <c r="D337" s="1">
        <v>46494</v>
      </c>
      <c r="E337" s="1">
        <v>592</v>
      </c>
      <c r="F337" s="1" t="s">
        <v>156</v>
      </c>
      <c r="G337" s="1" t="s">
        <v>630</v>
      </c>
      <c r="H337" s="1" t="s">
        <v>141</v>
      </c>
      <c r="I337" s="1" t="s">
        <v>65</v>
      </c>
      <c r="J337" s="1">
        <v>3</v>
      </c>
      <c r="K337" s="1" t="s">
        <v>142</v>
      </c>
      <c r="L337" s="1" t="s">
        <v>153</v>
      </c>
      <c r="M337" s="1" t="s">
        <v>28</v>
      </c>
      <c r="N337" s="1" t="str">
        <f>HYPERLINK("https://klocwork.india.ti.com:443/review/insight-review.html#issuedetails_goto:problemid=46494,project=MCU_PLUS_SDK_AM263X,searchquery=taxonomy:'C and C++' build:Build_Apr_13_2023_11_11_AM grouping:off ","KW Issue Link")</f>
        <v>KW Issue Link</v>
      </c>
      <c r="O337" s="1" t="s">
        <v>353</v>
      </c>
    </row>
    <row r="338" spans="1:15" ht="75" x14ac:dyDescent="0.25">
      <c r="A338" s="1" t="s">
        <v>155</v>
      </c>
      <c r="B338" s="1"/>
      <c r="C338" s="1" t="s">
        <v>626</v>
      </c>
      <c r="D338" s="1">
        <v>46495</v>
      </c>
      <c r="E338" s="1">
        <v>675</v>
      </c>
      <c r="F338" s="1" t="s">
        <v>156</v>
      </c>
      <c r="G338" s="1" t="s">
        <v>631</v>
      </c>
      <c r="H338" s="1" t="s">
        <v>141</v>
      </c>
      <c r="I338" s="1" t="s">
        <v>65</v>
      </c>
      <c r="J338" s="1">
        <v>3</v>
      </c>
      <c r="K338" s="1" t="s">
        <v>142</v>
      </c>
      <c r="L338" s="1" t="s">
        <v>153</v>
      </c>
      <c r="M338" s="1" t="s">
        <v>28</v>
      </c>
      <c r="N338" s="1" t="str">
        <f>HYPERLINK("https://klocwork.india.ti.com:443/review/insight-review.html#issuedetails_goto:problemid=46495,project=MCU_PLUS_SDK_AM263X,searchquery=taxonomy:'C and C++' build:Build_Apr_13_2023_11_11_AM grouping:off ","KW Issue Link")</f>
        <v>KW Issue Link</v>
      </c>
      <c r="O338" s="1" t="s">
        <v>353</v>
      </c>
    </row>
    <row r="339" spans="1:15" ht="75" x14ac:dyDescent="0.25">
      <c r="A339" s="1" t="s">
        <v>155</v>
      </c>
      <c r="B339" s="1"/>
      <c r="C339" s="1" t="s">
        <v>626</v>
      </c>
      <c r="D339" s="1">
        <v>46496</v>
      </c>
      <c r="E339" s="1">
        <v>758</v>
      </c>
      <c r="F339" s="1" t="s">
        <v>156</v>
      </c>
      <c r="G339" s="1" t="s">
        <v>632</v>
      </c>
      <c r="H339" s="1" t="s">
        <v>141</v>
      </c>
      <c r="I339" s="1" t="s">
        <v>65</v>
      </c>
      <c r="J339" s="1">
        <v>3</v>
      </c>
      <c r="K339" s="1" t="s">
        <v>142</v>
      </c>
      <c r="L339" s="1" t="s">
        <v>153</v>
      </c>
      <c r="M339" s="1" t="s">
        <v>28</v>
      </c>
      <c r="N339" s="1" t="str">
        <f>HYPERLINK("https://klocwork.india.ti.com:443/review/insight-review.html#issuedetails_goto:problemid=46496,project=MCU_PLUS_SDK_AM263X,searchquery=taxonomy:'C and C++' build:Build_Apr_13_2023_11_11_AM grouping:off ","KW Issue Link")</f>
        <v>KW Issue Link</v>
      </c>
      <c r="O339" s="1" t="s">
        <v>353</v>
      </c>
    </row>
    <row r="340" spans="1:15" ht="75" x14ac:dyDescent="0.25">
      <c r="A340" s="1" t="s">
        <v>155</v>
      </c>
      <c r="B340" s="1"/>
      <c r="C340" s="1" t="s">
        <v>626</v>
      </c>
      <c r="D340" s="1">
        <v>46497</v>
      </c>
      <c r="E340" s="1">
        <v>846</v>
      </c>
      <c r="F340" s="1" t="s">
        <v>156</v>
      </c>
      <c r="G340" s="1" t="s">
        <v>633</v>
      </c>
      <c r="H340" s="1" t="s">
        <v>141</v>
      </c>
      <c r="I340" s="1" t="s">
        <v>65</v>
      </c>
      <c r="J340" s="1">
        <v>3</v>
      </c>
      <c r="K340" s="1" t="s">
        <v>142</v>
      </c>
      <c r="L340" s="1" t="s">
        <v>153</v>
      </c>
      <c r="M340" s="1" t="s">
        <v>28</v>
      </c>
      <c r="N340" s="1" t="str">
        <f>HYPERLINK("https://klocwork.india.ti.com:443/review/insight-review.html#issuedetails_goto:problemid=46497,project=MCU_PLUS_SDK_AM263X,searchquery=taxonomy:'C and C++' build:Build_Apr_13_2023_11_11_AM grouping:off ","KW Issue Link")</f>
        <v>KW Issue Link</v>
      </c>
      <c r="O340" s="1" t="s">
        <v>353</v>
      </c>
    </row>
    <row r="341" spans="1:15" ht="75" x14ac:dyDescent="0.25">
      <c r="A341" s="1" t="s">
        <v>155</v>
      </c>
      <c r="B341" s="1"/>
      <c r="C341" s="1" t="s">
        <v>626</v>
      </c>
      <c r="D341" s="1">
        <v>46498</v>
      </c>
      <c r="E341" s="1">
        <v>892</v>
      </c>
      <c r="F341" s="1" t="s">
        <v>156</v>
      </c>
      <c r="G341" s="1" t="s">
        <v>633</v>
      </c>
      <c r="H341" s="1" t="s">
        <v>141</v>
      </c>
      <c r="I341" s="1" t="s">
        <v>65</v>
      </c>
      <c r="J341" s="1">
        <v>3</v>
      </c>
      <c r="K341" s="1" t="s">
        <v>142</v>
      </c>
      <c r="L341" s="1" t="s">
        <v>153</v>
      </c>
      <c r="M341" s="1" t="s">
        <v>28</v>
      </c>
      <c r="N341" s="1" t="str">
        <f>HYPERLINK("https://klocwork.india.ti.com:443/review/insight-review.html#issuedetails_goto:problemid=46498,project=MCU_PLUS_SDK_AM263X,searchquery=taxonomy:'C and C++' build:Build_Apr_13_2023_11_11_AM grouping:off ","KW Issue Link")</f>
        <v>KW Issue Link</v>
      </c>
      <c r="O341" s="1" t="s">
        <v>353</v>
      </c>
    </row>
    <row r="342" spans="1:15" ht="75" x14ac:dyDescent="0.25">
      <c r="A342" s="1" t="s">
        <v>199</v>
      </c>
      <c r="B342" s="1" t="s">
        <v>299</v>
      </c>
      <c r="C342" s="1" t="s">
        <v>626</v>
      </c>
      <c r="D342" s="1">
        <v>46681</v>
      </c>
      <c r="E342" s="1">
        <v>331</v>
      </c>
      <c r="F342" s="1" t="s">
        <v>634</v>
      </c>
      <c r="G342" s="1" t="s">
        <v>635</v>
      </c>
      <c r="H342" s="1" t="s">
        <v>141</v>
      </c>
      <c r="I342" s="1" t="s">
        <v>63</v>
      </c>
      <c r="J342" s="1">
        <v>1</v>
      </c>
      <c r="K342" s="1" t="s">
        <v>142</v>
      </c>
      <c r="L342" s="1" t="s">
        <v>177</v>
      </c>
      <c r="M342" s="1" t="s">
        <v>28</v>
      </c>
      <c r="N342" s="1" t="str">
        <f>HYPERLINK("https://klocwork.india.ti.com:443/review/insight-review.html#issuedetails_goto:problemid=46681,project=MCU_PLUS_SDK_AM263X,searchquery=taxonomy:'C and C++' build:Build_Apr_13_2023_11_11_AM grouping:off ","KW Issue Link")</f>
        <v>KW Issue Link</v>
      </c>
      <c r="O342" s="1" t="s">
        <v>353</v>
      </c>
    </row>
    <row r="343" spans="1:15" ht="75" x14ac:dyDescent="0.25">
      <c r="A343" s="1" t="s">
        <v>199</v>
      </c>
      <c r="B343" s="1" t="s">
        <v>299</v>
      </c>
      <c r="C343" s="1" t="s">
        <v>626</v>
      </c>
      <c r="D343" s="1">
        <v>46682</v>
      </c>
      <c r="E343" s="1">
        <v>336</v>
      </c>
      <c r="F343" s="1" t="s">
        <v>634</v>
      </c>
      <c r="G343" s="1" t="s">
        <v>635</v>
      </c>
      <c r="H343" s="1" t="s">
        <v>141</v>
      </c>
      <c r="I343" s="1" t="s">
        <v>63</v>
      </c>
      <c r="J343" s="1">
        <v>1</v>
      </c>
      <c r="K343" s="1" t="s">
        <v>142</v>
      </c>
      <c r="L343" s="1" t="s">
        <v>177</v>
      </c>
      <c r="M343" s="1" t="s">
        <v>28</v>
      </c>
      <c r="N343" s="1" t="str">
        <f>HYPERLINK("https://klocwork.india.ti.com:443/review/insight-review.html#issuedetails_goto:problemid=46682,project=MCU_PLUS_SDK_AM263X,searchquery=taxonomy:'C and C++' build:Build_Apr_13_2023_11_11_AM grouping:off ","KW Issue Link")</f>
        <v>KW Issue Link</v>
      </c>
      <c r="O343" s="1" t="s">
        <v>353</v>
      </c>
    </row>
    <row r="344" spans="1:15" ht="75" x14ac:dyDescent="0.25">
      <c r="A344" s="1" t="s">
        <v>199</v>
      </c>
      <c r="B344" s="1" t="s">
        <v>299</v>
      </c>
      <c r="C344" s="1" t="s">
        <v>626</v>
      </c>
      <c r="D344" s="1">
        <v>46683</v>
      </c>
      <c r="E344" s="1">
        <v>349</v>
      </c>
      <c r="F344" s="1" t="s">
        <v>634</v>
      </c>
      <c r="G344" s="1" t="s">
        <v>635</v>
      </c>
      <c r="H344" s="1" t="s">
        <v>141</v>
      </c>
      <c r="I344" s="1" t="s">
        <v>63</v>
      </c>
      <c r="J344" s="1">
        <v>1</v>
      </c>
      <c r="K344" s="1" t="s">
        <v>142</v>
      </c>
      <c r="L344" s="1" t="s">
        <v>177</v>
      </c>
      <c r="M344" s="1" t="s">
        <v>28</v>
      </c>
      <c r="N344" s="1" t="str">
        <f>HYPERLINK("https://klocwork.india.ti.com:443/review/insight-review.html#issuedetails_goto:problemid=46683,project=MCU_PLUS_SDK_AM263X,searchquery=taxonomy:'C and C++' build:Build_Apr_13_2023_11_11_AM grouping:off ","KW Issue Link")</f>
        <v>KW Issue Link</v>
      </c>
      <c r="O344" s="1" t="s">
        <v>353</v>
      </c>
    </row>
    <row r="345" spans="1:15" ht="75" x14ac:dyDescent="0.25">
      <c r="A345" s="1" t="s">
        <v>199</v>
      </c>
      <c r="B345" s="1" t="s">
        <v>299</v>
      </c>
      <c r="C345" s="1" t="s">
        <v>626</v>
      </c>
      <c r="D345" s="1">
        <v>46684</v>
      </c>
      <c r="E345" s="1">
        <v>350</v>
      </c>
      <c r="F345" s="1" t="s">
        <v>634</v>
      </c>
      <c r="G345" s="1" t="s">
        <v>635</v>
      </c>
      <c r="H345" s="1" t="s">
        <v>141</v>
      </c>
      <c r="I345" s="1" t="s">
        <v>63</v>
      </c>
      <c r="J345" s="1">
        <v>1</v>
      </c>
      <c r="K345" s="1" t="s">
        <v>142</v>
      </c>
      <c r="L345" s="1" t="s">
        <v>177</v>
      </c>
      <c r="M345" s="1" t="s">
        <v>28</v>
      </c>
      <c r="N345" s="1" t="str">
        <f>HYPERLINK("https://klocwork.india.ti.com:443/review/insight-review.html#issuedetails_goto:problemid=46684,project=MCU_PLUS_SDK_AM263X,searchquery=taxonomy:'C and C++' build:Build_Apr_13_2023_11_11_AM grouping:off ","KW Issue Link")</f>
        <v>KW Issue Link</v>
      </c>
      <c r="O345" s="1" t="s">
        <v>353</v>
      </c>
    </row>
    <row r="346" spans="1:15" ht="75" x14ac:dyDescent="0.25">
      <c r="A346" s="1" t="s">
        <v>199</v>
      </c>
      <c r="B346" s="1" t="s">
        <v>299</v>
      </c>
      <c r="C346" s="1" t="s">
        <v>626</v>
      </c>
      <c r="D346" s="1">
        <v>46685</v>
      </c>
      <c r="E346" s="1">
        <v>374</v>
      </c>
      <c r="F346" s="1" t="s">
        <v>634</v>
      </c>
      <c r="G346" s="1" t="s">
        <v>636</v>
      </c>
      <c r="H346" s="1" t="s">
        <v>141</v>
      </c>
      <c r="I346" s="1" t="s">
        <v>63</v>
      </c>
      <c r="J346" s="1">
        <v>1</v>
      </c>
      <c r="K346" s="1" t="s">
        <v>142</v>
      </c>
      <c r="L346" s="1" t="s">
        <v>177</v>
      </c>
      <c r="M346" s="1" t="s">
        <v>28</v>
      </c>
      <c r="N346" s="1" t="str">
        <f>HYPERLINK("https://klocwork.india.ti.com:443/review/insight-review.html#issuedetails_goto:problemid=46685,project=MCU_PLUS_SDK_AM263X,searchquery=taxonomy:'C and C++' build:Build_Apr_13_2023_11_11_AM grouping:off ","KW Issue Link")</f>
        <v>KW Issue Link</v>
      </c>
      <c r="O346" s="1" t="s">
        <v>353</v>
      </c>
    </row>
    <row r="347" spans="1:15" ht="75" x14ac:dyDescent="0.25">
      <c r="A347" s="1" t="s">
        <v>199</v>
      </c>
      <c r="B347" s="1" t="s">
        <v>299</v>
      </c>
      <c r="C347" s="1" t="s">
        <v>626</v>
      </c>
      <c r="D347" s="1">
        <v>46686</v>
      </c>
      <c r="E347" s="1">
        <v>379</v>
      </c>
      <c r="F347" s="1" t="s">
        <v>634</v>
      </c>
      <c r="G347" s="1" t="s">
        <v>636</v>
      </c>
      <c r="H347" s="1" t="s">
        <v>141</v>
      </c>
      <c r="I347" s="1" t="s">
        <v>63</v>
      </c>
      <c r="J347" s="1">
        <v>1</v>
      </c>
      <c r="K347" s="1" t="s">
        <v>142</v>
      </c>
      <c r="L347" s="1" t="s">
        <v>177</v>
      </c>
      <c r="M347" s="1" t="s">
        <v>28</v>
      </c>
      <c r="N347" s="1" t="str">
        <f>HYPERLINK("https://klocwork.india.ti.com:443/review/insight-review.html#issuedetails_goto:problemid=46686,project=MCU_PLUS_SDK_AM263X,searchquery=taxonomy:'C and C++' build:Build_Apr_13_2023_11_11_AM grouping:off ","KW Issue Link")</f>
        <v>KW Issue Link</v>
      </c>
      <c r="O347" s="1" t="s">
        <v>353</v>
      </c>
    </row>
    <row r="348" spans="1:15" ht="75" x14ac:dyDescent="0.25">
      <c r="A348" s="1" t="s">
        <v>199</v>
      </c>
      <c r="B348" s="1" t="s">
        <v>299</v>
      </c>
      <c r="C348" s="1" t="s">
        <v>626</v>
      </c>
      <c r="D348" s="1">
        <v>46687</v>
      </c>
      <c r="E348" s="1">
        <v>468</v>
      </c>
      <c r="F348" s="1" t="s">
        <v>637</v>
      </c>
      <c r="G348" s="1" t="s">
        <v>638</v>
      </c>
      <c r="H348" s="1" t="s">
        <v>141</v>
      </c>
      <c r="I348" s="1" t="s">
        <v>63</v>
      </c>
      <c r="J348" s="1">
        <v>1</v>
      </c>
      <c r="K348" s="1" t="s">
        <v>142</v>
      </c>
      <c r="L348" s="1" t="s">
        <v>177</v>
      </c>
      <c r="M348" s="1" t="s">
        <v>28</v>
      </c>
      <c r="N348" s="1" t="str">
        <f>HYPERLINK("https://klocwork.india.ti.com:443/review/insight-review.html#issuedetails_goto:problemid=46687,project=MCU_PLUS_SDK_AM263X,searchquery=taxonomy:'C and C++' build:Build_Apr_13_2023_11_11_AM grouping:off ","KW Issue Link")</f>
        <v>KW Issue Link</v>
      </c>
      <c r="O348" s="1" t="s">
        <v>353</v>
      </c>
    </row>
    <row r="349" spans="1:15" ht="75" x14ac:dyDescent="0.25">
      <c r="A349" s="1" t="s">
        <v>199</v>
      </c>
      <c r="B349" s="1" t="s">
        <v>299</v>
      </c>
      <c r="C349" s="1" t="s">
        <v>626</v>
      </c>
      <c r="D349" s="1">
        <v>46688</v>
      </c>
      <c r="E349" s="1">
        <v>505</v>
      </c>
      <c r="F349" s="1" t="s">
        <v>634</v>
      </c>
      <c r="G349" s="1" t="s">
        <v>639</v>
      </c>
      <c r="H349" s="1" t="s">
        <v>141</v>
      </c>
      <c r="I349" s="1" t="s">
        <v>63</v>
      </c>
      <c r="J349" s="1">
        <v>1</v>
      </c>
      <c r="K349" s="1" t="s">
        <v>142</v>
      </c>
      <c r="L349" s="1" t="s">
        <v>177</v>
      </c>
      <c r="M349" s="1" t="s">
        <v>28</v>
      </c>
      <c r="N349" s="1" t="str">
        <f>HYPERLINK("https://klocwork.india.ti.com:443/review/insight-review.html#issuedetails_goto:problemid=46688,project=MCU_PLUS_SDK_AM263X,searchquery=taxonomy:'C and C++' build:Build_Apr_13_2023_11_11_AM grouping:off ","KW Issue Link")</f>
        <v>KW Issue Link</v>
      </c>
      <c r="O349" s="1" t="s">
        <v>353</v>
      </c>
    </row>
    <row r="350" spans="1:15" ht="75" x14ac:dyDescent="0.25">
      <c r="A350" s="1" t="s">
        <v>199</v>
      </c>
      <c r="B350" s="1" t="s">
        <v>299</v>
      </c>
      <c r="C350" s="1" t="s">
        <v>626</v>
      </c>
      <c r="D350" s="1">
        <v>46689</v>
      </c>
      <c r="E350" s="1">
        <v>515</v>
      </c>
      <c r="F350" s="1" t="s">
        <v>634</v>
      </c>
      <c r="G350" s="1" t="s">
        <v>639</v>
      </c>
      <c r="H350" s="1" t="s">
        <v>141</v>
      </c>
      <c r="I350" s="1" t="s">
        <v>63</v>
      </c>
      <c r="J350" s="1">
        <v>1</v>
      </c>
      <c r="K350" s="1" t="s">
        <v>142</v>
      </c>
      <c r="L350" s="1" t="s">
        <v>177</v>
      </c>
      <c r="M350" s="1" t="s">
        <v>28</v>
      </c>
      <c r="N350" s="1" t="str">
        <f>HYPERLINK("https://klocwork.india.ti.com:443/review/insight-review.html#issuedetails_goto:problemid=46689,project=MCU_PLUS_SDK_AM263X,searchquery=taxonomy:'C and C++' build:Build_Apr_13_2023_11_11_AM grouping:off ","KW Issue Link")</f>
        <v>KW Issue Link</v>
      </c>
      <c r="O350" s="1" t="s">
        <v>353</v>
      </c>
    </row>
    <row r="351" spans="1:15" ht="75" x14ac:dyDescent="0.25">
      <c r="A351" s="1" t="s">
        <v>199</v>
      </c>
      <c r="B351" s="1" t="s">
        <v>299</v>
      </c>
      <c r="C351" s="1" t="s">
        <v>626</v>
      </c>
      <c r="D351" s="1">
        <v>46690</v>
      </c>
      <c r="E351" s="1">
        <v>546</v>
      </c>
      <c r="F351" s="1" t="s">
        <v>634</v>
      </c>
      <c r="G351" s="1" t="s">
        <v>640</v>
      </c>
      <c r="H351" s="1" t="s">
        <v>141</v>
      </c>
      <c r="I351" s="1" t="s">
        <v>63</v>
      </c>
      <c r="J351" s="1">
        <v>1</v>
      </c>
      <c r="K351" s="1" t="s">
        <v>142</v>
      </c>
      <c r="L351" s="1" t="s">
        <v>177</v>
      </c>
      <c r="M351" s="1" t="s">
        <v>28</v>
      </c>
      <c r="N351" s="1" t="str">
        <f>HYPERLINK("https://klocwork.india.ti.com:443/review/insight-review.html#issuedetails_goto:problemid=46690,project=MCU_PLUS_SDK_AM263X,searchquery=taxonomy:'C and C++' build:Build_Apr_13_2023_11_11_AM grouping:off ","KW Issue Link")</f>
        <v>KW Issue Link</v>
      </c>
      <c r="O351" s="1" t="s">
        <v>353</v>
      </c>
    </row>
    <row r="352" spans="1:15" ht="75" x14ac:dyDescent="0.25">
      <c r="A352" s="1" t="s">
        <v>199</v>
      </c>
      <c r="B352" s="1" t="s">
        <v>299</v>
      </c>
      <c r="C352" s="1" t="s">
        <v>626</v>
      </c>
      <c r="D352" s="1">
        <v>46691</v>
      </c>
      <c r="E352" s="1">
        <v>551</v>
      </c>
      <c r="F352" s="1" t="s">
        <v>634</v>
      </c>
      <c r="G352" s="1" t="s">
        <v>640</v>
      </c>
      <c r="H352" s="1" t="s">
        <v>141</v>
      </c>
      <c r="I352" s="1" t="s">
        <v>63</v>
      </c>
      <c r="J352" s="1">
        <v>1</v>
      </c>
      <c r="K352" s="1" t="s">
        <v>142</v>
      </c>
      <c r="L352" s="1" t="s">
        <v>177</v>
      </c>
      <c r="M352" s="1" t="s">
        <v>28</v>
      </c>
      <c r="N352" s="1" t="str">
        <f>HYPERLINK("https://klocwork.india.ti.com:443/review/insight-review.html#issuedetails_goto:problemid=46691,project=MCU_PLUS_SDK_AM263X,searchquery=taxonomy:'C and C++' build:Build_Apr_13_2023_11_11_AM grouping:off ","KW Issue Link")</f>
        <v>KW Issue Link</v>
      </c>
      <c r="O352" s="1" t="s">
        <v>353</v>
      </c>
    </row>
    <row r="353" spans="1:15" ht="75" x14ac:dyDescent="0.25">
      <c r="A353" s="1" t="s">
        <v>199</v>
      </c>
      <c r="B353" s="1" t="s">
        <v>299</v>
      </c>
      <c r="C353" s="1" t="s">
        <v>626</v>
      </c>
      <c r="D353" s="1">
        <v>46692</v>
      </c>
      <c r="E353" s="1">
        <v>562</v>
      </c>
      <c r="F353" s="1" t="s">
        <v>634</v>
      </c>
      <c r="G353" s="1" t="s">
        <v>640</v>
      </c>
      <c r="H353" s="1" t="s">
        <v>141</v>
      </c>
      <c r="I353" s="1" t="s">
        <v>63</v>
      </c>
      <c r="J353" s="1">
        <v>1</v>
      </c>
      <c r="K353" s="1" t="s">
        <v>142</v>
      </c>
      <c r="L353" s="1" t="s">
        <v>177</v>
      </c>
      <c r="M353" s="1" t="s">
        <v>28</v>
      </c>
      <c r="N353" s="1" t="str">
        <f>HYPERLINK("https://klocwork.india.ti.com:443/review/insight-review.html#issuedetails_goto:problemid=46692,project=MCU_PLUS_SDK_AM263X,searchquery=taxonomy:'C and C++' build:Build_Apr_13_2023_11_11_AM grouping:off ","KW Issue Link")</f>
        <v>KW Issue Link</v>
      </c>
      <c r="O353" s="1" t="s">
        <v>353</v>
      </c>
    </row>
    <row r="354" spans="1:15" ht="75" x14ac:dyDescent="0.25">
      <c r="A354" s="1" t="s">
        <v>199</v>
      </c>
      <c r="B354" s="1" t="s">
        <v>299</v>
      </c>
      <c r="C354" s="1" t="s">
        <v>626</v>
      </c>
      <c r="D354" s="1">
        <v>46693</v>
      </c>
      <c r="E354" s="1">
        <v>932</v>
      </c>
      <c r="F354" s="1" t="s">
        <v>634</v>
      </c>
      <c r="G354" s="1" t="s">
        <v>641</v>
      </c>
      <c r="H354" s="1" t="s">
        <v>141</v>
      </c>
      <c r="I354" s="1" t="s">
        <v>63</v>
      </c>
      <c r="J354" s="1">
        <v>1</v>
      </c>
      <c r="K354" s="1" t="s">
        <v>142</v>
      </c>
      <c r="L354" s="1" t="s">
        <v>177</v>
      </c>
      <c r="M354" s="1" t="s">
        <v>28</v>
      </c>
      <c r="N354" s="1" t="str">
        <f>HYPERLINK("https://klocwork.india.ti.com:443/review/insight-review.html#issuedetails_goto:problemid=46693,project=MCU_PLUS_SDK_AM263X,searchquery=taxonomy:'C and C++' build:Build_Apr_13_2023_11_11_AM grouping:off ","KW Issue Link")</f>
        <v>KW Issue Link</v>
      </c>
      <c r="O354" s="1" t="s">
        <v>353</v>
      </c>
    </row>
    <row r="355" spans="1:15" ht="75" x14ac:dyDescent="0.25">
      <c r="A355" s="1" t="s">
        <v>199</v>
      </c>
      <c r="B355" s="1" t="s">
        <v>299</v>
      </c>
      <c r="C355" s="1" t="s">
        <v>626</v>
      </c>
      <c r="D355" s="1">
        <v>46694</v>
      </c>
      <c r="E355" s="1">
        <v>950</v>
      </c>
      <c r="F355" s="1" t="s">
        <v>634</v>
      </c>
      <c r="G355" s="1" t="s">
        <v>641</v>
      </c>
      <c r="H355" s="1" t="s">
        <v>141</v>
      </c>
      <c r="I355" s="1" t="s">
        <v>63</v>
      </c>
      <c r="J355" s="1">
        <v>1</v>
      </c>
      <c r="K355" s="1" t="s">
        <v>142</v>
      </c>
      <c r="L355" s="1" t="s">
        <v>177</v>
      </c>
      <c r="M355" s="1" t="s">
        <v>28</v>
      </c>
      <c r="N355" s="1" t="str">
        <f>HYPERLINK("https://klocwork.india.ti.com:443/review/insight-review.html#issuedetails_goto:problemid=46694,project=MCU_PLUS_SDK_AM263X,searchquery=taxonomy:'C and C++' build:Build_Apr_13_2023_11_11_AM grouping:off ","KW Issue Link")</f>
        <v>KW Issue Link</v>
      </c>
      <c r="O355" s="1" t="s">
        <v>353</v>
      </c>
    </row>
    <row r="356" spans="1:15" ht="75" x14ac:dyDescent="0.25">
      <c r="A356" s="1" t="s">
        <v>136</v>
      </c>
      <c r="B356" s="1"/>
      <c r="C356" s="1" t="s">
        <v>626</v>
      </c>
      <c r="D356" s="1">
        <v>46707</v>
      </c>
      <c r="E356" s="1">
        <v>843</v>
      </c>
      <c r="F356" s="1" t="s">
        <v>642</v>
      </c>
      <c r="G356" s="1" t="s">
        <v>633</v>
      </c>
      <c r="H356" s="1" t="s">
        <v>141</v>
      </c>
      <c r="I356" s="1" t="s">
        <v>66</v>
      </c>
      <c r="J356" s="1">
        <v>4</v>
      </c>
      <c r="K356" s="1" t="s">
        <v>142</v>
      </c>
      <c r="L356" s="1" t="s">
        <v>153</v>
      </c>
      <c r="M356" s="1" t="s">
        <v>28</v>
      </c>
      <c r="N356" s="1" t="str">
        <f>HYPERLINK("https://klocwork.india.ti.com:443/review/insight-review.html#issuedetails_goto:problemid=46707,project=MCU_PLUS_SDK_AM263X,searchquery=taxonomy:'C and C++' build:Build_Apr_13_2023_11_11_AM grouping:off ","KW Issue Link")</f>
        <v>KW Issue Link</v>
      </c>
      <c r="O356" s="1" t="s">
        <v>353</v>
      </c>
    </row>
    <row r="357" spans="1:15" ht="75" x14ac:dyDescent="0.25">
      <c r="A357" s="1" t="s">
        <v>643</v>
      </c>
      <c r="B357" s="1" t="s">
        <v>299</v>
      </c>
      <c r="C357" s="1" t="s">
        <v>626</v>
      </c>
      <c r="D357" s="1">
        <v>46711</v>
      </c>
      <c r="E357" s="1">
        <v>1202</v>
      </c>
      <c r="F357" s="1" t="s">
        <v>644</v>
      </c>
      <c r="G357" s="1" t="s">
        <v>645</v>
      </c>
      <c r="H357" s="1" t="s">
        <v>141</v>
      </c>
      <c r="I357" s="1" t="s">
        <v>63</v>
      </c>
      <c r="J357" s="1">
        <v>1</v>
      </c>
      <c r="K357" s="1" t="s">
        <v>142</v>
      </c>
      <c r="L357" s="1" t="s">
        <v>177</v>
      </c>
      <c r="M357" s="1" t="s">
        <v>28</v>
      </c>
      <c r="N357" s="1" t="str">
        <f>HYPERLINK("https://klocwork.india.ti.com:443/review/insight-review.html#issuedetails_goto:problemid=46711,project=MCU_PLUS_SDK_AM263X,searchquery=taxonomy:'C and C++' build:Build_Apr_13_2023_11_11_AM grouping:off ","KW Issue Link")</f>
        <v>KW Issue Link</v>
      </c>
      <c r="O357" s="1" t="s">
        <v>353</v>
      </c>
    </row>
    <row r="358" spans="1:15" ht="75" x14ac:dyDescent="0.25">
      <c r="A358" s="1" t="s">
        <v>157</v>
      </c>
      <c r="B358" s="1"/>
      <c r="C358" s="1" t="s">
        <v>626</v>
      </c>
      <c r="D358" s="1">
        <v>46713</v>
      </c>
      <c r="E358" s="1">
        <v>1222</v>
      </c>
      <c r="F358" s="1" t="s">
        <v>646</v>
      </c>
      <c r="G358" s="1" t="s">
        <v>645</v>
      </c>
      <c r="H358" s="1" t="s">
        <v>141</v>
      </c>
      <c r="I358" s="1" t="s">
        <v>65</v>
      </c>
      <c r="J358" s="1">
        <v>3</v>
      </c>
      <c r="K358" s="1" t="s">
        <v>142</v>
      </c>
      <c r="L358" s="1" t="s">
        <v>153</v>
      </c>
      <c r="M358" s="1" t="s">
        <v>28</v>
      </c>
      <c r="N358" s="1" t="str">
        <f>HYPERLINK("https://klocwork.india.ti.com:443/review/insight-review.html#issuedetails_goto:problemid=46713,project=MCU_PLUS_SDK_AM263X,searchquery=taxonomy:'C and C++' build:Build_Apr_13_2023_11_11_AM grouping:off ","KW Issue Link")</f>
        <v>KW Issue Link</v>
      </c>
      <c r="O358" s="1" t="s">
        <v>353</v>
      </c>
    </row>
    <row r="359" spans="1:15" ht="75" x14ac:dyDescent="0.25">
      <c r="A359" s="1" t="s">
        <v>145</v>
      </c>
      <c r="B359" s="1" t="s">
        <v>299</v>
      </c>
      <c r="C359" s="1" t="s">
        <v>626</v>
      </c>
      <c r="D359" s="1">
        <v>46715</v>
      </c>
      <c r="E359" s="1">
        <v>1262</v>
      </c>
      <c r="F359" s="1" t="s">
        <v>147</v>
      </c>
      <c r="G359" s="1" t="s">
        <v>647</v>
      </c>
      <c r="H359" s="1" t="s">
        <v>141</v>
      </c>
      <c r="I359" s="1" t="s">
        <v>64</v>
      </c>
      <c r="J359" s="1">
        <v>2</v>
      </c>
      <c r="K359" s="1" t="s">
        <v>142</v>
      </c>
      <c r="L359" s="1" t="s">
        <v>177</v>
      </c>
      <c r="M359" s="1" t="s">
        <v>28</v>
      </c>
      <c r="N359" s="1" t="str">
        <f>HYPERLINK("https://klocwork.india.ti.com:443/review/insight-review.html#issuedetails_goto:problemid=46715,project=MCU_PLUS_SDK_AM263X,searchquery=taxonomy:'C and C++' build:Build_Apr_13_2023_11_11_AM grouping:off ","KW Issue Link")</f>
        <v>KW Issue Link</v>
      </c>
      <c r="O359" s="1" t="s">
        <v>353</v>
      </c>
    </row>
    <row r="360" spans="1:15" ht="60" x14ac:dyDescent="0.25">
      <c r="A360" s="1" t="s">
        <v>298</v>
      </c>
      <c r="B360" s="1" t="s">
        <v>299</v>
      </c>
      <c r="C360" s="1" t="s">
        <v>648</v>
      </c>
      <c r="D360" s="1">
        <v>46753</v>
      </c>
      <c r="E360" s="1">
        <v>124</v>
      </c>
      <c r="F360" s="1" t="s">
        <v>649</v>
      </c>
      <c r="G360" s="1" t="s">
        <v>650</v>
      </c>
      <c r="H360" s="1" t="s">
        <v>141</v>
      </c>
      <c r="I360" s="1" t="s">
        <v>63</v>
      </c>
      <c r="J360" s="1">
        <v>1</v>
      </c>
      <c r="K360" s="1" t="s">
        <v>142</v>
      </c>
      <c r="L360" s="1" t="s">
        <v>177</v>
      </c>
      <c r="M360" s="1" t="s">
        <v>28</v>
      </c>
      <c r="N360" s="1" t="str">
        <f>HYPERLINK("https://klocwork.india.ti.com:443/review/insight-review.html#issuedetails_goto:problemid=46753,project=MCU_PLUS_SDK_AM263X,searchquery=taxonomy:'C and C++' build:Build_Apr_13_2023_11_11_AM grouping:off ","KW Issue Link")</f>
        <v>KW Issue Link</v>
      </c>
      <c r="O360" s="1" t="s">
        <v>291</v>
      </c>
    </row>
    <row r="361" spans="1:15" ht="60" x14ac:dyDescent="0.25">
      <c r="A361" s="1" t="s">
        <v>298</v>
      </c>
      <c r="B361" s="1" t="s">
        <v>299</v>
      </c>
      <c r="C361" s="1" t="s">
        <v>648</v>
      </c>
      <c r="D361" s="1">
        <v>46754</v>
      </c>
      <c r="E361" s="1">
        <v>132</v>
      </c>
      <c r="F361" s="1" t="s">
        <v>651</v>
      </c>
      <c r="G361" s="1" t="s">
        <v>650</v>
      </c>
      <c r="H361" s="1" t="s">
        <v>141</v>
      </c>
      <c r="I361" s="1" t="s">
        <v>63</v>
      </c>
      <c r="J361" s="1">
        <v>1</v>
      </c>
      <c r="K361" s="1" t="s">
        <v>142</v>
      </c>
      <c r="L361" s="1" t="s">
        <v>177</v>
      </c>
      <c r="M361" s="1" t="s">
        <v>28</v>
      </c>
      <c r="N361" s="1" t="str">
        <f>HYPERLINK("https://klocwork.india.ti.com:443/review/insight-review.html#issuedetails_goto:problemid=46754,project=MCU_PLUS_SDK_AM263X,searchquery=taxonomy:'C and C++' build:Build_Apr_13_2023_11_11_AM grouping:off ","KW Issue Link")</f>
        <v>KW Issue Link</v>
      </c>
      <c r="O361" s="1" t="s">
        <v>291</v>
      </c>
    </row>
    <row r="362" spans="1:15" ht="60" x14ac:dyDescent="0.25">
      <c r="A362" s="1" t="s">
        <v>298</v>
      </c>
      <c r="B362" s="1" t="s">
        <v>299</v>
      </c>
      <c r="C362" s="1" t="s">
        <v>648</v>
      </c>
      <c r="D362" s="1">
        <v>46755</v>
      </c>
      <c r="E362" s="1">
        <v>213</v>
      </c>
      <c r="F362" s="1" t="s">
        <v>652</v>
      </c>
      <c r="G362" s="1" t="s">
        <v>653</v>
      </c>
      <c r="H362" s="1" t="s">
        <v>141</v>
      </c>
      <c r="I362" s="1" t="s">
        <v>63</v>
      </c>
      <c r="J362" s="1">
        <v>1</v>
      </c>
      <c r="K362" s="1" t="s">
        <v>142</v>
      </c>
      <c r="L362" s="1" t="s">
        <v>177</v>
      </c>
      <c r="M362" s="1" t="s">
        <v>28</v>
      </c>
      <c r="N362" s="1" t="str">
        <f>HYPERLINK("https://klocwork.india.ti.com:443/review/insight-review.html#issuedetails_goto:problemid=46755,project=MCU_PLUS_SDK_AM263X,searchquery=taxonomy:'C and C++' build:Build_Apr_13_2023_11_11_AM grouping:off ","KW Issue Link")</f>
        <v>KW Issue Link</v>
      </c>
      <c r="O362" s="1" t="s">
        <v>291</v>
      </c>
    </row>
    <row r="363" spans="1:15" ht="60" x14ac:dyDescent="0.25">
      <c r="A363" s="1" t="s">
        <v>298</v>
      </c>
      <c r="B363" s="1" t="s">
        <v>299</v>
      </c>
      <c r="C363" s="1" t="s">
        <v>648</v>
      </c>
      <c r="D363" s="1">
        <v>46756</v>
      </c>
      <c r="E363" s="1">
        <v>217</v>
      </c>
      <c r="F363" s="1" t="s">
        <v>654</v>
      </c>
      <c r="G363" s="1" t="s">
        <v>653</v>
      </c>
      <c r="H363" s="1" t="s">
        <v>141</v>
      </c>
      <c r="I363" s="1" t="s">
        <v>63</v>
      </c>
      <c r="J363" s="1">
        <v>1</v>
      </c>
      <c r="K363" s="1" t="s">
        <v>142</v>
      </c>
      <c r="L363" s="1" t="s">
        <v>177</v>
      </c>
      <c r="M363" s="1" t="s">
        <v>28</v>
      </c>
      <c r="N363" s="1" t="str">
        <f>HYPERLINK("https://klocwork.india.ti.com:443/review/insight-review.html#issuedetails_goto:problemid=46756,project=MCU_PLUS_SDK_AM263X,searchquery=taxonomy:'C and C++' build:Build_Apr_13_2023_11_11_AM grouping:off ","KW Issue Link")</f>
        <v>KW Issue Link</v>
      </c>
      <c r="O363" s="1" t="s">
        <v>291</v>
      </c>
    </row>
    <row r="364" spans="1:15" ht="60" x14ac:dyDescent="0.25">
      <c r="A364" s="1" t="s">
        <v>298</v>
      </c>
      <c r="B364" s="1" t="s">
        <v>299</v>
      </c>
      <c r="C364" s="1" t="s">
        <v>648</v>
      </c>
      <c r="D364" s="1">
        <v>46757</v>
      </c>
      <c r="E364" s="1">
        <v>432</v>
      </c>
      <c r="F364" s="1" t="s">
        <v>655</v>
      </c>
      <c r="G364" s="1" t="s">
        <v>656</v>
      </c>
      <c r="H364" s="1" t="s">
        <v>141</v>
      </c>
      <c r="I364" s="1" t="s">
        <v>63</v>
      </c>
      <c r="J364" s="1">
        <v>1</v>
      </c>
      <c r="K364" s="1" t="s">
        <v>142</v>
      </c>
      <c r="L364" s="1" t="s">
        <v>177</v>
      </c>
      <c r="M364" s="1" t="s">
        <v>28</v>
      </c>
      <c r="N364" s="1" t="str">
        <f>HYPERLINK("https://klocwork.india.ti.com:443/review/insight-review.html#issuedetails_goto:problemid=46757,project=MCU_PLUS_SDK_AM263X,searchquery=taxonomy:'C and C++' build:Build_Apr_13_2023_11_11_AM grouping:off ","KW Issue Link")</f>
        <v>KW Issue Link</v>
      </c>
      <c r="O364" s="1" t="s">
        <v>291</v>
      </c>
    </row>
    <row r="365" spans="1:15" ht="60" x14ac:dyDescent="0.25">
      <c r="A365" s="1" t="s">
        <v>298</v>
      </c>
      <c r="B365" s="1" t="s">
        <v>299</v>
      </c>
      <c r="C365" s="1" t="s">
        <v>648</v>
      </c>
      <c r="D365" s="1">
        <v>46758</v>
      </c>
      <c r="E365" s="1">
        <v>436</v>
      </c>
      <c r="F365" s="1" t="s">
        <v>657</v>
      </c>
      <c r="G365" s="1" t="s">
        <v>656</v>
      </c>
      <c r="H365" s="1" t="s">
        <v>141</v>
      </c>
      <c r="I365" s="1" t="s">
        <v>63</v>
      </c>
      <c r="J365" s="1">
        <v>1</v>
      </c>
      <c r="K365" s="1" t="s">
        <v>142</v>
      </c>
      <c r="L365" s="1" t="s">
        <v>177</v>
      </c>
      <c r="M365" s="1" t="s">
        <v>28</v>
      </c>
      <c r="N365" s="1" t="str">
        <f>HYPERLINK("https://klocwork.india.ti.com:443/review/insight-review.html#issuedetails_goto:problemid=46758,project=MCU_PLUS_SDK_AM263X,searchquery=taxonomy:'C and C++' build:Build_Apr_13_2023_11_11_AM grouping:off ","KW Issue Link")</f>
        <v>KW Issue Link</v>
      </c>
      <c r="O365" s="1" t="s">
        <v>291</v>
      </c>
    </row>
    <row r="366" spans="1:15" ht="60" x14ac:dyDescent="0.25">
      <c r="A366" s="1" t="s">
        <v>157</v>
      </c>
      <c r="B366" s="1"/>
      <c r="C366" s="1" t="s">
        <v>648</v>
      </c>
      <c r="D366" s="1">
        <v>46817</v>
      </c>
      <c r="E366" s="1">
        <v>284</v>
      </c>
      <c r="F366" s="1" t="s">
        <v>658</v>
      </c>
      <c r="G366" s="1" t="s">
        <v>653</v>
      </c>
      <c r="H366" s="1" t="s">
        <v>141</v>
      </c>
      <c r="I366" s="1" t="s">
        <v>65</v>
      </c>
      <c r="J366" s="1">
        <v>3</v>
      </c>
      <c r="K366" s="1" t="s">
        <v>142</v>
      </c>
      <c r="L366" s="1" t="s">
        <v>153</v>
      </c>
      <c r="M366" s="1" t="s">
        <v>28</v>
      </c>
      <c r="N366" s="1" t="str">
        <f>HYPERLINK("https://klocwork.india.ti.com:443/review/insight-review.html#issuedetails_goto:problemid=46817,project=MCU_PLUS_SDK_AM263X,searchquery=taxonomy:'C and C++' build:Build_Apr_13_2023_11_11_AM grouping:off ","KW Issue Link")</f>
        <v>KW Issue Link</v>
      </c>
      <c r="O366" s="1" t="s">
        <v>291</v>
      </c>
    </row>
    <row r="367" spans="1:15" ht="60" x14ac:dyDescent="0.25">
      <c r="A367" s="1" t="s">
        <v>145</v>
      </c>
      <c r="B367" s="1" t="s">
        <v>299</v>
      </c>
      <c r="C367" s="1" t="s">
        <v>648</v>
      </c>
      <c r="D367" s="1">
        <v>46822</v>
      </c>
      <c r="E367" s="1">
        <v>336</v>
      </c>
      <c r="F367" s="1" t="s">
        <v>147</v>
      </c>
      <c r="G367" s="1" t="s">
        <v>659</v>
      </c>
      <c r="H367" s="1" t="s">
        <v>141</v>
      </c>
      <c r="I367" s="1" t="s">
        <v>64</v>
      </c>
      <c r="J367" s="1">
        <v>2</v>
      </c>
      <c r="K367" s="1" t="s">
        <v>142</v>
      </c>
      <c r="L367" s="1" t="s">
        <v>177</v>
      </c>
      <c r="M367" s="1" t="s">
        <v>28</v>
      </c>
      <c r="N367" s="1" t="str">
        <f>HYPERLINK("https://klocwork.india.ti.com:443/review/insight-review.html#issuedetails_goto:problemid=46822,project=MCU_PLUS_SDK_AM263X,searchquery=taxonomy:'C and C++' build:Build_Apr_13_2023_11_11_AM grouping:off ","KW Issue Link")</f>
        <v>KW Issue Link</v>
      </c>
      <c r="O367" s="1" t="s">
        <v>291</v>
      </c>
    </row>
    <row r="368" spans="1:15" ht="75" x14ac:dyDescent="0.25">
      <c r="A368" s="1" t="s">
        <v>298</v>
      </c>
      <c r="B368" s="1" t="s">
        <v>299</v>
      </c>
      <c r="C368" s="1" t="s">
        <v>660</v>
      </c>
      <c r="D368" s="1">
        <v>47312</v>
      </c>
      <c r="E368" s="1">
        <v>497</v>
      </c>
      <c r="F368" s="1" t="s">
        <v>661</v>
      </c>
      <c r="G368" s="1" t="s">
        <v>662</v>
      </c>
      <c r="H368" s="1" t="s">
        <v>141</v>
      </c>
      <c r="I368" s="1" t="s">
        <v>63</v>
      </c>
      <c r="J368" s="1">
        <v>1</v>
      </c>
      <c r="K368" s="1" t="s">
        <v>142</v>
      </c>
      <c r="L368" s="1" t="s">
        <v>177</v>
      </c>
      <c r="M368" s="1" t="s">
        <v>28</v>
      </c>
      <c r="N368" s="1" t="str">
        <f>HYPERLINK("https://klocwork.india.ti.com:443/review/insight-review.html#issuedetails_goto:problemid=47312,project=MCU_PLUS_SDK_AM263X,searchquery=taxonomy:'C and C++' build:Build_Apr_13_2023_11_11_AM grouping:off ","KW Issue Link")</f>
        <v>KW Issue Link</v>
      </c>
      <c r="O368" s="1" t="s">
        <v>291</v>
      </c>
    </row>
    <row r="369" spans="1:15" ht="75" x14ac:dyDescent="0.25">
      <c r="A369" s="1" t="s">
        <v>298</v>
      </c>
      <c r="B369" s="1" t="s">
        <v>299</v>
      </c>
      <c r="C369" s="1" t="s">
        <v>660</v>
      </c>
      <c r="D369" s="1">
        <v>47313</v>
      </c>
      <c r="E369" s="1">
        <v>703</v>
      </c>
      <c r="F369" s="1" t="s">
        <v>663</v>
      </c>
      <c r="G369" s="1" t="s">
        <v>664</v>
      </c>
      <c r="H369" s="1" t="s">
        <v>141</v>
      </c>
      <c r="I369" s="1" t="s">
        <v>63</v>
      </c>
      <c r="J369" s="1">
        <v>1</v>
      </c>
      <c r="K369" s="1" t="s">
        <v>142</v>
      </c>
      <c r="L369" s="1" t="s">
        <v>177</v>
      </c>
      <c r="M369" s="1" t="s">
        <v>28</v>
      </c>
      <c r="N369" s="1" t="str">
        <f>HYPERLINK("https://klocwork.india.ti.com:443/review/insight-review.html#issuedetails_goto:problemid=47313,project=MCU_PLUS_SDK_AM263X,searchquery=taxonomy:'C and C++' build:Build_Apr_13_2023_11_11_AM grouping:off ","KW Issue Link")</f>
        <v>KW Issue Link</v>
      </c>
      <c r="O369" s="1" t="s">
        <v>291</v>
      </c>
    </row>
    <row r="370" spans="1:15" ht="75" x14ac:dyDescent="0.25">
      <c r="A370" s="1" t="s">
        <v>298</v>
      </c>
      <c r="B370" s="1" t="s">
        <v>299</v>
      </c>
      <c r="C370" s="1" t="s">
        <v>660</v>
      </c>
      <c r="D370" s="1">
        <v>47314</v>
      </c>
      <c r="E370" s="1">
        <v>1036</v>
      </c>
      <c r="F370" s="1" t="s">
        <v>665</v>
      </c>
      <c r="G370" s="1" t="s">
        <v>666</v>
      </c>
      <c r="H370" s="1" t="s">
        <v>141</v>
      </c>
      <c r="I370" s="1" t="s">
        <v>63</v>
      </c>
      <c r="J370" s="1">
        <v>1</v>
      </c>
      <c r="K370" s="1" t="s">
        <v>142</v>
      </c>
      <c r="L370" s="1" t="s">
        <v>177</v>
      </c>
      <c r="M370" s="1" t="s">
        <v>28</v>
      </c>
      <c r="N370" s="1" t="str">
        <f>HYPERLINK("https://klocwork.india.ti.com:443/review/insight-review.html#issuedetails_goto:problemid=47314,project=MCU_PLUS_SDK_AM263X,searchquery=taxonomy:'C and C++' build:Build_Apr_13_2023_11_11_AM grouping:off ","KW Issue Link")</f>
        <v>KW Issue Link</v>
      </c>
      <c r="O370" s="1" t="s">
        <v>291</v>
      </c>
    </row>
    <row r="371" spans="1:15" ht="120" x14ac:dyDescent="0.25">
      <c r="A371" s="1" t="s">
        <v>190</v>
      </c>
      <c r="B371" s="1" t="s">
        <v>299</v>
      </c>
      <c r="C371" s="1" t="s">
        <v>660</v>
      </c>
      <c r="D371" s="1">
        <v>47350</v>
      </c>
      <c r="E371" s="1">
        <v>1034</v>
      </c>
      <c r="F371" s="1" t="s">
        <v>667</v>
      </c>
      <c r="G371" s="1" t="s">
        <v>666</v>
      </c>
      <c r="H371" s="1" t="s">
        <v>141</v>
      </c>
      <c r="I371" s="1" t="s">
        <v>63</v>
      </c>
      <c r="J371" s="1">
        <v>1</v>
      </c>
      <c r="K371" s="1" t="s">
        <v>142</v>
      </c>
      <c r="L371" s="1" t="s">
        <v>177</v>
      </c>
      <c r="M371" s="1" t="s">
        <v>28</v>
      </c>
      <c r="N371" s="1" t="str">
        <f>HYPERLINK("https://klocwork.india.ti.com:443/review/insight-review.html#issuedetails_goto:problemid=47350,project=MCU_PLUS_SDK_AM263X,searchquery=taxonomy:'C and C++' build:Build_Apr_13_2023_11_11_AM grouping:off ","KW Issue Link")</f>
        <v>KW Issue Link</v>
      </c>
      <c r="O371" s="1" t="s">
        <v>291</v>
      </c>
    </row>
    <row r="372" spans="1:15" ht="90" x14ac:dyDescent="0.25">
      <c r="A372" s="1" t="s">
        <v>190</v>
      </c>
      <c r="B372" s="1" t="s">
        <v>299</v>
      </c>
      <c r="C372" s="1" t="s">
        <v>660</v>
      </c>
      <c r="D372" s="1">
        <v>47351</v>
      </c>
      <c r="E372" s="1">
        <v>1036</v>
      </c>
      <c r="F372" s="1" t="s">
        <v>668</v>
      </c>
      <c r="G372" s="1" t="s">
        <v>666</v>
      </c>
      <c r="H372" s="1" t="s">
        <v>141</v>
      </c>
      <c r="I372" s="1" t="s">
        <v>63</v>
      </c>
      <c r="J372" s="1">
        <v>1</v>
      </c>
      <c r="K372" s="1" t="s">
        <v>142</v>
      </c>
      <c r="L372" s="1" t="s">
        <v>177</v>
      </c>
      <c r="M372" s="1" t="s">
        <v>28</v>
      </c>
      <c r="N372" s="1" t="str">
        <f>HYPERLINK("https://klocwork.india.ti.com:443/review/insight-review.html#issuedetails_goto:problemid=47351,project=MCU_PLUS_SDK_AM263X,searchquery=taxonomy:'C and C++' build:Build_Apr_13_2023_11_11_AM grouping:off ","KW Issue Link")</f>
        <v>KW Issue Link</v>
      </c>
      <c r="O372" s="1" t="s">
        <v>291</v>
      </c>
    </row>
    <row r="373" spans="1:15" ht="75" x14ac:dyDescent="0.25">
      <c r="A373" s="1" t="s">
        <v>155</v>
      </c>
      <c r="B373" s="1"/>
      <c r="C373" s="1" t="s">
        <v>660</v>
      </c>
      <c r="D373" s="1">
        <v>47354</v>
      </c>
      <c r="E373" s="1">
        <v>1404</v>
      </c>
      <c r="F373" s="1" t="s">
        <v>156</v>
      </c>
      <c r="G373" s="1" t="s">
        <v>669</v>
      </c>
      <c r="H373" s="1" t="s">
        <v>141</v>
      </c>
      <c r="I373" s="1" t="s">
        <v>65</v>
      </c>
      <c r="J373" s="1">
        <v>3</v>
      </c>
      <c r="K373" s="1" t="s">
        <v>142</v>
      </c>
      <c r="L373" s="1" t="s">
        <v>153</v>
      </c>
      <c r="M373" s="1" t="s">
        <v>28</v>
      </c>
      <c r="N373" s="1" t="str">
        <f>HYPERLINK("https://klocwork.india.ti.com:443/review/insight-review.html#issuedetails_goto:problemid=47354,project=MCU_PLUS_SDK_AM263X,searchquery=taxonomy:'C and C++' build:Build_Apr_13_2023_11_11_AM grouping:off ","KW Issue Link")</f>
        <v>KW Issue Link</v>
      </c>
      <c r="O373" s="1" t="s">
        <v>291</v>
      </c>
    </row>
    <row r="374" spans="1:15" ht="75" x14ac:dyDescent="0.25">
      <c r="A374" s="1" t="s">
        <v>155</v>
      </c>
      <c r="B374" s="1"/>
      <c r="C374" s="1" t="s">
        <v>660</v>
      </c>
      <c r="D374" s="1">
        <v>47355</v>
      </c>
      <c r="E374" s="1">
        <v>1405</v>
      </c>
      <c r="F374" s="1" t="s">
        <v>156</v>
      </c>
      <c r="G374" s="1" t="s">
        <v>669</v>
      </c>
      <c r="H374" s="1" t="s">
        <v>141</v>
      </c>
      <c r="I374" s="1" t="s">
        <v>65</v>
      </c>
      <c r="J374" s="1">
        <v>3</v>
      </c>
      <c r="K374" s="1" t="s">
        <v>142</v>
      </c>
      <c r="L374" s="1" t="s">
        <v>153</v>
      </c>
      <c r="M374" s="1" t="s">
        <v>28</v>
      </c>
      <c r="N374" s="1" t="str">
        <f>HYPERLINK("https://klocwork.india.ti.com:443/review/insight-review.html#issuedetails_goto:problemid=47355,project=MCU_PLUS_SDK_AM263X,searchquery=taxonomy:'C and C++' build:Build_Apr_13_2023_11_11_AM grouping:off ","KW Issue Link")</f>
        <v>KW Issue Link</v>
      </c>
      <c r="O374" s="1" t="s">
        <v>291</v>
      </c>
    </row>
    <row r="375" spans="1:15" ht="75" x14ac:dyDescent="0.25">
      <c r="A375" s="1" t="s">
        <v>547</v>
      </c>
      <c r="B375" s="1"/>
      <c r="C375" s="1" t="s">
        <v>670</v>
      </c>
      <c r="D375" s="1">
        <v>47638</v>
      </c>
      <c r="E375" s="1">
        <v>391</v>
      </c>
      <c r="F375" s="1" t="s">
        <v>548</v>
      </c>
      <c r="G375" s="1" t="s">
        <v>671</v>
      </c>
      <c r="H375" s="1" t="s">
        <v>141</v>
      </c>
      <c r="I375" s="1" t="s">
        <v>66</v>
      </c>
      <c r="J375" s="1">
        <v>4</v>
      </c>
      <c r="K375" s="1" t="s">
        <v>142</v>
      </c>
      <c r="L375" s="1" t="s">
        <v>153</v>
      </c>
      <c r="M375" s="1" t="s">
        <v>28</v>
      </c>
      <c r="N375" s="1" t="str">
        <f>HYPERLINK("https://klocwork.india.ti.com:443/review/insight-review.html#issuedetails_goto:problemid=47638,project=MCU_PLUS_SDK_AM263X,searchquery=taxonomy:'C and C++' build:Build_Apr_13_2023_11_11_AM grouping:off ","KW Issue Link")</f>
        <v>KW Issue Link</v>
      </c>
      <c r="O375" s="1" t="s">
        <v>291</v>
      </c>
    </row>
    <row r="376" spans="1:15" ht="75" x14ac:dyDescent="0.25">
      <c r="A376" s="1" t="s">
        <v>547</v>
      </c>
      <c r="B376" s="1"/>
      <c r="C376" s="1" t="s">
        <v>670</v>
      </c>
      <c r="D376" s="1">
        <v>47639</v>
      </c>
      <c r="E376" s="1">
        <v>438</v>
      </c>
      <c r="F376" s="1" t="s">
        <v>548</v>
      </c>
      <c r="G376" s="1" t="s">
        <v>672</v>
      </c>
      <c r="H376" s="1" t="s">
        <v>141</v>
      </c>
      <c r="I376" s="1" t="s">
        <v>66</v>
      </c>
      <c r="J376" s="1">
        <v>4</v>
      </c>
      <c r="K376" s="1" t="s">
        <v>142</v>
      </c>
      <c r="L376" s="1" t="s">
        <v>153</v>
      </c>
      <c r="M376" s="1" t="s">
        <v>28</v>
      </c>
      <c r="N376" s="1" t="str">
        <f>HYPERLINK("https://klocwork.india.ti.com:443/review/insight-review.html#issuedetails_goto:problemid=47639,project=MCU_PLUS_SDK_AM263X,searchquery=taxonomy:'C and C++' build:Build_Apr_13_2023_11_11_AM grouping:off ","KW Issue Link")</f>
        <v>KW Issue Link</v>
      </c>
      <c r="O376" s="1" t="s">
        <v>291</v>
      </c>
    </row>
    <row r="377" spans="1:15" ht="75" x14ac:dyDescent="0.25">
      <c r="A377" s="1" t="s">
        <v>547</v>
      </c>
      <c r="B377" s="1"/>
      <c r="C377" s="1" t="s">
        <v>670</v>
      </c>
      <c r="D377" s="1">
        <v>47640</v>
      </c>
      <c r="E377" s="1">
        <v>659</v>
      </c>
      <c r="F377" s="1" t="s">
        <v>548</v>
      </c>
      <c r="G377" s="1" t="s">
        <v>673</v>
      </c>
      <c r="H377" s="1" t="s">
        <v>141</v>
      </c>
      <c r="I377" s="1" t="s">
        <v>66</v>
      </c>
      <c r="J377" s="1">
        <v>4</v>
      </c>
      <c r="K377" s="1" t="s">
        <v>142</v>
      </c>
      <c r="L377" s="1" t="s">
        <v>153</v>
      </c>
      <c r="M377" s="1" t="s">
        <v>28</v>
      </c>
      <c r="N377" s="1" t="str">
        <f>HYPERLINK("https://klocwork.india.ti.com:443/review/insight-review.html#issuedetails_goto:problemid=47640,project=MCU_PLUS_SDK_AM263X,searchquery=taxonomy:'C and C++' build:Build_Apr_13_2023_11_11_AM grouping:off ","KW Issue Link")</f>
        <v>KW Issue Link</v>
      </c>
      <c r="O377" s="1" t="s">
        <v>291</v>
      </c>
    </row>
    <row r="378" spans="1:15" ht="75" x14ac:dyDescent="0.25">
      <c r="A378" s="1" t="s">
        <v>155</v>
      </c>
      <c r="B378" s="1"/>
      <c r="C378" s="1" t="s">
        <v>674</v>
      </c>
      <c r="D378" s="1">
        <v>47803</v>
      </c>
      <c r="E378" s="1">
        <v>408</v>
      </c>
      <c r="F378" s="1" t="s">
        <v>156</v>
      </c>
      <c r="G378" s="1" t="s">
        <v>675</v>
      </c>
      <c r="H378" s="1" t="s">
        <v>141</v>
      </c>
      <c r="I378" s="1" t="s">
        <v>65</v>
      </c>
      <c r="J378" s="1">
        <v>3</v>
      </c>
      <c r="K378" s="1" t="s">
        <v>142</v>
      </c>
      <c r="L378" s="1" t="s">
        <v>153</v>
      </c>
      <c r="M378" s="1" t="s">
        <v>28</v>
      </c>
      <c r="N378" s="1" t="str">
        <f>HYPERLINK("https://klocwork.india.ti.com:443/review/insight-review.html#issuedetails_goto:problemid=47803,project=MCU_PLUS_SDK_AM263X,searchquery=taxonomy:'C and C++' build:Build_Apr_13_2023_11_11_AM grouping:off ","KW Issue Link")</f>
        <v>KW Issue Link</v>
      </c>
      <c r="O378" s="1" t="s">
        <v>291</v>
      </c>
    </row>
    <row r="379" spans="1:15" ht="75" x14ac:dyDescent="0.25">
      <c r="A379" s="1" t="s">
        <v>302</v>
      </c>
      <c r="B379" s="1" t="s">
        <v>299</v>
      </c>
      <c r="C379" s="1" t="s">
        <v>674</v>
      </c>
      <c r="D379" s="1">
        <v>47811</v>
      </c>
      <c r="E379" s="1">
        <v>630</v>
      </c>
      <c r="F379" s="1" t="s">
        <v>676</v>
      </c>
      <c r="G379" s="1" t="s">
        <v>677</v>
      </c>
      <c r="H379" s="1" t="s">
        <v>141</v>
      </c>
      <c r="I379" s="1" t="s">
        <v>63</v>
      </c>
      <c r="J379" s="1">
        <v>1</v>
      </c>
      <c r="K379" s="1" t="s">
        <v>142</v>
      </c>
      <c r="L379" s="1" t="s">
        <v>177</v>
      </c>
      <c r="M379" s="1" t="s">
        <v>28</v>
      </c>
      <c r="N379" s="1" t="str">
        <f>HYPERLINK("https://klocwork.india.ti.com:443/review/insight-review.html#issuedetails_goto:problemid=47811,project=MCU_PLUS_SDK_AM263X,searchquery=taxonomy:'C and C++' build:Build_Apr_13_2023_11_11_AM grouping:off ","KW Issue Link")</f>
        <v>KW Issue Link</v>
      </c>
      <c r="O379" s="1" t="s">
        <v>291</v>
      </c>
    </row>
    <row r="380" spans="1:15" ht="75" x14ac:dyDescent="0.25">
      <c r="A380" s="1" t="s">
        <v>302</v>
      </c>
      <c r="B380" s="1" t="s">
        <v>299</v>
      </c>
      <c r="C380" s="1" t="s">
        <v>674</v>
      </c>
      <c r="D380" s="1">
        <v>47812</v>
      </c>
      <c r="E380" s="1">
        <v>630</v>
      </c>
      <c r="F380" s="1" t="s">
        <v>678</v>
      </c>
      <c r="G380" s="1" t="s">
        <v>677</v>
      </c>
      <c r="H380" s="1" t="s">
        <v>141</v>
      </c>
      <c r="I380" s="1" t="s">
        <v>63</v>
      </c>
      <c r="J380" s="1">
        <v>1</v>
      </c>
      <c r="K380" s="1" t="s">
        <v>142</v>
      </c>
      <c r="L380" s="1" t="s">
        <v>177</v>
      </c>
      <c r="M380" s="1" t="s">
        <v>28</v>
      </c>
      <c r="N380" s="1" t="str">
        <f>HYPERLINK("https://klocwork.india.ti.com:443/review/insight-review.html#issuedetails_goto:problemid=47812,project=MCU_PLUS_SDK_AM263X,searchquery=taxonomy:'C and C++' build:Build_Apr_13_2023_11_11_AM grouping:off ","KW Issue Link")</f>
        <v>KW Issue Link</v>
      </c>
      <c r="O380" s="1" t="s">
        <v>291</v>
      </c>
    </row>
    <row r="381" spans="1:15" ht="75" x14ac:dyDescent="0.25">
      <c r="A381" s="1" t="s">
        <v>302</v>
      </c>
      <c r="B381" s="1" t="s">
        <v>299</v>
      </c>
      <c r="C381" s="1" t="s">
        <v>674</v>
      </c>
      <c r="D381" s="1">
        <v>47813</v>
      </c>
      <c r="E381" s="1">
        <v>706</v>
      </c>
      <c r="F381" s="1" t="s">
        <v>679</v>
      </c>
      <c r="G381" s="1" t="s">
        <v>680</v>
      </c>
      <c r="H381" s="1" t="s">
        <v>141</v>
      </c>
      <c r="I381" s="1" t="s">
        <v>63</v>
      </c>
      <c r="J381" s="1">
        <v>1</v>
      </c>
      <c r="K381" s="1" t="s">
        <v>142</v>
      </c>
      <c r="L381" s="1" t="s">
        <v>177</v>
      </c>
      <c r="M381" s="1" t="s">
        <v>28</v>
      </c>
      <c r="N381" s="1" t="str">
        <f>HYPERLINK("https://klocwork.india.ti.com:443/review/insight-review.html#issuedetails_goto:problemid=47813,project=MCU_PLUS_SDK_AM263X,searchquery=taxonomy:'C and C++' build:Build_Apr_13_2023_11_11_AM grouping:off ","KW Issue Link")</f>
        <v>KW Issue Link</v>
      </c>
      <c r="O381" s="1" t="s">
        <v>291</v>
      </c>
    </row>
    <row r="382" spans="1:15" ht="120" x14ac:dyDescent="0.25">
      <c r="A382" s="1" t="s">
        <v>461</v>
      </c>
      <c r="B382" s="1" t="s">
        <v>299</v>
      </c>
      <c r="C382" s="1" t="s">
        <v>674</v>
      </c>
      <c r="D382" s="1">
        <v>47843</v>
      </c>
      <c r="E382" s="1">
        <v>740</v>
      </c>
      <c r="F382" s="1" t="s">
        <v>681</v>
      </c>
      <c r="G382" s="1" t="s">
        <v>682</v>
      </c>
      <c r="H382" s="1" t="s">
        <v>141</v>
      </c>
      <c r="I382" s="1" t="s">
        <v>63</v>
      </c>
      <c r="J382" s="1">
        <v>1</v>
      </c>
      <c r="K382" s="1" t="s">
        <v>142</v>
      </c>
      <c r="L382" s="1" t="s">
        <v>177</v>
      </c>
      <c r="M382" s="1" t="s">
        <v>28</v>
      </c>
      <c r="N382" s="1" t="str">
        <f>HYPERLINK("https://klocwork.india.ti.com:443/review/insight-review.html#issuedetails_goto:problemid=47843,project=MCU_PLUS_SDK_AM263X,searchquery=taxonomy:'C and C++' build:Build_Apr_13_2023_11_11_AM grouping:off ","KW Issue Link")</f>
        <v>KW Issue Link</v>
      </c>
      <c r="O382" s="1" t="s">
        <v>291</v>
      </c>
    </row>
    <row r="383" spans="1:15" ht="135" x14ac:dyDescent="0.25">
      <c r="A383" s="1" t="s">
        <v>461</v>
      </c>
      <c r="B383" s="1" t="s">
        <v>299</v>
      </c>
      <c r="C383" s="1" t="s">
        <v>674</v>
      </c>
      <c r="D383" s="1">
        <v>47844</v>
      </c>
      <c r="E383" s="1">
        <v>762</v>
      </c>
      <c r="F383" s="1" t="s">
        <v>683</v>
      </c>
      <c r="G383" s="1" t="s">
        <v>684</v>
      </c>
      <c r="H383" s="1" t="s">
        <v>141</v>
      </c>
      <c r="I383" s="1" t="s">
        <v>63</v>
      </c>
      <c r="J383" s="1">
        <v>1</v>
      </c>
      <c r="K383" s="1" t="s">
        <v>142</v>
      </c>
      <c r="L383" s="1" t="s">
        <v>177</v>
      </c>
      <c r="M383" s="1" t="s">
        <v>28</v>
      </c>
      <c r="N383" s="1" t="str">
        <f>HYPERLINK("https://klocwork.india.ti.com:443/review/insight-review.html#issuedetails_goto:problemid=47844,project=MCU_PLUS_SDK_AM263X,searchquery=taxonomy:'C and C++' build:Build_Apr_13_2023_11_11_AM grouping:off ","KW Issue Link")</f>
        <v>KW Issue Link</v>
      </c>
      <c r="O383" s="1" t="s">
        <v>291</v>
      </c>
    </row>
    <row r="384" spans="1:15" ht="120" x14ac:dyDescent="0.25">
      <c r="A384" s="1" t="s">
        <v>459</v>
      </c>
      <c r="B384" s="1" t="s">
        <v>299</v>
      </c>
      <c r="C384" s="1" t="s">
        <v>685</v>
      </c>
      <c r="D384" s="1">
        <v>48386</v>
      </c>
      <c r="E384" s="1">
        <v>276</v>
      </c>
      <c r="F384" s="1" t="s">
        <v>686</v>
      </c>
      <c r="G384" s="1" t="s">
        <v>687</v>
      </c>
      <c r="H384" s="1" t="s">
        <v>141</v>
      </c>
      <c r="I384" s="1" t="s">
        <v>63</v>
      </c>
      <c r="J384" s="1">
        <v>1</v>
      </c>
      <c r="K384" s="1" t="s">
        <v>142</v>
      </c>
      <c r="L384" s="1" t="s">
        <v>177</v>
      </c>
      <c r="M384" s="1" t="s">
        <v>28</v>
      </c>
      <c r="N384" s="1" t="str">
        <f>HYPERLINK("https://klocwork.india.ti.com:443/review/insight-review.html#issuedetails_goto:problemid=48386,project=MCU_PLUS_SDK_AM263X,searchquery=taxonomy:'C and C++' build:Build_Apr_13_2023_11_11_AM grouping:off ","KW Issue Link")</f>
        <v>KW Issue Link</v>
      </c>
      <c r="O384" s="1" t="s">
        <v>291</v>
      </c>
    </row>
    <row r="385" spans="1:15" ht="120" x14ac:dyDescent="0.25">
      <c r="A385" s="1" t="s">
        <v>459</v>
      </c>
      <c r="B385" s="1" t="s">
        <v>299</v>
      </c>
      <c r="C385" s="1" t="s">
        <v>685</v>
      </c>
      <c r="D385" s="1">
        <v>48387</v>
      </c>
      <c r="E385" s="1">
        <v>352</v>
      </c>
      <c r="F385" s="1" t="s">
        <v>688</v>
      </c>
      <c r="G385" s="1" t="s">
        <v>689</v>
      </c>
      <c r="H385" s="1" t="s">
        <v>141</v>
      </c>
      <c r="I385" s="1" t="s">
        <v>63</v>
      </c>
      <c r="J385" s="1">
        <v>1</v>
      </c>
      <c r="K385" s="1" t="s">
        <v>142</v>
      </c>
      <c r="L385" s="1" t="s">
        <v>177</v>
      </c>
      <c r="M385" s="1" t="s">
        <v>28</v>
      </c>
      <c r="N385" s="1" t="str">
        <f>HYPERLINK("https://klocwork.india.ti.com:443/review/insight-review.html#issuedetails_goto:problemid=48387,project=MCU_PLUS_SDK_AM263X,searchquery=taxonomy:'C and C++' build:Build_Apr_13_2023_11_11_AM grouping:off ","KW Issue Link")</f>
        <v>KW Issue Link</v>
      </c>
      <c r="O385" s="1" t="s">
        <v>291</v>
      </c>
    </row>
    <row r="386" spans="1:15" ht="75" x14ac:dyDescent="0.25">
      <c r="A386" s="1" t="s">
        <v>302</v>
      </c>
      <c r="B386" s="1" t="s">
        <v>299</v>
      </c>
      <c r="C386" s="1" t="s">
        <v>685</v>
      </c>
      <c r="D386" s="1">
        <v>48390</v>
      </c>
      <c r="E386" s="1">
        <v>356</v>
      </c>
      <c r="F386" s="1" t="s">
        <v>690</v>
      </c>
      <c r="G386" s="1" t="s">
        <v>689</v>
      </c>
      <c r="H386" s="1" t="s">
        <v>141</v>
      </c>
      <c r="I386" s="1" t="s">
        <v>63</v>
      </c>
      <c r="J386" s="1">
        <v>1</v>
      </c>
      <c r="K386" s="1" t="s">
        <v>142</v>
      </c>
      <c r="L386" s="1" t="s">
        <v>177</v>
      </c>
      <c r="M386" s="1" t="s">
        <v>28</v>
      </c>
      <c r="N386" s="1" t="str">
        <f>HYPERLINK("https://klocwork.india.ti.com:443/review/insight-review.html#issuedetails_goto:problemid=48390,project=MCU_PLUS_SDK_AM263X,searchquery=taxonomy:'C and C++' build:Build_Apr_13_2023_11_11_AM grouping:off ","KW Issue Link")</f>
        <v>KW Issue Link</v>
      </c>
      <c r="O386" s="1" t="s">
        <v>291</v>
      </c>
    </row>
    <row r="387" spans="1:15" ht="75" x14ac:dyDescent="0.25">
      <c r="A387" s="1" t="s">
        <v>149</v>
      </c>
      <c r="B387" s="1"/>
      <c r="C387" s="1" t="s">
        <v>691</v>
      </c>
      <c r="D387" s="1">
        <v>48547</v>
      </c>
      <c r="E387" s="1">
        <v>349</v>
      </c>
      <c r="F387" s="1" t="s">
        <v>692</v>
      </c>
      <c r="G387" s="1" t="s">
        <v>693</v>
      </c>
      <c r="H387" s="1" t="s">
        <v>141</v>
      </c>
      <c r="I387" s="1" t="s">
        <v>65</v>
      </c>
      <c r="J387" s="1">
        <v>3</v>
      </c>
      <c r="K387" s="1" t="s">
        <v>142</v>
      </c>
      <c r="L387" s="1" t="s">
        <v>153</v>
      </c>
      <c r="M387" s="1" t="s">
        <v>28</v>
      </c>
      <c r="N387" s="1" t="str">
        <f>HYPERLINK("https://klocwork.india.ti.com:443/review/insight-review.html#issuedetails_goto:problemid=48547,project=MCU_PLUS_SDK_AM263X,searchquery=taxonomy:'C and C++' build:Build_Apr_13_2023_11_11_AM grouping:off ","KW Issue Link")</f>
        <v>KW Issue Link</v>
      </c>
      <c r="O387" s="1" t="s">
        <v>291</v>
      </c>
    </row>
    <row r="388" spans="1:15" ht="75" x14ac:dyDescent="0.25">
      <c r="A388" s="1" t="s">
        <v>149</v>
      </c>
      <c r="B388" s="1"/>
      <c r="C388" s="1" t="s">
        <v>694</v>
      </c>
      <c r="D388" s="1">
        <v>48618</v>
      </c>
      <c r="E388" s="1">
        <v>135</v>
      </c>
      <c r="F388" s="1" t="s">
        <v>692</v>
      </c>
      <c r="G388" s="1" t="s">
        <v>695</v>
      </c>
      <c r="H388" s="1" t="s">
        <v>141</v>
      </c>
      <c r="I388" s="1" t="s">
        <v>65</v>
      </c>
      <c r="J388" s="1">
        <v>3</v>
      </c>
      <c r="K388" s="1" t="s">
        <v>142</v>
      </c>
      <c r="L388" s="1" t="s">
        <v>153</v>
      </c>
      <c r="M388" s="1" t="s">
        <v>28</v>
      </c>
      <c r="N388" s="1" t="str">
        <f>HYPERLINK("https://klocwork.india.ti.com:443/review/insight-review.html#issuedetails_goto:problemid=48618,project=MCU_PLUS_SDK_AM263X,searchquery=taxonomy:'C and C++' build:Build_Apr_13_2023_11_11_AM grouping:off ","KW Issue Link")</f>
        <v>KW Issue Link</v>
      </c>
      <c r="O388" s="1" t="s">
        <v>291</v>
      </c>
    </row>
    <row r="389" spans="1:15" ht="75" x14ac:dyDescent="0.25">
      <c r="A389" s="1" t="s">
        <v>298</v>
      </c>
      <c r="B389" s="1" t="s">
        <v>299</v>
      </c>
      <c r="C389" s="1" t="s">
        <v>696</v>
      </c>
      <c r="D389" s="1">
        <v>48835</v>
      </c>
      <c r="E389" s="1">
        <v>220</v>
      </c>
      <c r="F389" s="1" t="s">
        <v>697</v>
      </c>
      <c r="G389" s="1" t="s">
        <v>698</v>
      </c>
      <c r="H389" s="1" t="s">
        <v>141</v>
      </c>
      <c r="I389" s="1" t="s">
        <v>63</v>
      </c>
      <c r="J389" s="1">
        <v>1</v>
      </c>
      <c r="K389" s="1" t="s">
        <v>142</v>
      </c>
      <c r="L389" s="1" t="s">
        <v>177</v>
      </c>
      <c r="M389" s="1" t="s">
        <v>28</v>
      </c>
      <c r="N389" s="1" t="str">
        <f>HYPERLINK("https://klocwork.india.ti.com:443/review/insight-review.html#issuedetails_goto:problemid=48835,project=MCU_PLUS_SDK_AM263X,searchquery=taxonomy:'C and C++' build:Build_Apr_13_2023_11_11_AM grouping:off ","KW Issue Link")</f>
        <v>KW Issue Link</v>
      </c>
      <c r="O389" s="1" t="s">
        <v>291</v>
      </c>
    </row>
    <row r="390" spans="1:15" ht="75" x14ac:dyDescent="0.25">
      <c r="A390" s="1" t="s">
        <v>136</v>
      </c>
      <c r="B390" s="1"/>
      <c r="C390" s="1" t="s">
        <v>696</v>
      </c>
      <c r="D390" s="1">
        <v>49111</v>
      </c>
      <c r="E390" s="1">
        <v>367</v>
      </c>
      <c r="F390" s="1" t="s">
        <v>699</v>
      </c>
      <c r="G390" s="1" t="s">
        <v>700</v>
      </c>
      <c r="H390" s="1" t="s">
        <v>141</v>
      </c>
      <c r="I390" s="1" t="s">
        <v>66</v>
      </c>
      <c r="J390" s="1">
        <v>4</v>
      </c>
      <c r="K390" s="1" t="s">
        <v>142</v>
      </c>
      <c r="L390" s="1" t="s">
        <v>153</v>
      </c>
      <c r="M390" s="1" t="s">
        <v>28</v>
      </c>
      <c r="N390" s="1" t="str">
        <f>HYPERLINK("https://klocwork.india.ti.com:443/review/insight-review.html#issuedetails_goto:problemid=49111,project=MCU_PLUS_SDK_AM263X,searchquery=taxonomy:'C and C++' build:Build_Apr_13_2023_11_11_AM grouping:off ","KW Issue Link")</f>
        <v>KW Issue Link</v>
      </c>
      <c r="O390" s="1" t="s">
        <v>291</v>
      </c>
    </row>
    <row r="391" spans="1:15" ht="75" x14ac:dyDescent="0.25">
      <c r="A391" s="1" t="s">
        <v>149</v>
      </c>
      <c r="B391" s="1"/>
      <c r="C391" s="1" t="s">
        <v>696</v>
      </c>
      <c r="D391" s="1">
        <v>49751</v>
      </c>
      <c r="E391" s="1">
        <v>566</v>
      </c>
      <c r="F391" s="1" t="s">
        <v>701</v>
      </c>
      <c r="G391" s="1" t="s">
        <v>702</v>
      </c>
      <c r="H391" s="1" t="s">
        <v>141</v>
      </c>
      <c r="I391" s="1" t="s">
        <v>65</v>
      </c>
      <c r="J391" s="1">
        <v>3</v>
      </c>
      <c r="K391" s="1" t="s">
        <v>142</v>
      </c>
      <c r="L391" s="1" t="s">
        <v>153</v>
      </c>
      <c r="M391" s="1" t="s">
        <v>28</v>
      </c>
      <c r="N391" s="1" t="str">
        <f>HYPERLINK("https://klocwork.india.ti.com:443/review/insight-review.html#issuedetails_goto:problemid=49751,project=MCU_PLUS_SDK_AM263X,searchquery=taxonomy:'C and C++' build:Build_Apr_13_2023_11_11_AM grouping:off ","KW Issue Link")</f>
        <v>KW Issue Link</v>
      </c>
      <c r="O391" s="1" t="s">
        <v>291</v>
      </c>
    </row>
    <row r="392" spans="1:15" ht="105" x14ac:dyDescent="0.25">
      <c r="A392" s="1" t="s">
        <v>149</v>
      </c>
      <c r="B392" s="1"/>
      <c r="C392" s="1" t="s">
        <v>696</v>
      </c>
      <c r="D392" s="1">
        <v>49752</v>
      </c>
      <c r="E392" s="1">
        <v>690</v>
      </c>
      <c r="F392" s="1" t="s">
        <v>703</v>
      </c>
      <c r="G392" s="1" t="s">
        <v>704</v>
      </c>
      <c r="H392" s="1" t="s">
        <v>141</v>
      </c>
      <c r="I392" s="1" t="s">
        <v>65</v>
      </c>
      <c r="J392" s="1">
        <v>3</v>
      </c>
      <c r="K392" s="1" t="s">
        <v>142</v>
      </c>
      <c r="L392" s="1" t="s">
        <v>153</v>
      </c>
      <c r="M392" s="1" t="s">
        <v>28</v>
      </c>
      <c r="N392" s="1" t="str">
        <f>HYPERLINK("https://klocwork.india.ti.com:443/review/insight-review.html#issuedetails_goto:problemid=49752,project=MCU_PLUS_SDK_AM263X,searchquery=taxonomy:'C and C++' build:Build_Apr_13_2023_11_11_AM grouping:off ","KW Issue Link")</f>
        <v>KW Issue Link</v>
      </c>
      <c r="O392" s="1" t="s">
        <v>291</v>
      </c>
    </row>
    <row r="393" spans="1:15" ht="90" x14ac:dyDescent="0.25">
      <c r="A393" s="1" t="s">
        <v>149</v>
      </c>
      <c r="B393" s="1"/>
      <c r="C393" s="1" t="s">
        <v>696</v>
      </c>
      <c r="D393" s="1">
        <v>49753</v>
      </c>
      <c r="E393" s="1">
        <v>1497</v>
      </c>
      <c r="F393" s="1" t="s">
        <v>705</v>
      </c>
      <c r="G393" s="1" t="s">
        <v>706</v>
      </c>
      <c r="H393" s="1" t="s">
        <v>141</v>
      </c>
      <c r="I393" s="1" t="s">
        <v>65</v>
      </c>
      <c r="J393" s="1">
        <v>3</v>
      </c>
      <c r="K393" s="1" t="s">
        <v>142</v>
      </c>
      <c r="L393" s="1" t="s">
        <v>153</v>
      </c>
      <c r="M393" s="1" t="s">
        <v>28</v>
      </c>
      <c r="N393" s="1" t="str">
        <f>HYPERLINK("https://klocwork.india.ti.com:443/review/insight-review.html#issuedetails_goto:problemid=49753,project=MCU_PLUS_SDK_AM263X,searchquery=taxonomy:'C and C++' build:Build_Apr_13_2023_11_11_AM grouping:off ","KW Issue Link")</f>
        <v>KW Issue Link</v>
      </c>
      <c r="O393" s="1" t="s">
        <v>291</v>
      </c>
    </row>
    <row r="394" spans="1:15" ht="75" x14ac:dyDescent="0.25">
      <c r="A394" s="1" t="s">
        <v>155</v>
      </c>
      <c r="B394" s="1"/>
      <c r="C394" s="1" t="s">
        <v>696</v>
      </c>
      <c r="D394" s="1">
        <v>49754</v>
      </c>
      <c r="E394" s="1">
        <v>567</v>
      </c>
      <c r="F394" s="1" t="s">
        <v>156</v>
      </c>
      <c r="G394" s="1" t="s">
        <v>702</v>
      </c>
      <c r="H394" s="1" t="s">
        <v>141</v>
      </c>
      <c r="I394" s="1" t="s">
        <v>65</v>
      </c>
      <c r="J394" s="1">
        <v>3</v>
      </c>
      <c r="K394" s="1" t="s">
        <v>142</v>
      </c>
      <c r="L394" s="1" t="s">
        <v>153</v>
      </c>
      <c r="M394" s="1" t="s">
        <v>28</v>
      </c>
      <c r="N394" s="1" t="str">
        <f>HYPERLINK("https://klocwork.india.ti.com:443/review/insight-review.html#issuedetails_goto:problemid=49754,project=MCU_PLUS_SDK_AM263X,searchquery=taxonomy:'C and C++' build:Build_Apr_13_2023_11_11_AM grouping:off ","KW Issue Link")</f>
        <v>KW Issue Link</v>
      </c>
      <c r="O394" s="1" t="s">
        <v>291</v>
      </c>
    </row>
    <row r="395" spans="1:15" ht="75" x14ac:dyDescent="0.25">
      <c r="A395" s="1" t="s">
        <v>155</v>
      </c>
      <c r="B395" s="1"/>
      <c r="C395" s="1" t="s">
        <v>696</v>
      </c>
      <c r="D395" s="1">
        <v>49755</v>
      </c>
      <c r="E395" s="1">
        <v>694</v>
      </c>
      <c r="F395" s="1" t="s">
        <v>156</v>
      </c>
      <c r="G395" s="1" t="s">
        <v>704</v>
      </c>
      <c r="H395" s="1" t="s">
        <v>141</v>
      </c>
      <c r="I395" s="1" t="s">
        <v>65</v>
      </c>
      <c r="J395" s="1">
        <v>3</v>
      </c>
      <c r="K395" s="1" t="s">
        <v>142</v>
      </c>
      <c r="L395" s="1" t="s">
        <v>153</v>
      </c>
      <c r="M395" s="1" t="s">
        <v>28</v>
      </c>
      <c r="N395" s="1" t="str">
        <f>HYPERLINK("https://klocwork.india.ti.com:443/review/insight-review.html#issuedetails_goto:problemid=49755,project=MCU_PLUS_SDK_AM263X,searchquery=taxonomy:'C and C++' build:Build_Apr_13_2023_11_11_AM grouping:off ","KW Issue Link")</f>
        <v>KW Issue Link</v>
      </c>
      <c r="O395" s="1" t="s">
        <v>291</v>
      </c>
    </row>
    <row r="396" spans="1:15" ht="75" x14ac:dyDescent="0.25">
      <c r="A396" s="1" t="s">
        <v>155</v>
      </c>
      <c r="B396" s="1"/>
      <c r="C396" s="1" t="s">
        <v>696</v>
      </c>
      <c r="D396" s="1">
        <v>49756</v>
      </c>
      <c r="E396" s="1">
        <v>1500</v>
      </c>
      <c r="F396" s="1" t="s">
        <v>156</v>
      </c>
      <c r="G396" s="1" t="s">
        <v>706</v>
      </c>
      <c r="H396" s="1" t="s">
        <v>141</v>
      </c>
      <c r="I396" s="1" t="s">
        <v>65</v>
      </c>
      <c r="J396" s="1">
        <v>3</v>
      </c>
      <c r="K396" s="1" t="s">
        <v>142</v>
      </c>
      <c r="L396" s="1" t="s">
        <v>153</v>
      </c>
      <c r="M396" s="1" t="s">
        <v>28</v>
      </c>
      <c r="N396" s="1" t="str">
        <f>HYPERLINK("https://klocwork.india.ti.com:443/review/insight-review.html#issuedetails_goto:problemid=49756,project=MCU_PLUS_SDK_AM263X,searchquery=taxonomy:'C and C++' build:Build_Apr_13_2023_11_11_AM grouping:off ","KW Issue Link")</f>
        <v>KW Issue Link</v>
      </c>
      <c r="O396" s="1" t="s">
        <v>291</v>
      </c>
    </row>
    <row r="397" spans="1:15" ht="75" x14ac:dyDescent="0.25">
      <c r="A397" s="1" t="s">
        <v>157</v>
      </c>
      <c r="B397" s="1"/>
      <c r="C397" s="1" t="s">
        <v>707</v>
      </c>
      <c r="D397" s="1">
        <v>49914</v>
      </c>
      <c r="E397" s="1">
        <v>152</v>
      </c>
      <c r="F397" s="1" t="s">
        <v>708</v>
      </c>
      <c r="G397" s="1" t="s">
        <v>709</v>
      </c>
      <c r="H397" s="1" t="s">
        <v>141</v>
      </c>
      <c r="I397" s="1" t="s">
        <v>65</v>
      </c>
      <c r="J397" s="1">
        <v>3</v>
      </c>
      <c r="K397" s="1" t="s">
        <v>142</v>
      </c>
      <c r="L397" s="1" t="s">
        <v>153</v>
      </c>
      <c r="M397" s="1" t="s">
        <v>28</v>
      </c>
      <c r="N397" s="1" t="str">
        <f>HYPERLINK("https://klocwork.india.ti.com:443/review/insight-review.html#issuedetails_goto:problemid=49914,project=MCU_PLUS_SDK_AM263X,searchquery=taxonomy:'C and C++' build:Build_Apr_13_2023_11_11_AM grouping:off ","KW Issue Link")</f>
        <v>KW Issue Link</v>
      </c>
      <c r="O397" s="1" t="s">
        <v>291</v>
      </c>
    </row>
    <row r="398" spans="1:15" ht="75" x14ac:dyDescent="0.25">
      <c r="A398" s="1" t="s">
        <v>157</v>
      </c>
      <c r="B398" s="1"/>
      <c r="C398" s="1" t="s">
        <v>707</v>
      </c>
      <c r="D398" s="1">
        <v>49915</v>
      </c>
      <c r="E398" s="1">
        <v>286</v>
      </c>
      <c r="F398" s="1" t="s">
        <v>708</v>
      </c>
      <c r="G398" s="1" t="s">
        <v>710</v>
      </c>
      <c r="H398" s="1" t="s">
        <v>141</v>
      </c>
      <c r="I398" s="1" t="s">
        <v>65</v>
      </c>
      <c r="J398" s="1">
        <v>3</v>
      </c>
      <c r="K398" s="1" t="s">
        <v>142</v>
      </c>
      <c r="L398" s="1" t="s">
        <v>153</v>
      </c>
      <c r="M398" s="1" t="s">
        <v>28</v>
      </c>
      <c r="N398" s="1" t="str">
        <f>HYPERLINK("https://klocwork.india.ti.com:443/review/insight-review.html#issuedetails_goto:problemid=49915,project=MCU_PLUS_SDK_AM263X,searchquery=taxonomy:'C and C++' build:Build_Apr_13_2023_11_11_AM grouping:off ","KW Issue Link")</f>
        <v>KW Issue Link</v>
      </c>
      <c r="O398" s="1" t="s">
        <v>291</v>
      </c>
    </row>
    <row r="399" spans="1:15" ht="75" x14ac:dyDescent="0.25">
      <c r="A399" s="1" t="s">
        <v>155</v>
      </c>
      <c r="B399" s="1"/>
      <c r="C399" s="1" t="s">
        <v>707</v>
      </c>
      <c r="D399" s="1">
        <v>49926</v>
      </c>
      <c r="E399" s="1">
        <v>213</v>
      </c>
      <c r="F399" s="1" t="s">
        <v>156</v>
      </c>
      <c r="G399" s="1" t="s">
        <v>711</v>
      </c>
      <c r="H399" s="1" t="s">
        <v>141</v>
      </c>
      <c r="I399" s="1" t="s">
        <v>65</v>
      </c>
      <c r="J399" s="1">
        <v>3</v>
      </c>
      <c r="K399" s="1" t="s">
        <v>142</v>
      </c>
      <c r="L399" s="1" t="s">
        <v>153</v>
      </c>
      <c r="M399" s="1" t="s">
        <v>28</v>
      </c>
      <c r="N399" s="1" t="str">
        <f>HYPERLINK("https://klocwork.india.ti.com:443/review/insight-review.html#issuedetails_goto:problemid=49926,project=MCU_PLUS_SDK_AM263X,searchquery=taxonomy:'C and C++' build:Build_Apr_13_2023_11_11_AM grouping:off ","KW Issue Link")</f>
        <v>KW Issue Link</v>
      </c>
      <c r="O399" s="1" t="s">
        <v>291</v>
      </c>
    </row>
    <row r="400" spans="1:15" ht="75" x14ac:dyDescent="0.25">
      <c r="A400" s="1" t="s">
        <v>155</v>
      </c>
      <c r="B400" s="1"/>
      <c r="C400" s="1" t="s">
        <v>707</v>
      </c>
      <c r="D400" s="1">
        <v>49927</v>
      </c>
      <c r="E400" s="1">
        <v>213</v>
      </c>
      <c r="F400" s="1" t="s">
        <v>156</v>
      </c>
      <c r="G400" s="1" t="s">
        <v>711</v>
      </c>
      <c r="H400" s="1" t="s">
        <v>141</v>
      </c>
      <c r="I400" s="1" t="s">
        <v>65</v>
      </c>
      <c r="J400" s="1">
        <v>3</v>
      </c>
      <c r="K400" s="1" t="s">
        <v>142</v>
      </c>
      <c r="L400" s="1" t="s">
        <v>153</v>
      </c>
      <c r="M400" s="1" t="s">
        <v>28</v>
      </c>
      <c r="N400" s="1" t="str">
        <f>HYPERLINK("https://klocwork.india.ti.com:443/review/insight-review.html#issuedetails_goto:problemid=49927,project=MCU_PLUS_SDK_AM263X,searchquery=taxonomy:'C and C++' build:Build_Apr_13_2023_11_11_AM grouping:off ","KW Issue Link")</f>
        <v>KW Issue Link</v>
      </c>
      <c r="O400" s="1" t="s">
        <v>291</v>
      </c>
    </row>
    <row r="401" spans="1:15" ht="75" x14ac:dyDescent="0.25">
      <c r="A401" s="1" t="s">
        <v>155</v>
      </c>
      <c r="B401" s="1"/>
      <c r="C401" s="1" t="s">
        <v>707</v>
      </c>
      <c r="D401" s="1">
        <v>49928</v>
      </c>
      <c r="E401" s="1">
        <v>305</v>
      </c>
      <c r="F401" s="1" t="s">
        <v>156</v>
      </c>
      <c r="G401" s="1" t="s">
        <v>710</v>
      </c>
      <c r="H401" s="1" t="s">
        <v>141</v>
      </c>
      <c r="I401" s="1" t="s">
        <v>65</v>
      </c>
      <c r="J401" s="1">
        <v>3</v>
      </c>
      <c r="K401" s="1" t="s">
        <v>142</v>
      </c>
      <c r="L401" s="1" t="s">
        <v>153</v>
      </c>
      <c r="M401" s="1" t="s">
        <v>28</v>
      </c>
      <c r="N401" s="1" t="str">
        <f>HYPERLINK("https://klocwork.india.ti.com:443/review/insight-review.html#issuedetails_goto:problemid=49928,project=MCU_PLUS_SDK_AM263X,searchquery=taxonomy:'C and C++' build:Build_Apr_13_2023_11_11_AM grouping:off ","KW Issue Link")</f>
        <v>KW Issue Link</v>
      </c>
      <c r="O401" s="1" t="s">
        <v>291</v>
      </c>
    </row>
    <row r="402" spans="1:15" ht="75" x14ac:dyDescent="0.25">
      <c r="A402" s="1" t="s">
        <v>155</v>
      </c>
      <c r="B402" s="1"/>
      <c r="C402" s="1" t="s">
        <v>707</v>
      </c>
      <c r="D402" s="1">
        <v>49929</v>
      </c>
      <c r="E402" s="1">
        <v>305</v>
      </c>
      <c r="F402" s="1" t="s">
        <v>156</v>
      </c>
      <c r="G402" s="1" t="s">
        <v>710</v>
      </c>
      <c r="H402" s="1" t="s">
        <v>141</v>
      </c>
      <c r="I402" s="1" t="s">
        <v>65</v>
      </c>
      <c r="J402" s="1">
        <v>3</v>
      </c>
      <c r="K402" s="1" t="s">
        <v>142</v>
      </c>
      <c r="L402" s="1" t="s">
        <v>153</v>
      </c>
      <c r="M402" s="1" t="s">
        <v>28</v>
      </c>
      <c r="N402" s="1" t="str">
        <f>HYPERLINK("https://klocwork.india.ti.com:443/review/insight-review.html#issuedetails_goto:problemid=49929,project=MCU_PLUS_SDK_AM263X,searchquery=taxonomy:'C and C++' build:Build_Apr_13_2023_11_11_AM grouping:off ","KW Issue Link")</f>
        <v>KW Issue Link</v>
      </c>
      <c r="O402" s="1" t="s">
        <v>291</v>
      </c>
    </row>
    <row r="403" spans="1:15" ht="75" x14ac:dyDescent="0.25">
      <c r="A403" s="1" t="s">
        <v>157</v>
      </c>
      <c r="B403" s="1"/>
      <c r="C403" s="1" t="s">
        <v>712</v>
      </c>
      <c r="D403" s="1">
        <v>50092</v>
      </c>
      <c r="E403" s="1">
        <v>185</v>
      </c>
      <c r="F403" s="1" t="s">
        <v>537</v>
      </c>
      <c r="G403" s="1" t="s">
        <v>713</v>
      </c>
      <c r="H403" s="1" t="s">
        <v>141</v>
      </c>
      <c r="I403" s="1" t="s">
        <v>65</v>
      </c>
      <c r="J403" s="1">
        <v>3</v>
      </c>
      <c r="K403" s="1" t="s">
        <v>142</v>
      </c>
      <c r="L403" s="1" t="s">
        <v>153</v>
      </c>
      <c r="M403" s="1" t="s">
        <v>28</v>
      </c>
      <c r="N403" s="1" t="str">
        <f>HYPERLINK("https://klocwork.india.ti.com:443/review/insight-review.html#issuedetails_goto:problemid=50092,project=MCU_PLUS_SDK_AM263X,searchquery=taxonomy:'C and C++' build:Build_Apr_13_2023_11_11_AM grouping:off ","KW Issue Link")</f>
        <v>KW Issue Link</v>
      </c>
      <c r="O403" s="1" t="s">
        <v>291</v>
      </c>
    </row>
    <row r="404" spans="1:15" ht="75" x14ac:dyDescent="0.25">
      <c r="A404" s="1" t="s">
        <v>157</v>
      </c>
      <c r="B404" s="1"/>
      <c r="C404" s="1" t="s">
        <v>712</v>
      </c>
      <c r="D404" s="1">
        <v>50093</v>
      </c>
      <c r="E404" s="1">
        <v>185</v>
      </c>
      <c r="F404" s="1" t="s">
        <v>537</v>
      </c>
      <c r="G404" s="1" t="s">
        <v>713</v>
      </c>
      <c r="H404" s="1" t="s">
        <v>141</v>
      </c>
      <c r="I404" s="1" t="s">
        <v>65</v>
      </c>
      <c r="J404" s="1">
        <v>3</v>
      </c>
      <c r="K404" s="1" t="s">
        <v>142</v>
      </c>
      <c r="L404" s="1" t="s">
        <v>153</v>
      </c>
      <c r="M404" s="1" t="s">
        <v>28</v>
      </c>
      <c r="N404" s="1" t="str">
        <f>HYPERLINK("https://klocwork.india.ti.com:443/review/insight-review.html#issuedetails_goto:problemid=50093,project=MCU_PLUS_SDK_AM263X,searchquery=taxonomy:'C and C++' build:Build_Apr_13_2023_11_11_AM grouping:off ","KW Issue Link")</f>
        <v>KW Issue Link</v>
      </c>
      <c r="O404" s="1" t="s">
        <v>291</v>
      </c>
    </row>
    <row r="405" spans="1:15" ht="75" x14ac:dyDescent="0.25">
      <c r="A405" s="1" t="s">
        <v>136</v>
      </c>
      <c r="B405" s="1"/>
      <c r="C405" s="1" t="s">
        <v>712</v>
      </c>
      <c r="D405" s="1">
        <v>50095</v>
      </c>
      <c r="E405" s="1">
        <v>185</v>
      </c>
      <c r="F405" s="1" t="s">
        <v>714</v>
      </c>
      <c r="G405" s="1" t="s">
        <v>713</v>
      </c>
      <c r="H405" s="1" t="s">
        <v>141</v>
      </c>
      <c r="I405" s="1" t="s">
        <v>66</v>
      </c>
      <c r="J405" s="1">
        <v>4</v>
      </c>
      <c r="K405" s="1" t="s">
        <v>142</v>
      </c>
      <c r="L405" s="1" t="s">
        <v>153</v>
      </c>
      <c r="M405" s="1" t="s">
        <v>28</v>
      </c>
      <c r="N405" s="1" t="str">
        <f>HYPERLINK("https://klocwork.india.ti.com:443/review/insight-review.html#issuedetails_goto:problemid=50095,project=MCU_PLUS_SDK_AM263X,searchquery=taxonomy:'C and C++' build:Build_Apr_13_2023_11_11_AM grouping:off ","KW Issue Link")</f>
        <v>KW Issue Link</v>
      </c>
      <c r="O405" s="1" t="s">
        <v>291</v>
      </c>
    </row>
    <row r="406" spans="1:15" ht="75" x14ac:dyDescent="0.25">
      <c r="A406" s="1" t="s">
        <v>149</v>
      </c>
      <c r="B406" s="1"/>
      <c r="C406" s="1" t="s">
        <v>715</v>
      </c>
      <c r="D406" s="1">
        <v>50365</v>
      </c>
      <c r="E406" s="1">
        <v>524</v>
      </c>
      <c r="F406" s="1" t="s">
        <v>716</v>
      </c>
      <c r="G406" s="1" t="s">
        <v>717</v>
      </c>
      <c r="H406" s="1" t="s">
        <v>141</v>
      </c>
      <c r="I406" s="1" t="s">
        <v>65</v>
      </c>
      <c r="J406" s="1">
        <v>3</v>
      </c>
      <c r="K406" s="1" t="s">
        <v>142</v>
      </c>
      <c r="L406" s="1" t="s">
        <v>153</v>
      </c>
      <c r="M406" s="1" t="s">
        <v>28</v>
      </c>
      <c r="N406" s="1" t="str">
        <f>HYPERLINK("https://klocwork.india.ti.com:443/review/insight-review.html#issuedetails_goto:problemid=50365,project=MCU_PLUS_SDK_AM263X,searchquery=taxonomy:'C and C++' build:Build_Apr_13_2023_11_11_AM grouping:off ","KW Issue Link")</f>
        <v>KW Issue Link</v>
      </c>
      <c r="O406" s="1" t="s">
        <v>291</v>
      </c>
    </row>
    <row r="407" spans="1:15" ht="75" x14ac:dyDescent="0.25">
      <c r="A407" s="1" t="s">
        <v>155</v>
      </c>
      <c r="B407" s="1"/>
      <c r="C407" s="1" t="s">
        <v>715</v>
      </c>
      <c r="D407" s="1">
        <v>50366</v>
      </c>
      <c r="E407" s="1">
        <v>526</v>
      </c>
      <c r="F407" s="1" t="s">
        <v>156</v>
      </c>
      <c r="G407" s="1" t="s">
        <v>717</v>
      </c>
      <c r="H407" s="1" t="s">
        <v>141</v>
      </c>
      <c r="I407" s="1" t="s">
        <v>65</v>
      </c>
      <c r="J407" s="1">
        <v>3</v>
      </c>
      <c r="K407" s="1" t="s">
        <v>142</v>
      </c>
      <c r="L407" s="1" t="s">
        <v>153</v>
      </c>
      <c r="M407" s="1" t="s">
        <v>28</v>
      </c>
      <c r="N407" s="1" t="str">
        <f>HYPERLINK("https://klocwork.india.ti.com:443/review/insight-review.html#issuedetails_goto:problemid=50366,project=MCU_PLUS_SDK_AM263X,searchquery=taxonomy:'C and C++' build:Build_Apr_13_2023_11_11_AM grouping:off ","KW Issue Link")</f>
        <v>KW Issue Link</v>
      </c>
      <c r="O407" s="1" t="s">
        <v>291</v>
      </c>
    </row>
    <row r="408" spans="1:15" ht="75" x14ac:dyDescent="0.25">
      <c r="A408" s="1" t="s">
        <v>157</v>
      </c>
      <c r="B408" s="1"/>
      <c r="C408" s="1" t="s">
        <v>715</v>
      </c>
      <c r="D408" s="1">
        <v>50369</v>
      </c>
      <c r="E408" s="1">
        <v>692</v>
      </c>
      <c r="F408" s="1" t="s">
        <v>537</v>
      </c>
      <c r="G408" s="1" t="s">
        <v>718</v>
      </c>
      <c r="H408" s="1" t="s">
        <v>141</v>
      </c>
      <c r="I408" s="1" t="s">
        <v>65</v>
      </c>
      <c r="J408" s="1">
        <v>3</v>
      </c>
      <c r="K408" s="1" t="s">
        <v>142</v>
      </c>
      <c r="L408" s="1" t="s">
        <v>153</v>
      </c>
      <c r="M408" s="1" t="s">
        <v>28</v>
      </c>
      <c r="N408" s="1" t="str">
        <f>HYPERLINK("https://klocwork.india.ti.com:443/review/insight-review.html#issuedetails_goto:problemid=50369,project=MCU_PLUS_SDK_AM263X,searchquery=taxonomy:'C and C++' build:Build_Apr_13_2023_11_11_AM grouping:off ","KW Issue Link")</f>
        <v>KW Issue Link</v>
      </c>
      <c r="O408" s="1" t="s">
        <v>291</v>
      </c>
    </row>
    <row r="409" spans="1:15" ht="75" x14ac:dyDescent="0.25">
      <c r="A409" s="1" t="s">
        <v>157</v>
      </c>
      <c r="B409" s="1"/>
      <c r="C409" s="1" t="s">
        <v>715</v>
      </c>
      <c r="D409" s="1">
        <v>50370</v>
      </c>
      <c r="E409" s="1">
        <v>692</v>
      </c>
      <c r="F409" s="1" t="s">
        <v>537</v>
      </c>
      <c r="G409" s="1" t="s">
        <v>718</v>
      </c>
      <c r="H409" s="1" t="s">
        <v>141</v>
      </c>
      <c r="I409" s="1" t="s">
        <v>65</v>
      </c>
      <c r="J409" s="1">
        <v>3</v>
      </c>
      <c r="K409" s="1" t="s">
        <v>142</v>
      </c>
      <c r="L409" s="1" t="s">
        <v>153</v>
      </c>
      <c r="M409" s="1" t="s">
        <v>28</v>
      </c>
      <c r="N409" s="1" t="str">
        <f>HYPERLINK("https://klocwork.india.ti.com:443/review/insight-review.html#issuedetails_goto:problemid=50370,project=MCU_PLUS_SDK_AM263X,searchquery=taxonomy:'C and C++' build:Build_Apr_13_2023_11_11_AM grouping:off ","KW Issue Link")</f>
        <v>KW Issue Link</v>
      </c>
      <c r="O409" s="1" t="s">
        <v>291</v>
      </c>
    </row>
    <row r="410" spans="1:15" ht="90" x14ac:dyDescent="0.25">
      <c r="A410" s="1" t="s">
        <v>298</v>
      </c>
      <c r="B410" s="1" t="s">
        <v>299</v>
      </c>
      <c r="C410" s="1" t="s">
        <v>719</v>
      </c>
      <c r="D410" s="1">
        <v>50809</v>
      </c>
      <c r="E410" s="1">
        <v>491</v>
      </c>
      <c r="F410" s="1" t="s">
        <v>720</v>
      </c>
      <c r="G410" s="1" t="s">
        <v>721</v>
      </c>
      <c r="H410" s="1" t="s">
        <v>141</v>
      </c>
      <c r="I410" s="1" t="s">
        <v>63</v>
      </c>
      <c r="J410" s="1">
        <v>1</v>
      </c>
      <c r="K410" s="1" t="s">
        <v>142</v>
      </c>
      <c r="L410" s="1" t="s">
        <v>177</v>
      </c>
      <c r="M410" s="1" t="s">
        <v>28</v>
      </c>
      <c r="N410" s="1" t="str">
        <f>HYPERLINK("https://klocwork.india.ti.com:443/review/insight-review.html#issuedetails_goto:problemid=50809,project=MCU_PLUS_SDK_AM263X,searchquery=taxonomy:'C and C++' build:Build_Apr_13_2023_11_11_AM grouping:off ","KW Issue Link")</f>
        <v>KW Issue Link</v>
      </c>
      <c r="O410" s="1" t="s">
        <v>353</v>
      </c>
    </row>
    <row r="411" spans="1:15" ht="75" x14ac:dyDescent="0.25">
      <c r="A411" s="1" t="s">
        <v>149</v>
      </c>
      <c r="B411" s="1"/>
      <c r="C411" s="1" t="s">
        <v>722</v>
      </c>
      <c r="D411" s="1">
        <v>52466</v>
      </c>
      <c r="E411" s="1">
        <v>433</v>
      </c>
      <c r="F411" s="1" t="s">
        <v>723</v>
      </c>
      <c r="G411" s="1" t="s">
        <v>724</v>
      </c>
      <c r="H411" s="1" t="s">
        <v>141</v>
      </c>
      <c r="I411" s="1" t="s">
        <v>65</v>
      </c>
      <c r="J411" s="1">
        <v>3</v>
      </c>
      <c r="K411" s="1" t="s">
        <v>142</v>
      </c>
      <c r="L411" s="1" t="s">
        <v>153</v>
      </c>
      <c r="M411" s="1" t="s">
        <v>28</v>
      </c>
      <c r="N411" s="1" t="str">
        <f>HYPERLINK("https://klocwork.india.ti.com:443/review/insight-review.html#issuedetails_goto:problemid=52466,project=MCU_PLUS_SDK_AM263X,searchquery=taxonomy:'C and C++' build:Build_Apr_13_2023_11_11_AM grouping:off ","KW Issue Link")</f>
        <v>KW Issue Link</v>
      </c>
      <c r="O411" s="1" t="s">
        <v>291</v>
      </c>
    </row>
    <row r="412" spans="1:15" ht="75" x14ac:dyDescent="0.25">
      <c r="A412" s="1" t="s">
        <v>149</v>
      </c>
      <c r="B412" s="1"/>
      <c r="C412" s="1" t="s">
        <v>722</v>
      </c>
      <c r="D412" s="1">
        <v>52467</v>
      </c>
      <c r="E412" s="1">
        <v>446</v>
      </c>
      <c r="F412" s="1" t="s">
        <v>723</v>
      </c>
      <c r="G412" s="1" t="s">
        <v>725</v>
      </c>
      <c r="H412" s="1" t="s">
        <v>141</v>
      </c>
      <c r="I412" s="1" t="s">
        <v>65</v>
      </c>
      <c r="J412" s="1">
        <v>3</v>
      </c>
      <c r="K412" s="1" t="s">
        <v>142</v>
      </c>
      <c r="L412" s="1" t="s">
        <v>153</v>
      </c>
      <c r="M412" s="1" t="s">
        <v>28</v>
      </c>
      <c r="N412" s="1" t="str">
        <f>HYPERLINK("https://klocwork.india.ti.com:443/review/insight-review.html#issuedetails_goto:problemid=52467,project=MCU_PLUS_SDK_AM263X,searchquery=taxonomy:'C and C++' build:Build_Apr_13_2023_11_11_AM grouping:off ","KW Issue Link")</f>
        <v>KW Issue Link</v>
      </c>
      <c r="O412" s="1" t="s">
        <v>291</v>
      </c>
    </row>
    <row r="413" spans="1:15" ht="75" x14ac:dyDescent="0.25">
      <c r="A413" s="1" t="s">
        <v>149</v>
      </c>
      <c r="B413" s="1"/>
      <c r="C413" s="1" t="s">
        <v>722</v>
      </c>
      <c r="D413" s="1">
        <v>52468</v>
      </c>
      <c r="E413" s="1">
        <v>730</v>
      </c>
      <c r="F413" s="1" t="s">
        <v>723</v>
      </c>
      <c r="G413" s="1" t="s">
        <v>726</v>
      </c>
      <c r="H413" s="1" t="s">
        <v>141</v>
      </c>
      <c r="I413" s="1" t="s">
        <v>65</v>
      </c>
      <c r="J413" s="1">
        <v>3</v>
      </c>
      <c r="K413" s="1" t="s">
        <v>142</v>
      </c>
      <c r="L413" s="1" t="s">
        <v>153</v>
      </c>
      <c r="M413" s="1" t="s">
        <v>28</v>
      </c>
      <c r="N413" s="1" t="str">
        <f>HYPERLINK("https://klocwork.india.ti.com:443/review/insight-review.html#issuedetails_goto:problemid=52468,project=MCU_PLUS_SDK_AM263X,searchquery=taxonomy:'C and C++' build:Build_Apr_13_2023_11_11_AM grouping:off ","KW Issue Link")</f>
        <v>KW Issue Link</v>
      </c>
      <c r="O413" s="1" t="s">
        <v>291</v>
      </c>
    </row>
    <row r="414" spans="1:15" ht="90" x14ac:dyDescent="0.25">
      <c r="A414" s="1" t="s">
        <v>149</v>
      </c>
      <c r="B414" s="1"/>
      <c r="C414" s="1" t="s">
        <v>722</v>
      </c>
      <c r="D414" s="1">
        <v>52470</v>
      </c>
      <c r="E414" s="1">
        <v>2049</v>
      </c>
      <c r="F414" s="1" t="s">
        <v>727</v>
      </c>
      <c r="G414" s="1" t="s">
        <v>728</v>
      </c>
      <c r="H414" s="1" t="s">
        <v>141</v>
      </c>
      <c r="I414" s="1" t="s">
        <v>65</v>
      </c>
      <c r="J414" s="1">
        <v>3</v>
      </c>
      <c r="K414" s="1" t="s">
        <v>142</v>
      </c>
      <c r="L414" s="1" t="s">
        <v>153</v>
      </c>
      <c r="M414" s="1" t="s">
        <v>28</v>
      </c>
      <c r="N414" s="1" t="str">
        <f>HYPERLINK("https://klocwork.india.ti.com:443/review/insight-review.html#issuedetails_goto:problemid=52470,project=MCU_PLUS_SDK_AM263X,searchquery=taxonomy:'C and C++' build:Build_Apr_13_2023_11_11_AM grouping:off ","KW Issue Link")</f>
        <v>KW Issue Link</v>
      </c>
      <c r="O414" s="1" t="s">
        <v>291</v>
      </c>
    </row>
    <row r="415" spans="1:15" ht="90" x14ac:dyDescent="0.25">
      <c r="A415" s="1" t="s">
        <v>149</v>
      </c>
      <c r="B415" s="1"/>
      <c r="C415" s="1" t="s">
        <v>722</v>
      </c>
      <c r="D415" s="1">
        <v>52472</v>
      </c>
      <c r="E415" s="1">
        <v>2222</v>
      </c>
      <c r="F415" s="1" t="s">
        <v>727</v>
      </c>
      <c r="G415" s="1" t="s">
        <v>729</v>
      </c>
      <c r="H415" s="1" t="s">
        <v>141</v>
      </c>
      <c r="I415" s="1" t="s">
        <v>65</v>
      </c>
      <c r="J415" s="1">
        <v>3</v>
      </c>
      <c r="K415" s="1" t="s">
        <v>142</v>
      </c>
      <c r="L415" s="1" t="s">
        <v>153</v>
      </c>
      <c r="M415" s="1" t="s">
        <v>28</v>
      </c>
      <c r="N415" s="1" t="str">
        <f>HYPERLINK("https://klocwork.india.ti.com:443/review/insight-review.html#issuedetails_goto:problemid=52472,project=MCU_PLUS_SDK_AM263X,searchquery=taxonomy:'C and C++' build:Build_Apr_13_2023_11_11_AM grouping:off ","KW Issue Link")</f>
        <v>KW Issue Link</v>
      </c>
      <c r="O415" s="1" t="s">
        <v>291</v>
      </c>
    </row>
    <row r="416" spans="1:15" ht="90" x14ac:dyDescent="0.25">
      <c r="A416" s="1" t="s">
        <v>149</v>
      </c>
      <c r="B416" s="1"/>
      <c r="C416" s="1" t="s">
        <v>722</v>
      </c>
      <c r="D416" s="1">
        <v>52473</v>
      </c>
      <c r="E416" s="1">
        <v>2495</v>
      </c>
      <c r="F416" s="1" t="s">
        <v>730</v>
      </c>
      <c r="G416" s="1" t="s">
        <v>731</v>
      </c>
      <c r="H416" s="1" t="s">
        <v>141</v>
      </c>
      <c r="I416" s="1" t="s">
        <v>65</v>
      </c>
      <c r="J416" s="1">
        <v>3</v>
      </c>
      <c r="K416" s="1" t="s">
        <v>142</v>
      </c>
      <c r="L416" s="1" t="s">
        <v>153</v>
      </c>
      <c r="M416" s="1" t="s">
        <v>28</v>
      </c>
      <c r="N416" s="1" t="str">
        <f>HYPERLINK("https://klocwork.india.ti.com:443/review/insight-review.html#issuedetails_goto:problemid=52473,project=MCU_PLUS_SDK_AM263X,searchquery=taxonomy:'C and C++' build:Build_Apr_13_2023_11_11_AM grouping:off ","KW Issue Link")</f>
        <v>KW Issue Link</v>
      </c>
      <c r="O416" s="1" t="s">
        <v>291</v>
      </c>
    </row>
    <row r="417" spans="1:15" ht="60" x14ac:dyDescent="0.25">
      <c r="A417" s="1" t="s">
        <v>157</v>
      </c>
      <c r="B417" s="1"/>
      <c r="C417" s="1" t="s">
        <v>722</v>
      </c>
      <c r="D417" s="1">
        <v>52587</v>
      </c>
      <c r="E417" s="1">
        <v>608</v>
      </c>
      <c r="F417" s="1" t="s">
        <v>732</v>
      </c>
      <c r="G417" s="1" t="s">
        <v>733</v>
      </c>
      <c r="H417" s="1" t="s">
        <v>141</v>
      </c>
      <c r="I417" s="1" t="s">
        <v>65</v>
      </c>
      <c r="J417" s="1">
        <v>3</v>
      </c>
      <c r="K417" s="1" t="s">
        <v>142</v>
      </c>
      <c r="L417" s="1" t="s">
        <v>153</v>
      </c>
      <c r="M417" s="1" t="s">
        <v>28</v>
      </c>
      <c r="N417" s="1" t="str">
        <f>HYPERLINK("https://klocwork.india.ti.com:443/review/insight-review.html#issuedetails_goto:problemid=52587,project=MCU_PLUS_SDK_AM263X,searchquery=taxonomy:'C and C++' build:Build_Apr_13_2023_11_11_AM grouping:off ","KW Issue Link")</f>
        <v>KW Issue Link</v>
      </c>
      <c r="O417" s="1" t="s">
        <v>291</v>
      </c>
    </row>
    <row r="418" spans="1:15" ht="60" x14ac:dyDescent="0.25">
      <c r="A418" s="1" t="s">
        <v>157</v>
      </c>
      <c r="B418" s="1"/>
      <c r="C418" s="1" t="s">
        <v>722</v>
      </c>
      <c r="D418" s="1">
        <v>52589</v>
      </c>
      <c r="E418" s="1">
        <v>1076</v>
      </c>
      <c r="F418" s="1" t="s">
        <v>734</v>
      </c>
      <c r="G418" s="1" t="s">
        <v>735</v>
      </c>
      <c r="H418" s="1" t="s">
        <v>141</v>
      </c>
      <c r="I418" s="1" t="s">
        <v>65</v>
      </c>
      <c r="J418" s="1">
        <v>3</v>
      </c>
      <c r="K418" s="1" t="s">
        <v>142</v>
      </c>
      <c r="L418" s="1" t="s">
        <v>153</v>
      </c>
      <c r="M418" s="1" t="s">
        <v>28</v>
      </c>
      <c r="N418" s="1" t="str">
        <f>HYPERLINK("https://klocwork.india.ti.com:443/review/insight-review.html#issuedetails_goto:problemid=52589,project=MCU_PLUS_SDK_AM263X,searchquery=taxonomy:'C and C++' build:Build_Apr_13_2023_11_11_AM grouping:off ","KW Issue Link")</f>
        <v>KW Issue Link</v>
      </c>
      <c r="O418" s="1" t="s">
        <v>291</v>
      </c>
    </row>
    <row r="419" spans="1:15" ht="60" x14ac:dyDescent="0.25">
      <c r="A419" s="1" t="s">
        <v>157</v>
      </c>
      <c r="B419" s="1"/>
      <c r="C419" s="1" t="s">
        <v>722</v>
      </c>
      <c r="D419" s="1">
        <v>52590</v>
      </c>
      <c r="E419" s="1">
        <v>1076</v>
      </c>
      <c r="F419" s="1" t="s">
        <v>736</v>
      </c>
      <c r="G419" s="1" t="s">
        <v>735</v>
      </c>
      <c r="H419" s="1" t="s">
        <v>141</v>
      </c>
      <c r="I419" s="1" t="s">
        <v>65</v>
      </c>
      <c r="J419" s="1">
        <v>3</v>
      </c>
      <c r="K419" s="1" t="s">
        <v>142</v>
      </c>
      <c r="L419" s="1" t="s">
        <v>153</v>
      </c>
      <c r="M419" s="1" t="s">
        <v>28</v>
      </c>
      <c r="N419" s="1" t="str">
        <f>HYPERLINK("https://klocwork.india.ti.com:443/review/insight-review.html#issuedetails_goto:problemid=52590,project=MCU_PLUS_SDK_AM263X,searchquery=taxonomy:'C and C++' build:Build_Apr_13_2023_11_11_AM grouping:off ","KW Issue Link")</f>
        <v>KW Issue Link</v>
      </c>
      <c r="O419" s="1" t="s">
        <v>291</v>
      </c>
    </row>
    <row r="420" spans="1:15" ht="60" x14ac:dyDescent="0.25">
      <c r="A420" s="1" t="s">
        <v>157</v>
      </c>
      <c r="B420" s="1"/>
      <c r="C420" s="1" t="s">
        <v>722</v>
      </c>
      <c r="D420" s="1">
        <v>52591</v>
      </c>
      <c r="E420" s="1">
        <v>1148</v>
      </c>
      <c r="F420" s="1" t="s">
        <v>737</v>
      </c>
      <c r="G420" s="1" t="s">
        <v>738</v>
      </c>
      <c r="H420" s="1" t="s">
        <v>141</v>
      </c>
      <c r="I420" s="1" t="s">
        <v>65</v>
      </c>
      <c r="J420" s="1">
        <v>3</v>
      </c>
      <c r="K420" s="1" t="s">
        <v>142</v>
      </c>
      <c r="L420" s="1" t="s">
        <v>153</v>
      </c>
      <c r="M420" s="1" t="s">
        <v>28</v>
      </c>
      <c r="N420" s="1" t="str">
        <f>HYPERLINK("https://klocwork.india.ti.com:443/review/insight-review.html#issuedetails_goto:problemid=52591,project=MCU_PLUS_SDK_AM263X,searchquery=taxonomy:'C and C++' build:Build_Apr_13_2023_11_11_AM grouping:off ","KW Issue Link")</f>
        <v>KW Issue Link</v>
      </c>
      <c r="O420" s="1" t="s">
        <v>291</v>
      </c>
    </row>
    <row r="421" spans="1:15" ht="60" x14ac:dyDescent="0.25">
      <c r="A421" s="1" t="s">
        <v>157</v>
      </c>
      <c r="B421" s="1"/>
      <c r="C421" s="1" t="s">
        <v>722</v>
      </c>
      <c r="D421" s="1">
        <v>52592</v>
      </c>
      <c r="E421" s="1">
        <v>1148</v>
      </c>
      <c r="F421" s="1" t="s">
        <v>739</v>
      </c>
      <c r="G421" s="1" t="s">
        <v>738</v>
      </c>
      <c r="H421" s="1" t="s">
        <v>141</v>
      </c>
      <c r="I421" s="1" t="s">
        <v>65</v>
      </c>
      <c r="J421" s="1">
        <v>3</v>
      </c>
      <c r="K421" s="1" t="s">
        <v>142</v>
      </c>
      <c r="L421" s="1" t="s">
        <v>153</v>
      </c>
      <c r="M421" s="1" t="s">
        <v>28</v>
      </c>
      <c r="N421" s="1" t="str">
        <f>HYPERLINK("https://klocwork.india.ti.com:443/review/insight-review.html#issuedetails_goto:problemid=52592,project=MCU_PLUS_SDK_AM263X,searchquery=taxonomy:'C and C++' build:Build_Apr_13_2023_11_11_AM grouping:off ","KW Issue Link")</f>
        <v>KW Issue Link</v>
      </c>
      <c r="O421" s="1" t="s">
        <v>291</v>
      </c>
    </row>
    <row r="422" spans="1:15" ht="60" x14ac:dyDescent="0.25">
      <c r="A422" s="1" t="s">
        <v>157</v>
      </c>
      <c r="B422" s="1"/>
      <c r="C422" s="1" t="s">
        <v>722</v>
      </c>
      <c r="D422" s="1">
        <v>52593</v>
      </c>
      <c r="E422" s="1">
        <v>1182</v>
      </c>
      <c r="F422" s="1" t="s">
        <v>740</v>
      </c>
      <c r="G422" s="1" t="s">
        <v>738</v>
      </c>
      <c r="H422" s="1" t="s">
        <v>141</v>
      </c>
      <c r="I422" s="1" t="s">
        <v>65</v>
      </c>
      <c r="J422" s="1">
        <v>3</v>
      </c>
      <c r="K422" s="1" t="s">
        <v>142</v>
      </c>
      <c r="L422" s="1" t="s">
        <v>153</v>
      </c>
      <c r="M422" s="1" t="s">
        <v>28</v>
      </c>
      <c r="N422" s="1" t="str">
        <f>HYPERLINK("https://klocwork.india.ti.com:443/review/insight-review.html#issuedetails_goto:problemid=52593,project=MCU_PLUS_SDK_AM263X,searchquery=taxonomy:'C and C++' build:Build_Apr_13_2023_11_11_AM grouping:off ","KW Issue Link")</f>
        <v>KW Issue Link</v>
      </c>
      <c r="O422" s="1" t="s">
        <v>291</v>
      </c>
    </row>
    <row r="423" spans="1:15" ht="75" x14ac:dyDescent="0.25">
      <c r="A423" s="1" t="s">
        <v>157</v>
      </c>
      <c r="B423" s="1"/>
      <c r="C423" s="1" t="s">
        <v>722</v>
      </c>
      <c r="D423" s="1">
        <v>52595</v>
      </c>
      <c r="E423" s="1">
        <v>2909</v>
      </c>
      <c r="F423" s="1" t="s">
        <v>741</v>
      </c>
      <c r="G423" s="1" t="s">
        <v>742</v>
      </c>
      <c r="H423" s="1" t="s">
        <v>141</v>
      </c>
      <c r="I423" s="1" t="s">
        <v>65</v>
      </c>
      <c r="J423" s="1">
        <v>3</v>
      </c>
      <c r="K423" s="1" t="s">
        <v>142</v>
      </c>
      <c r="L423" s="1" t="s">
        <v>153</v>
      </c>
      <c r="M423" s="1" t="s">
        <v>28</v>
      </c>
      <c r="N423" s="1" t="str">
        <f>HYPERLINK("https://klocwork.india.ti.com:443/review/insight-review.html#issuedetails_goto:problemid=52595,project=MCU_PLUS_SDK_AM263X,searchquery=taxonomy:'C and C++' build:Build_Apr_13_2023_11_11_AM grouping:off ","KW Issue Link")</f>
        <v>KW Issue Link</v>
      </c>
      <c r="O423" s="1" t="s">
        <v>291</v>
      </c>
    </row>
    <row r="424" spans="1:15" ht="120" x14ac:dyDescent="0.25">
      <c r="A424" s="1" t="s">
        <v>459</v>
      </c>
      <c r="B424" s="1" t="s">
        <v>299</v>
      </c>
      <c r="C424" s="1" t="s">
        <v>722</v>
      </c>
      <c r="D424" s="1">
        <v>52596</v>
      </c>
      <c r="E424" s="1">
        <v>653</v>
      </c>
      <c r="F424" s="1" t="s">
        <v>743</v>
      </c>
      <c r="G424" s="1" t="s">
        <v>744</v>
      </c>
      <c r="H424" s="1" t="s">
        <v>141</v>
      </c>
      <c r="I424" s="1" t="s">
        <v>63</v>
      </c>
      <c r="J424" s="1">
        <v>1</v>
      </c>
      <c r="K424" s="1" t="s">
        <v>142</v>
      </c>
      <c r="L424" s="1" t="s">
        <v>177</v>
      </c>
      <c r="M424" s="1" t="s">
        <v>28</v>
      </c>
      <c r="N424" s="1" t="str">
        <f>HYPERLINK("https://klocwork.india.ti.com:443/review/insight-review.html#issuedetails_goto:problemid=52596,project=MCU_PLUS_SDK_AM263X,searchquery=taxonomy:'C and C++' build:Build_Apr_13_2023_11_11_AM grouping:off ","KW Issue Link")</f>
        <v>KW Issue Link</v>
      </c>
      <c r="O424" s="1" t="s">
        <v>291</v>
      </c>
    </row>
    <row r="425" spans="1:15" ht="120" x14ac:dyDescent="0.25">
      <c r="A425" s="1" t="s">
        <v>459</v>
      </c>
      <c r="B425" s="1" t="s">
        <v>299</v>
      </c>
      <c r="C425" s="1" t="s">
        <v>722</v>
      </c>
      <c r="D425" s="1">
        <v>52597</v>
      </c>
      <c r="E425" s="1">
        <v>1049</v>
      </c>
      <c r="F425" s="1" t="s">
        <v>745</v>
      </c>
      <c r="G425" s="1" t="s">
        <v>746</v>
      </c>
      <c r="H425" s="1" t="s">
        <v>141</v>
      </c>
      <c r="I425" s="1" t="s">
        <v>63</v>
      </c>
      <c r="J425" s="1">
        <v>1</v>
      </c>
      <c r="K425" s="1" t="s">
        <v>142</v>
      </c>
      <c r="L425" s="1" t="s">
        <v>177</v>
      </c>
      <c r="M425" s="1" t="s">
        <v>28</v>
      </c>
      <c r="N425" s="1" t="str">
        <f>HYPERLINK("https://klocwork.india.ti.com:443/review/insight-review.html#issuedetails_goto:problemid=52597,project=MCU_PLUS_SDK_AM263X,searchquery=taxonomy:'C and C++' build:Build_Apr_13_2023_11_11_AM grouping:off ","KW Issue Link")</f>
        <v>KW Issue Link</v>
      </c>
      <c r="O425" s="1" t="s">
        <v>291</v>
      </c>
    </row>
    <row r="426" spans="1:15" ht="60" x14ac:dyDescent="0.25">
      <c r="A426" s="1" t="s">
        <v>155</v>
      </c>
      <c r="B426" s="1"/>
      <c r="C426" s="1" t="s">
        <v>722</v>
      </c>
      <c r="D426" s="1">
        <v>52598</v>
      </c>
      <c r="E426" s="1">
        <v>660</v>
      </c>
      <c r="F426" s="1" t="s">
        <v>156</v>
      </c>
      <c r="G426" s="1" t="s">
        <v>744</v>
      </c>
      <c r="H426" s="1" t="s">
        <v>141</v>
      </c>
      <c r="I426" s="1" t="s">
        <v>65</v>
      </c>
      <c r="J426" s="1">
        <v>3</v>
      </c>
      <c r="K426" s="1" t="s">
        <v>142</v>
      </c>
      <c r="L426" s="1" t="s">
        <v>153</v>
      </c>
      <c r="M426" s="1" t="s">
        <v>28</v>
      </c>
      <c r="N426" s="1" t="str">
        <f>HYPERLINK("https://klocwork.india.ti.com:443/review/insight-review.html#issuedetails_goto:problemid=52598,project=MCU_PLUS_SDK_AM263X,searchquery=taxonomy:'C and C++' build:Build_Apr_13_2023_11_11_AM grouping:off ","KW Issue Link")</f>
        <v>KW Issue Link</v>
      </c>
      <c r="O426" s="1" t="s">
        <v>291</v>
      </c>
    </row>
    <row r="427" spans="1:15" ht="60" x14ac:dyDescent="0.25">
      <c r="A427" s="1" t="s">
        <v>155</v>
      </c>
      <c r="B427" s="1"/>
      <c r="C427" s="1" t="s">
        <v>722</v>
      </c>
      <c r="D427" s="1">
        <v>52599</v>
      </c>
      <c r="E427" s="1">
        <v>732</v>
      </c>
      <c r="F427" s="1" t="s">
        <v>156</v>
      </c>
      <c r="G427" s="1" t="s">
        <v>726</v>
      </c>
      <c r="H427" s="1" t="s">
        <v>141</v>
      </c>
      <c r="I427" s="1" t="s">
        <v>65</v>
      </c>
      <c r="J427" s="1">
        <v>3</v>
      </c>
      <c r="K427" s="1" t="s">
        <v>142</v>
      </c>
      <c r="L427" s="1" t="s">
        <v>153</v>
      </c>
      <c r="M427" s="1" t="s">
        <v>28</v>
      </c>
      <c r="N427" s="1" t="str">
        <f>HYPERLINK("https://klocwork.india.ti.com:443/review/insight-review.html#issuedetails_goto:problemid=52599,project=MCU_PLUS_SDK_AM263X,searchquery=taxonomy:'C and C++' build:Build_Apr_13_2023_11_11_AM grouping:off ","KW Issue Link")</f>
        <v>KW Issue Link</v>
      </c>
      <c r="O427" s="1" t="s">
        <v>291</v>
      </c>
    </row>
    <row r="428" spans="1:15" ht="60" x14ac:dyDescent="0.25">
      <c r="A428" s="1" t="s">
        <v>155</v>
      </c>
      <c r="B428" s="1"/>
      <c r="C428" s="1" t="s">
        <v>722</v>
      </c>
      <c r="D428" s="1">
        <v>52600</v>
      </c>
      <c r="E428" s="1">
        <v>732</v>
      </c>
      <c r="F428" s="1" t="s">
        <v>156</v>
      </c>
      <c r="G428" s="1" t="s">
        <v>726</v>
      </c>
      <c r="H428" s="1" t="s">
        <v>141</v>
      </c>
      <c r="I428" s="1" t="s">
        <v>65</v>
      </c>
      <c r="J428" s="1">
        <v>3</v>
      </c>
      <c r="K428" s="1" t="s">
        <v>142</v>
      </c>
      <c r="L428" s="1" t="s">
        <v>153</v>
      </c>
      <c r="M428" s="1" t="s">
        <v>28</v>
      </c>
      <c r="N428" s="1" t="str">
        <f>HYPERLINK("https://klocwork.india.ti.com:443/review/insight-review.html#issuedetails_goto:problemid=52600,project=MCU_PLUS_SDK_AM263X,searchquery=taxonomy:'C and C++' build:Build_Apr_13_2023_11_11_AM grouping:off ","KW Issue Link")</f>
        <v>KW Issue Link</v>
      </c>
      <c r="O428" s="1" t="s">
        <v>291</v>
      </c>
    </row>
    <row r="429" spans="1:15" ht="60" x14ac:dyDescent="0.25">
      <c r="A429" s="1" t="s">
        <v>155</v>
      </c>
      <c r="B429" s="1"/>
      <c r="C429" s="1" t="s">
        <v>722</v>
      </c>
      <c r="D429" s="1">
        <v>52601</v>
      </c>
      <c r="E429" s="1">
        <v>825</v>
      </c>
      <c r="F429" s="1" t="s">
        <v>156</v>
      </c>
      <c r="G429" s="1" t="s">
        <v>747</v>
      </c>
      <c r="H429" s="1" t="s">
        <v>141</v>
      </c>
      <c r="I429" s="1" t="s">
        <v>65</v>
      </c>
      <c r="J429" s="1">
        <v>3</v>
      </c>
      <c r="K429" s="1" t="s">
        <v>142</v>
      </c>
      <c r="L429" s="1" t="s">
        <v>153</v>
      </c>
      <c r="M429" s="1" t="s">
        <v>28</v>
      </c>
      <c r="N429" s="1" t="str">
        <f>HYPERLINK("https://klocwork.india.ti.com:443/review/insight-review.html#issuedetails_goto:problemid=52601,project=MCU_PLUS_SDK_AM263X,searchquery=taxonomy:'C and C++' build:Build_Apr_13_2023_11_11_AM grouping:off ","KW Issue Link")</f>
        <v>KW Issue Link</v>
      </c>
      <c r="O429" s="1" t="s">
        <v>291</v>
      </c>
    </row>
    <row r="430" spans="1:15" ht="60" x14ac:dyDescent="0.25">
      <c r="A430" s="1" t="s">
        <v>155</v>
      </c>
      <c r="B430" s="1"/>
      <c r="C430" s="1" t="s">
        <v>722</v>
      </c>
      <c r="D430" s="1">
        <v>52602</v>
      </c>
      <c r="E430" s="1">
        <v>1698</v>
      </c>
      <c r="F430" s="1" t="s">
        <v>156</v>
      </c>
      <c r="G430" s="1" t="s">
        <v>748</v>
      </c>
      <c r="H430" s="1" t="s">
        <v>141</v>
      </c>
      <c r="I430" s="1" t="s">
        <v>65</v>
      </c>
      <c r="J430" s="1">
        <v>3</v>
      </c>
      <c r="K430" s="1" t="s">
        <v>142</v>
      </c>
      <c r="L430" s="1" t="s">
        <v>153</v>
      </c>
      <c r="M430" s="1" t="s">
        <v>28</v>
      </c>
      <c r="N430" s="1" t="str">
        <f>HYPERLINK("https://klocwork.india.ti.com:443/review/insight-review.html#issuedetails_goto:problemid=52602,project=MCU_PLUS_SDK_AM263X,searchquery=taxonomy:'C and C++' build:Build_Apr_13_2023_11_11_AM grouping:off ","KW Issue Link")</f>
        <v>KW Issue Link</v>
      </c>
      <c r="O430" s="1" t="s">
        <v>291</v>
      </c>
    </row>
    <row r="431" spans="1:15" ht="60" x14ac:dyDescent="0.25">
      <c r="A431" s="1" t="s">
        <v>155</v>
      </c>
      <c r="B431" s="1"/>
      <c r="C431" s="1" t="s">
        <v>722</v>
      </c>
      <c r="D431" s="1">
        <v>52603</v>
      </c>
      <c r="E431" s="1">
        <v>1705</v>
      </c>
      <c r="F431" s="1" t="s">
        <v>156</v>
      </c>
      <c r="G431" s="1" t="s">
        <v>748</v>
      </c>
      <c r="H431" s="1" t="s">
        <v>141</v>
      </c>
      <c r="I431" s="1" t="s">
        <v>65</v>
      </c>
      <c r="J431" s="1">
        <v>3</v>
      </c>
      <c r="K431" s="1" t="s">
        <v>142</v>
      </c>
      <c r="L431" s="1" t="s">
        <v>153</v>
      </c>
      <c r="M431" s="1" t="s">
        <v>28</v>
      </c>
      <c r="N431" s="1" t="str">
        <f>HYPERLINK("https://klocwork.india.ti.com:443/review/insight-review.html#issuedetails_goto:problemid=52603,project=MCU_PLUS_SDK_AM263X,searchquery=taxonomy:'C and C++' build:Build_Apr_13_2023_11_11_AM grouping:off ","KW Issue Link")</f>
        <v>KW Issue Link</v>
      </c>
      <c r="O431" s="1" t="s">
        <v>291</v>
      </c>
    </row>
    <row r="432" spans="1:15" ht="60" x14ac:dyDescent="0.25">
      <c r="A432" s="1" t="s">
        <v>155</v>
      </c>
      <c r="B432" s="1"/>
      <c r="C432" s="1" t="s">
        <v>722</v>
      </c>
      <c r="D432" s="1">
        <v>52604</v>
      </c>
      <c r="E432" s="1">
        <v>1716</v>
      </c>
      <c r="F432" s="1" t="s">
        <v>156</v>
      </c>
      <c r="G432" s="1" t="s">
        <v>748</v>
      </c>
      <c r="H432" s="1" t="s">
        <v>141</v>
      </c>
      <c r="I432" s="1" t="s">
        <v>65</v>
      </c>
      <c r="J432" s="1">
        <v>3</v>
      </c>
      <c r="K432" s="1" t="s">
        <v>142</v>
      </c>
      <c r="L432" s="1" t="s">
        <v>153</v>
      </c>
      <c r="M432" s="1" t="s">
        <v>28</v>
      </c>
      <c r="N432" s="1" t="str">
        <f>HYPERLINK("https://klocwork.india.ti.com:443/review/insight-review.html#issuedetails_goto:problemid=52604,project=MCU_PLUS_SDK_AM263X,searchquery=taxonomy:'C and C++' build:Build_Apr_13_2023_11_11_AM grouping:off ","KW Issue Link")</f>
        <v>KW Issue Link</v>
      </c>
      <c r="O432" s="1" t="s">
        <v>291</v>
      </c>
    </row>
    <row r="433" spans="1:15" ht="60" x14ac:dyDescent="0.25">
      <c r="A433" s="1" t="s">
        <v>155</v>
      </c>
      <c r="B433" s="1"/>
      <c r="C433" s="1" t="s">
        <v>722</v>
      </c>
      <c r="D433" s="1">
        <v>52605</v>
      </c>
      <c r="E433" s="1">
        <v>1983</v>
      </c>
      <c r="F433" s="1" t="s">
        <v>156</v>
      </c>
      <c r="G433" s="1" t="s">
        <v>728</v>
      </c>
      <c r="H433" s="1" t="s">
        <v>141</v>
      </c>
      <c r="I433" s="1" t="s">
        <v>65</v>
      </c>
      <c r="J433" s="1">
        <v>3</v>
      </c>
      <c r="K433" s="1" t="s">
        <v>142</v>
      </c>
      <c r="L433" s="1" t="s">
        <v>153</v>
      </c>
      <c r="M433" s="1" t="s">
        <v>28</v>
      </c>
      <c r="N433" s="1" t="str">
        <f>HYPERLINK("https://klocwork.india.ti.com:443/review/insight-review.html#issuedetails_goto:problemid=52605,project=MCU_PLUS_SDK_AM263X,searchquery=taxonomy:'C and C++' build:Build_Apr_13_2023_11_11_AM grouping:off ","KW Issue Link")</f>
        <v>KW Issue Link</v>
      </c>
      <c r="O433" s="1" t="s">
        <v>291</v>
      </c>
    </row>
    <row r="434" spans="1:15" ht="60" x14ac:dyDescent="0.25">
      <c r="A434" s="1" t="s">
        <v>155</v>
      </c>
      <c r="B434" s="1"/>
      <c r="C434" s="1" t="s">
        <v>722</v>
      </c>
      <c r="D434" s="1">
        <v>52606</v>
      </c>
      <c r="E434" s="1">
        <v>2051</v>
      </c>
      <c r="F434" s="1" t="s">
        <v>156</v>
      </c>
      <c r="G434" s="1" t="s">
        <v>728</v>
      </c>
      <c r="H434" s="1" t="s">
        <v>141</v>
      </c>
      <c r="I434" s="1" t="s">
        <v>65</v>
      </c>
      <c r="J434" s="1">
        <v>3</v>
      </c>
      <c r="K434" s="1" t="s">
        <v>142</v>
      </c>
      <c r="L434" s="1" t="s">
        <v>153</v>
      </c>
      <c r="M434" s="1" t="s">
        <v>28</v>
      </c>
      <c r="N434" s="1" t="str">
        <f>HYPERLINK("https://klocwork.india.ti.com:443/review/insight-review.html#issuedetails_goto:problemid=52606,project=MCU_PLUS_SDK_AM263X,searchquery=taxonomy:'C and C++' build:Build_Apr_13_2023_11_11_AM grouping:off ","KW Issue Link")</f>
        <v>KW Issue Link</v>
      </c>
      <c r="O434" s="1" t="s">
        <v>291</v>
      </c>
    </row>
    <row r="435" spans="1:15" ht="60" x14ac:dyDescent="0.25">
      <c r="A435" s="1" t="s">
        <v>155</v>
      </c>
      <c r="B435" s="1"/>
      <c r="C435" s="1" t="s">
        <v>722</v>
      </c>
      <c r="D435" s="1">
        <v>52609</v>
      </c>
      <c r="E435" s="1">
        <v>2224</v>
      </c>
      <c r="F435" s="1" t="s">
        <v>156</v>
      </c>
      <c r="G435" s="1" t="s">
        <v>729</v>
      </c>
      <c r="H435" s="1" t="s">
        <v>141</v>
      </c>
      <c r="I435" s="1" t="s">
        <v>65</v>
      </c>
      <c r="J435" s="1">
        <v>3</v>
      </c>
      <c r="K435" s="1" t="s">
        <v>142</v>
      </c>
      <c r="L435" s="1" t="s">
        <v>153</v>
      </c>
      <c r="M435" s="1" t="s">
        <v>28</v>
      </c>
      <c r="N435" s="1" t="str">
        <f>HYPERLINK("https://klocwork.india.ti.com:443/review/insight-review.html#issuedetails_goto:problemid=52609,project=MCU_PLUS_SDK_AM263X,searchquery=taxonomy:'C and C++' build:Build_Apr_13_2023_11_11_AM grouping:off ","KW Issue Link")</f>
        <v>KW Issue Link</v>
      </c>
      <c r="O435" s="1" t="s">
        <v>291</v>
      </c>
    </row>
    <row r="436" spans="1:15" ht="60" x14ac:dyDescent="0.25">
      <c r="A436" s="1" t="s">
        <v>155</v>
      </c>
      <c r="B436" s="1"/>
      <c r="C436" s="1" t="s">
        <v>722</v>
      </c>
      <c r="D436" s="1">
        <v>52610</v>
      </c>
      <c r="E436" s="1">
        <v>2504</v>
      </c>
      <c r="F436" s="1" t="s">
        <v>156</v>
      </c>
      <c r="G436" s="1" t="s">
        <v>731</v>
      </c>
      <c r="H436" s="1" t="s">
        <v>141</v>
      </c>
      <c r="I436" s="1" t="s">
        <v>65</v>
      </c>
      <c r="J436" s="1">
        <v>3</v>
      </c>
      <c r="K436" s="1" t="s">
        <v>142</v>
      </c>
      <c r="L436" s="1" t="s">
        <v>153</v>
      </c>
      <c r="M436" s="1" t="s">
        <v>28</v>
      </c>
      <c r="N436" s="1" t="str">
        <f>HYPERLINK("https://klocwork.india.ti.com:443/review/insight-review.html#issuedetails_goto:problemid=52610,project=MCU_PLUS_SDK_AM263X,searchquery=taxonomy:'C and C++' build:Build_Apr_13_2023_11_11_AM grouping:off ","KW Issue Link")</f>
        <v>KW Issue Link</v>
      </c>
      <c r="O436" s="1" t="s">
        <v>291</v>
      </c>
    </row>
    <row r="437" spans="1:15" ht="60" x14ac:dyDescent="0.25">
      <c r="A437" s="1" t="s">
        <v>155</v>
      </c>
      <c r="B437" s="1"/>
      <c r="C437" s="1" t="s">
        <v>722</v>
      </c>
      <c r="D437" s="1">
        <v>52611</v>
      </c>
      <c r="E437" s="1">
        <v>2544</v>
      </c>
      <c r="F437" s="1" t="s">
        <v>156</v>
      </c>
      <c r="G437" s="1" t="s">
        <v>731</v>
      </c>
      <c r="H437" s="1" t="s">
        <v>141</v>
      </c>
      <c r="I437" s="1" t="s">
        <v>65</v>
      </c>
      <c r="J437" s="1">
        <v>3</v>
      </c>
      <c r="K437" s="1" t="s">
        <v>142</v>
      </c>
      <c r="L437" s="1" t="s">
        <v>153</v>
      </c>
      <c r="M437" s="1" t="s">
        <v>28</v>
      </c>
      <c r="N437" s="1" t="str">
        <f>HYPERLINK("https://klocwork.india.ti.com:443/review/insight-review.html#issuedetails_goto:problemid=52611,project=MCU_PLUS_SDK_AM263X,searchquery=taxonomy:'C and C++' build:Build_Apr_13_2023_11_11_AM grouping:off ","KW Issue Link")</f>
        <v>KW Issue Link</v>
      </c>
      <c r="O437" s="1" t="s">
        <v>291</v>
      </c>
    </row>
    <row r="438" spans="1:15" ht="60" x14ac:dyDescent="0.25">
      <c r="A438" s="1" t="s">
        <v>155</v>
      </c>
      <c r="B438" s="1"/>
      <c r="C438" s="1" t="s">
        <v>722</v>
      </c>
      <c r="D438" s="1">
        <v>52612</v>
      </c>
      <c r="E438" s="1">
        <v>2934</v>
      </c>
      <c r="F438" s="1" t="s">
        <v>156</v>
      </c>
      <c r="G438" s="1" t="s">
        <v>742</v>
      </c>
      <c r="H438" s="1" t="s">
        <v>141</v>
      </c>
      <c r="I438" s="1" t="s">
        <v>65</v>
      </c>
      <c r="J438" s="1">
        <v>3</v>
      </c>
      <c r="K438" s="1" t="s">
        <v>142</v>
      </c>
      <c r="L438" s="1" t="s">
        <v>153</v>
      </c>
      <c r="M438" s="1" t="s">
        <v>28</v>
      </c>
      <c r="N438" s="1" t="str">
        <f>HYPERLINK("https://klocwork.india.ti.com:443/review/insight-review.html#issuedetails_goto:problemid=52612,project=MCU_PLUS_SDK_AM263X,searchquery=taxonomy:'C and C++' build:Build_Apr_13_2023_11_11_AM grouping:off ","KW Issue Link")</f>
        <v>KW Issue Link</v>
      </c>
      <c r="O438" s="1" t="s">
        <v>291</v>
      </c>
    </row>
    <row r="439" spans="1:15" ht="60" x14ac:dyDescent="0.25">
      <c r="A439" s="1" t="s">
        <v>155</v>
      </c>
      <c r="B439" s="1"/>
      <c r="C439" s="1" t="s">
        <v>722</v>
      </c>
      <c r="D439" s="1">
        <v>52613</v>
      </c>
      <c r="E439" s="1">
        <v>3089</v>
      </c>
      <c r="F439" s="1" t="s">
        <v>156</v>
      </c>
      <c r="G439" s="1" t="s">
        <v>742</v>
      </c>
      <c r="H439" s="1" t="s">
        <v>141</v>
      </c>
      <c r="I439" s="1" t="s">
        <v>65</v>
      </c>
      <c r="J439" s="1">
        <v>3</v>
      </c>
      <c r="K439" s="1" t="s">
        <v>142</v>
      </c>
      <c r="L439" s="1" t="s">
        <v>153</v>
      </c>
      <c r="M439" s="1" t="s">
        <v>28</v>
      </c>
      <c r="N439" s="1" t="str">
        <f>HYPERLINK("https://klocwork.india.ti.com:443/review/insight-review.html#issuedetails_goto:problemid=52613,project=MCU_PLUS_SDK_AM263X,searchquery=taxonomy:'C and C++' build:Build_Apr_13_2023_11_11_AM grouping:off ","KW Issue Link")</f>
        <v>KW Issue Link</v>
      </c>
      <c r="O439" s="1" t="s">
        <v>291</v>
      </c>
    </row>
    <row r="440" spans="1:15" ht="60" x14ac:dyDescent="0.25">
      <c r="A440" s="1" t="s">
        <v>155</v>
      </c>
      <c r="B440" s="1"/>
      <c r="C440" s="1" t="s">
        <v>722</v>
      </c>
      <c r="D440" s="1">
        <v>52614</v>
      </c>
      <c r="E440" s="1">
        <v>3346</v>
      </c>
      <c r="F440" s="1" t="s">
        <v>156</v>
      </c>
      <c r="G440" s="1" t="s">
        <v>749</v>
      </c>
      <c r="H440" s="1" t="s">
        <v>141</v>
      </c>
      <c r="I440" s="1" t="s">
        <v>65</v>
      </c>
      <c r="J440" s="1">
        <v>3</v>
      </c>
      <c r="K440" s="1" t="s">
        <v>142</v>
      </c>
      <c r="L440" s="1" t="s">
        <v>153</v>
      </c>
      <c r="M440" s="1" t="s">
        <v>28</v>
      </c>
      <c r="N440" s="1" t="str">
        <f>HYPERLINK("https://klocwork.india.ti.com:443/review/insight-review.html#issuedetails_goto:problemid=52614,project=MCU_PLUS_SDK_AM263X,searchquery=taxonomy:'C and C++' build:Build_Apr_13_2023_11_11_AM grouping:off ","KW Issue Link")</f>
        <v>KW Issue Link</v>
      </c>
      <c r="O440" s="1" t="s">
        <v>291</v>
      </c>
    </row>
    <row r="441" spans="1:15" ht="60" x14ac:dyDescent="0.25">
      <c r="A441" s="1" t="s">
        <v>155</v>
      </c>
      <c r="B441" s="1"/>
      <c r="C441" s="1" t="s">
        <v>722</v>
      </c>
      <c r="D441" s="1">
        <v>52615</v>
      </c>
      <c r="E441" s="1">
        <v>3566</v>
      </c>
      <c r="F441" s="1" t="s">
        <v>156</v>
      </c>
      <c r="G441" s="1" t="s">
        <v>749</v>
      </c>
      <c r="H441" s="1" t="s">
        <v>141</v>
      </c>
      <c r="I441" s="1" t="s">
        <v>65</v>
      </c>
      <c r="J441" s="1">
        <v>3</v>
      </c>
      <c r="K441" s="1" t="s">
        <v>142</v>
      </c>
      <c r="L441" s="1" t="s">
        <v>153</v>
      </c>
      <c r="M441" s="1" t="s">
        <v>28</v>
      </c>
      <c r="N441" s="1" t="str">
        <f>HYPERLINK("https://klocwork.india.ti.com:443/review/insight-review.html#issuedetails_goto:problemid=52615,project=MCU_PLUS_SDK_AM263X,searchquery=taxonomy:'C and C++' build:Build_Apr_13_2023_11_11_AM grouping:off ","KW Issue Link")</f>
        <v>KW Issue Link</v>
      </c>
      <c r="O441" s="1" t="s">
        <v>291</v>
      </c>
    </row>
    <row r="442" spans="1:15" ht="105" x14ac:dyDescent="0.25">
      <c r="A442" s="1" t="s">
        <v>750</v>
      </c>
      <c r="B442" s="1" t="s">
        <v>299</v>
      </c>
      <c r="C442" s="1" t="s">
        <v>722</v>
      </c>
      <c r="D442" s="1">
        <v>52616</v>
      </c>
      <c r="E442" s="1">
        <v>669</v>
      </c>
      <c r="F442" s="1" t="s">
        <v>751</v>
      </c>
      <c r="G442" s="1" t="s">
        <v>744</v>
      </c>
      <c r="H442" s="1" t="s">
        <v>141</v>
      </c>
      <c r="I442" s="1" t="s">
        <v>63</v>
      </c>
      <c r="J442" s="1">
        <v>1</v>
      </c>
      <c r="K442" s="1" t="s">
        <v>142</v>
      </c>
      <c r="L442" s="1" t="s">
        <v>177</v>
      </c>
      <c r="M442" s="1" t="s">
        <v>28</v>
      </c>
      <c r="N442" s="1" t="str">
        <f>HYPERLINK("https://klocwork.india.ti.com:443/review/insight-review.html#issuedetails_goto:problemid=52616,project=MCU_PLUS_SDK_AM263X,searchquery=taxonomy:'C and C++' build:Build_Apr_13_2023_11_11_AM grouping:off ","KW Issue Link")</f>
        <v>KW Issue Link</v>
      </c>
      <c r="O442" s="1" t="s">
        <v>291</v>
      </c>
    </row>
    <row r="443" spans="1:15" ht="75" x14ac:dyDescent="0.25">
      <c r="A443" s="1" t="s">
        <v>302</v>
      </c>
      <c r="B443" s="1" t="s">
        <v>299</v>
      </c>
      <c r="C443" s="1" t="s">
        <v>722</v>
      </c>
      <c r="D443" s="1">
        <v>52617</v>
      </c>
      <c r="E443" s="1">
        <v>669</v>
      </c>
      <c r="F443" s="1" t="s">
        <v>752</v>
      </c>
      <c r="G443" s="1" t="s">
        <v>744</v>
      </c>
      <c r="H443" s="1" t="s">
        <v>141</v>
      </c>
      <c r="I443" s="1" t="s">
        <v>63</v>
      </c>
      <c r="J443" s="1">
        <v>1</v>
      </c>
      <c r="K443" s="1" t="s">
        <v>142</v>
      </c>
      <c r="L443" s="1" t="s">
        <v>177</v>
      </c>
      <c r="M443" s="1" t="s">
        <v>28</v>
      </c>
      <c r="N443" s="1" t="str">
        <f>HYPERLINK("https://klocwork.india.ti.com:443/review/insight-review.html#issuedetails_goto:problemid=52617,project=MCU_PLUS_SDK_AM263X,searchquery=taxonomy:'C and C++' build:Build_Apr_13_2023_11_11_AM grouping:off ","KW Issue Link")</f>
        <v>KW Issue Link</v>
      </c>
      <c r="O443" s="1" t="s">
        <v>291</v>
      </c>
    </row>
    <row r="444" spans="1:15" ht="60" x14ac:dyDescent="0.25">
      <c r="A444" s="1" t="s">
        <v>298</v>
      </c>
      <c r="B444" s="1" t="s">
        <v>299</v>
      </c>
      <c r="C444" s="1" t="s">
        <v>722</v>
      </c>
      <c r="D444" s="1">
        <v>52705</v>
      </c>
      <c r="E444" s="1">
        <v>927</v>
      </c>
      <c r="F444" s="1" t="s">
        <v>753</v>
      </c>
      <c r="G444" s="1" t="s">
        <v>754</v>
      </c>
      <c r="H444" s="1" t="s">
        <v>141</v>
      </c>
      <c r="I444" s="1" t="s">
        <v>63</v>
      </c>
      <c r="J444" s="1">
        <v>1</v>
      </c>
      <c r="K444" s="1" t="s">
        <v>142</v>
      </c>
      <c r="L444" s="1" t="s">
        <v>177</v>
      </c>
      <c r="M444" s="1" t="s">
        <v>28</v>
      </c>
      <c r="N444" s="1" t="str">
        <f>HYPERLINK("https://klocwork.india.ti.com:443/review/insight-review.html#issuedetails_goto:problemid=52705,project=MCU_PLUS_SDK_AM263X,searchquery=taxonomy:'C and C++' build:Build_Apr_13_2023_11_11_AM grouping:off ","KW Issue Link")</f>
        <v>KW Issue Link</v>
      </c>
      <c r="O444" s="1" t="s">
        <v>291</v>
      </c>
    </row>
    <row r="445" spans="1:15" ht="60" x14ac:dyDescent="0.25">
      <c r="A445" s="1" t="s">
        <v>298</v>
      </c>
      <c r="B445" s="1" t="s">
        <v>299</v>
      </c>
      <c r="C445" s="1" t="s">
        <v>722</v>
      </c>
      <c r="D445" s="1">
        <v>52706</v>
      </c>
      <c r="E445" s="1">
        <v>972</v>
      </c>
      <c r="F445" s="1" t="s">
        <v>755</v>
      </c>
      <c r="G445" s="1" t="s">
        <v>754</v>
      </c>
      <c r="H445" s="1" t="s">
        <v>141</v>
      </c>
      <c r="I445" s="1" t="s">
        <v>63</v>
      </c>
      <c r="J445" s="1">
        <v>1</v>
      </c>
      <c r="K445" s="1" t="s">
        <v>142</v>
      </c>
      <c r="L445" s="1" t="s">
        <v>177</v>
      </c>
      <c r="M445" s="1" t="s">
        <v>28</v>
      </c>
      <c r="N445" s="1" t="str">
        <f>HYPERLINK("https://klocwork.india.ti.com:443/review/insight-review.html#issuedetails_goto:problemid=52706,project=MCU_PLUS_SDK_AM263X,searchquery=taxonomy:'C and C++' build:Build_Apr_13_2023_11_11_AM grouping:off ","KW Issue Link")</f>
        <v>KW Issue Link</v>
      </c>
      <c r="O445" s="1" t="s">
        <v>291</v>
      </c>
    </row>
    <row r="446" spans="1:15" ht="75" x14ac:dyDescent="0.25">
      <c r="A446" s="1" t="s">
        <v>298</v>
      </c>
      <c r="B446" s="1" t="s">
        <v>299</v>
      </c>
      <c r="C446" s="1" t="s">
        <v>722</v>
      </c>
      <c r="D446" s="1">
        <v>52707</v>
      </c>
      <c r="E446" s="1">
        <v>1043</v>
      </c>
      <c r="F446" s="1" t="s">
        <v>756</v>
      </c>
      <c r="G446" s="1" t="s">
        <v>746</v>
      </c>
      <c r="H446" s="1" t="s">
        <v>141</v>
      </c>
      <c r="I446" s="1" t="s">
        <v>63</v>
      </c>
      <c r="J446" s="1">
        <v>1</v>
      </c>
      <c r="K446" s="1" t="s">
        <v>142</v>
      </c>
      <c r="L446" s="1" t="s">
        <v>177</v>
      </c>
      <c r="M446" s="1" t="s">
        <v>28</v>
      </c>
      <c r="N446" s="1" t="str">
        <f>HYPERLINK("https://klocwork.india.ti.com:443/review/insight-review.html#issuedetails_goto:problemid=52707,project=MCU_PLUS_SDK_AM263X,searchquery=taxonomy:'C and C++' build:Build_Apr_13_2023_11_11_AM grouping:off ","KW Issue Link")</f>
        <v>KW Issue Link</v>
      </c>
      <c r="O446" s="1" t="s">
        <v>291</v>
      </c>
    </row>
    <row r="447" spans="1:15" ht="75" x14ac:dyDescent="0.25">
      <c r="A447" s="1" t="s">
        <v>298</v>
      </c>
      <c r="B447" s="1" t="s">
        <v>299</v>
      </c>
      <c r="C447" s="1" t="s">
        <v>722</v>
      </c>
      <c r="D447" s="1">
        <v>52708</v>
      </c>
      <c r="E447" s="1">
        <v>1044</v>
      </c>
      <c r="F447" s="1" t="s">
        <v>757</v>
      </c>
      <c r="G447" s="1" t="s">
        <v>746</v>
      </c>
      <c r="H447" s="1" t="s">
        <v>141</v>
      </c>
      <c r="I447" s="1" t="s">
        <v>63</v>
      </c>
      <c r="J447" s="1">
        <v>1</v>
      </c>
      <c r="K447" s="1" t="s">
        <v>142</v>
      </c>
      <c r="L447" s="1" t="s">
        <v>177</v>
      </c>
      <c r="M447" s="1" t="s">
        <v>28</v>
      </c>
      <c r="N447" s="1" t="str">
        <f>HYPERLINK("https://klocwork.india.ti.com:443/review/insight-review.html#issuedetails_goto:problemid=52708,project=MCU_PLUS_SDK_AM263X,searchquery=taxonomy:'C and C++' build:Build_Apr_13_2023_11_11_AM grouping:off ","KW Issue Link")</f>
        <v>KW Issue Link</v>
      </c>
      <c r="O447" s="1" t="s">
        <v>291</v>
      </c>
    </row>
    <row r="448" spans="1:15" ht="60" x14ac:dyDescent="0.25">
      <c r="A448" s="1" t="s">
        <v>298</v>
      </c>
      <c r="B448" s="1" t="s">
        <v>299</v>
      </c>
      <c r="C448" s="1" t="s">
        <v>722</v>
      </c>
      <c r="D448" s="1">
        <v>52709</v>
      </c>
      <c r="E448" s="1">
        <v>1121</v>
      </c>
      <c r="F448" s="1" t="s">
        <v>758</v>
      </c>
      <c r="G448" s="1" t="s">
        <v>738</v>
      </c>
      <c r="H448" s="1" t="s">
        <v>141</v>
      </c>
      <c r="I448" s="1" t="s">
        <v>63</v>
      </c>
      <c r="J448" s="1">
        <v>1</v>
      </c>
      <c r="K448" s="1" t="s">
        <v>142</v>
      </c>
      <c r="L448" s="1" t="s">
        <v>177</v>
      </c>
      <c r="M448" s="1" t="s">
        <v>28</v>
      </c>
      <c r="N448" s="1" t="str">
        <f>HYPERLINK("https://klocwork.india.ti.com:443/review/insight-review.html#issuedetails_goto:problemid=52709,project=MCU_PLUS_SDK_AM263X,searchquery=taxonomy:'C and C++' build:Build_Apr_13_2023_11_11_AM grouping:off ","KW Issue Link")</f>
        <v>KW Issue Link</v>
      </c>
      <c r="O448" s="1" t="s">
        <v>291</v>
      </c>
    </row>
    <row r="449" spans="1:15" ht="75" x14ac:dyDescent="0.25">
      <c r="A449" s="1" t="s">
        <v>298</v>
      </c>
      <c r="B449" s="1" t="s">
        <v>299</v>
      </c>
      <c r="C449" s="1" t="s">
        <v>722</v>
      </c>
      <c r="D449" s="1">
        <v>52710</v>
      </c>
      <c r="E449" s="1">
        <v>1809</v>
      </c>
      <c r="F449" s="1" t="s">
        <v>759</v>
      </c>
      <c r="G449" s="1" t="s">
        <v>760</v>
      </c>
      <c r="H449" s="1" t="s">
        <v>141</v>
      </c>
      <c r="I449" s="1" t="s">
        <v>63</v>
      </c>
      <c r="J449" s="1">
        <v>1</v>
      </c>
      <c r="K449" s="1" t="s">
        <v>142</v>
      </c>
      <c r="L449" s="1" t="s">
        <v>177</v>
      </c>
      <c r="M449" s="1" t="s">
        <v>28</v>
      </c>
      <c r="N449" s="1" t="str">
        <f>HYPERLINK("https://klocwork.india.ti.com:443/review/insight-review.html#issuedetails_goto:problemid=52710,project=MCU_PLUS_SDK_AM263X,searchquery=taxonomy:'C and C++' build:Build_Apr_13_2023_11_11_AM grouping:off ","KW Issue Link")</f>
        <v>KW Issue Link</v>
      </c>
      <c r="O449" s="1" t="s">
        <v>291</v>
      </c>
    </row>
    <row r="450" spans="1:15" ht="180" x14ac:dyDescent="0.25">
      <c r="A450" s="1" t="s">
        <v>298</v>
      </c>
      <c r="B450" s="1" t="s">
        <v>761</v>
      </c>
      <c r="C450" s="1" t="s">
        <v>762</v>
      </c>
      <c r="D450" s="1">
        <v>52892</v>
      </c>
      <c r="E450" s="1">
        <v>158</v>
      </c>
      <c r="F450" s="1" t="s">
        <v>763</v>
      </c>
      <c r="G450" s="1" t="s">
        <v>764</v>
      </c>
      <c r="H450" s="1" t="s">
        <v>141</v>
      </c>
      <c r="I450" s="1" t="s">
        <v>63</v>
      </c>
      <c r="J450" s="1">
        <v>1</v>
      </c>
      <c r="K450" s="1" t="s">
        <v>142</v>
      </c>
      <c r="L450" s="1" t="s">
        <v>195</v>
      </c>
      <c r="M450" s="1" t="s">
        <v>28</v>
      </c>
      <c r="N450" s="1" t="str">
        <f>HYPERLINK("https://klocwork.india.ti.com:443/review/insight-review.html#issuedetails_goto:problemid=52892,project=MCU_PLUS_SDK_AM263X,searchquery=taxonomy:'C and C++' build:Build_Apr_13_2023_11_11_AM grouping:off ","KW Issue Link")</f>
        <v>KW Issue Link</v>
      </c>
      <c r="O450" s="1" t="s">
        <v>765</v>
      </c>
    </row>
    <row r="451" spans="1:15" ht="180" x14ac:dyDescent="0.25">
      <c r="A451" s="1" t="s">
        <v>298</v>
      </c>
      <c r="B451" s="1" t="s">
        <v>761</v>
      </c>
      <c r="C451" s="1" t="s">
        <v>762</v>
      </c>
      <c r="D451" s="1">
        <v>52893</v>
      </c>
      <c r="E451" s="1">
        <v>191</v>
      </c>
      <c r="F451" s="1" t="s">
        <v>766</v>
      </c>
      <c r="G451" s="1" t="s">
        <v>767</v>
      </c>
      <c r="H451" s="1" t="s">
        <v>141</v>
      </c>
      <c r="I451" s="1" t="s">
        <v>63</v>
      </c>
      <c r="J451" s="1">
        <v>1</v>
      </c>
      <c r="K451" s="1" t="s">
        <v>142</v>
      </c>
      <c r="L451" s="1" t="s">
        <v>195</v>
      </c>
      <c r="M451" s="1" t="s">
        <v>28</v>
      </c>
      <c r="N451" s="1" t="str">
        <f>HYPERLINK("https://klocwork.india.ti.com:443/review/insight-review.html#issuedetails_goto:problemid=52893,project=MCU_PLUS_SDK_AM263X,searchquery=taxonomy:'C and C++' build:Build_Apr_13_2023_11_11_AM grouping:off ","KW Issue Link")</f>
        <v>KW Issue Link</v>
      </c>
      <c r="O451" s="1" t="s">
        <v>765</v>
      </c>
    </row>
    <row r="452" spans="1:15" ht="180" x14ac:dyDescent="0.25">
      <c r="A452" s="1" t="s">
        <v>298</v>
      </c>
      <c r="B452" s="1" t="s">
        <v>761</v>
      </c>
      <c r="C452" s="1" t="s">
        <v>762</v>
      </c>
      <c r="D452" s="1">
        <v>52894</v>
      </c>
      <c r="E452" s="1">
        <v>216</v>
      </c>
      <c r="F452" s="1" t="s">
        <v>768</v>
      </c>
      <c r="G452" s="1" t="s">
        <v>769</v>
      </c>
      <c r="H452" s="1" t="s">
        <v>141</v>
      </c>
      <c r="I452" s="1" t="s">
        <v>63</v>
      </c>
      <c r="J452" s="1">
        <v>1</v>
      </c>
      <c r="K452" s="1" t="s">
        <v>142</v>
      </c>
      <c r="L452" s="1" t="s">
        <v>195</v>
      </c>
      <c r="M452" s="1" t="s">
        <v>28</v>
      </c>
      <c r="N452" s="1" t="str">
        <f>HYPERLINK("https://klocwork.india.ti.com:443/review/insight-review.html#issuedetails_goto:problemid=52894,project=MCU_PLUS_SDK_AM263X,searchquery=taxonomy:'C and C++' build:Build_Apr_13_2023_11_11_AM grouping:off ","KW Issue Link")</f>
        <v>KW Issue Link</v>
      </c>
      <c r="O452" s="1" t="s">
        <v>765</v>
      </c>
    </row>
    <row r="453" spans="1:15" ht="180" x14ac:dyDescent="0.25">
      <c r="A453" s="1" t="s">
        <v>298</v>
      </c>
      <c r="B453" s="1" t="s">
        <v>761</v>
      </c>
      <c r="C453" s="1" t="s">
        <v>762</v>
      </c>
      <c r="D453" s="1">
        <v>52895</v>
      </c>
      <c r="E453" s="1">
        <v>230</v>
      </c>
      <c r="F453" s="1" t="s">
        <v>770</v>
      </c>
      <c r="G453" s="1" t="s">
        <v>771</v>
      </c>
      <c r="H453" s="1" t="s">
        <v>141</v>
      </c>
      <c r="I453" s="1" t="s">
        <v>63</v>
      </c>
      <c r="J453" s="1">
        <v>1</v>
      </c>
      <c r="K453" s="1" t="s">
        <v>142</v>
      </c>
      <c r="L453" s="1" t="s">
        <v>195</v>
      </c>
      <c r="M453" s="1" t="s">
        <v>28</v>
      </c>
      <c r="N453" s="1" t="str">
        <f>HYPERLINK("https://klocwork.india.ti.com:443/review/insight-review.html#issuedetails_goto:problemid=52895,project=MCU_PLUS_SDK_AM263X,searchquery=taxonomy:'C and C++' build:Build_Apr_13_2023_11_11_AM grouping:off ","KW Issue Link")</f>
        <v>KW Issue Link</v>
      </c>
      <c r="O453" s="1" t="s">
        <v>765</v>
      </c>
    </row>
    <row r="454" spans="1:15" ht="180" x14ac:dyDescent="0.25">
      <c r="A454" s="1" t="s">
        <v>298</v>
      </c>
      <c r="B454" s="1" t="s">
        <v>761</v>
      </c>
      <c r="C454" s="1" t="s">
        <v>762</v>
      </c>
      <c r="D454" s="1">
        <v>52896</v>
      </c>
      <c r="E454" s="1">
        <v>232</v>
      </c>
      <c r="F454" s="1" t="s">
        <v>772</v>
      </c>
      <c r="G454" s="1" t="s">
        <v>771</v>
      </c>
      <c r="H454" s="1" t="s">
        <v>141</v>
      </c>
      <c r="I454" s="1" t="s">
        <v>63</v>
      </c>
      <c r="J454" s="1">
        <v>1</v>
      </c>
      <c r="K454" s="1" t="s">
        <v>142</v>
      </c>
      <c r="L454" s="1" t="s">
        <v>195</v>
      </c>
      <c r="M454" s="1" t="s">
        <v>28</v>
      </c>
      <c r="N454" s="1" t="str">
        <f>HYPERLINK("https://klocwork.india.ti.com:443/review/insight-review.html#issuedetails_goto:problemid=52896,project=MCU_PLUS_SDK_AM263X,searchquery=taxonomy:'C and C++' build:Build_Apr_13_2023_11_11_AM grouping:off ","KW Issue Link")</f>
        <v>KW Issue Link</v>
      </c>
      <c r="O454" s="1" t="s">
        <v>765</v>
      </c>
    </row>
    <row r="455" spans="1:15" ht="180" x14ac:dyDescent="0.25">
      <c r="A455" s="1" t="s">
        <v>298</v>
      </c>
      <c r="B455" s="1" t="s">
        <v>761</v>
      </c>
      <c r="C455" s="1" t="s">
        <v>762</v>
      </c>
      <c r="D455" s="1">
        <v>52897</v>
      </c>
      <c r="E455" s="1">
        <v>241</v>
      </c>
      <c r="F455" s="1" t="s">
        <v>773</v>
      </c>
      <c r="G455" s="1" t="s">
        <v>774</v>
      </c>
      <c r="H455" s="1" t="s">
        <v>141</v>
      </c>
      <c r="I455" s="1" t="s">
        <v>63</v>
      </c>
      <c r="J455" s="1">
        <v>1</v>
      </c>
      <c r="K455" s="1" t="s">
        <v>142</v>
      </c>
      <c r="L455" s="1" t="s">
        <v>195</v>
      </c>
      <c r="M455" s="1" t="s">
        <v>28</v>
      </c>
      <c r="N455" s="1" t="str">
        <f>HYPERLINK("https://klocwork.india.ti.com:443/review/insight-review.html#issuedetails_goto:problemid=52897,project=MCU_PLUS_SDK_AM263X,searchquery=taxonomy:'C and C++' build:Build_Apr_13_2023_11_11_AM grouping:off ","KW Issue Link")</f>
        <v>KW Issue Link</v>
      </c>
      <c r="O455" s="1" t="s">
        <v>765</v>
      </c>
    </row>
    <row r="456" spans="1:15" ht="180" x14ac:dyDescent="0.25">
      <c r="A456" s="1" t="s">
        <v>298</v>
      </c>
      <c r="B456" s="1" t="s">
        <v>761</v>
      </c>
      <c r="C456" s="1" t="s">
        <v>762</v>
      </c>
      <c r="D456" s="1">
        <v>52898</v>
      </c>
      <c r="E456" s="1">
        <v>243</v>
      </c>
      <c r="F456" s="1" t="s">
        <v>775</v>
      </c>
      <c r="G456" s="1" t="s">
        <v>774</v>
      </c>
      <c r="H456" s="1" t="s">
        <v>141</v>
      </c>
      <c r="I456" s="1" t="s">
        <v>63</v>
      </c>
      <c r="J456" s="1">
        <v>1</v>
      </c>
      <c r="K456" s="1" t="s">
        <v>142</v>
      </c>
      <c r="L456" s="1" t="s">
        <v>195</v>
      </c>
      <c r="M456" s="1" t="s">
        <v>28</v>
      </c>
      <c r="N456" s="1" t="str">
        <f>HYPERLINK("https://klocwork.india.ti.com:443/review/insight-review.html#issuedetails_goto:problemid=52898,project=MCU_PLUS_SDK_AM263X,searchquery=taxonomy:'C and C++' build:Build_Apr_13_2023_11_11_AM grouping:off ","KW Issue Link")</f>
        <v>KW Issue Link</v>
      </c>
      <c r="O456" s="1" t="s">
        <v>765</v>
      </c>
    </row>
    <row r="457" spans="1:15" ht="180" x14ac:dyDescent="0.25">
      <c r="A457" s="1" t="s">
        <v>298</v>
      </c>
      <c r="B457" s="1" t="s">
        <v>761</v>
      </c>
      <c r="C457" s="1" t="s">
        <v>762</v>
      </c>
      <c r="D457" s="1">
        <v>52899</v>
      </c>
      <c r="E457" s="1">
        <v>251</v>
      </c>
      <c r="F457" s="1" t="s">
        <v>776</v>
      </c>
      <c r="G457" s="1" t="s">
        <v>777</v>
      </c>
      <c r="H457" s="1" t="s">
        <v>141</v>
      </c>
      <c r="I457" s="1" t="s">
        <v>63</v>
      </c>
      <c r="J457" s="1">
        <v>1</v>
      </c>
      <c r="K457" s="1" t="s">
        <v>142</v>
      </c>
      <c r="L457" s="1" t="s">
        <v>195</v>
      </c>
      <c r="M457" s="1" t="s">
        <v>28</v>
      </c>
      <c r="N457" s="1" t="str">
        <f>HYPERLINK("https://klocwork.india.ti.com:443/review/insight-review.html#issuedetails_goto:problemid=52899,project=MCU_PLUS_SDK_AM263X,searchquery=taxonomy:'C and C++' build:Build_Apr_13_2023_11_11_AM grouping:off ","KW Issue Link")</f>
        <v>KW Issue Link</v>
      </c>
      <c r="O457" s="1" t="s">
        <v>765</v>
      </c>
    </row>
    <row r="458" spans="1:15" ht="180" x14ac:dyDescent="0.25">
      <c r="A458" s="1" t="s">
        <v>298</v>
      </c>
      <c r="B458" s="1" t="s">
        <v>761</v>
      </c>
      <c r="C458" s="1" t="s">
        <v>762</v>
      </c>
      <c r="D458" s="1">
        <v>52900</v>
      </c>
      <c r="E458" s="1">
        <v>254</v>
      </c>
      <c r="F458" s="1" t="s">
        <v>778</v>
      </c>
      <c r="G458" s="1" t="s">
        <v>777</v>
      </c>
      <c r="H458" s="1" t="s">
        <v>141</v>
      </c>
      <c r="I458" s="1" t="s">
        <v>63</v>
      </c>
      <c r="J458" s="1">
        <v>1</v>
      </c>
      <c r="K458" s="1" t="s">
        <v>142</v>
      </c>
      <c r="L458" s="1" t="s">
        <v>195</v>
      </c>
      <c r="M458" s="1" t="s">
        <v>28</v>
      </c>
      <c r="N458" s="1" t="str">
        <f>HYPERLINK("https://klocwork.india.ti.com:443/review/insight-review.html#issuedetails_goto:problemid=52900,project=MCU_PLUS_SDK_AM263X,searchquery=taxonomy:'C and C++' build:Build_Apr_13_2023_11_11_AM grouping:off ","KW Issue Link")</f>
        <v>KW Issue Link</v>
      </c>
      <c r="O458" s="1" t="s">
        <v>765</v>
      </c>
    </row>
    <row r="459" spans="1:15" ht="180" x14ac:dyDescent="0.25">
      <c r="A459" s="1" t="s">
        <v>298</v>
      </c>
      <c r="B459" s="1" t="s">
        <v>761</v>
      </c>
      <c r="C459" s="1" t="s">
        <v>762</v>
      </c>
      <c r="D459" s="1">
        <v>52901</v>
      </c>
      <c r="E459" s="1">
        <v>267</v>
      </c>
      <c r="F459" s="1" t="s">
        <v>779</v>
      </c>
      <c r="G459" s="1" t="s">
        <v>780</v>
      </c>
      <c r="H459" s="1" t="s">
        <v>141</v>
      </c>
      <c r="I459" s="1" t="s">
        <v>63</v>
      </c>
      <c r="J459" s="1">
        <v>1</v>
      </c>
      <c r="K459" s="1" t="s">
        <v>142</v>
      </c>
      <c r="L459" s="1" t="s">
        <v>195</v>
      </c>
      <c r="M459" s="1" t="s">
        <v>28</v>
      </c>
      <c r="N459" s="1" t="str">
        <f>HYPERLINK("https://klocwork.india.ti.com:443/review/insight-review.html#issuedetails_goto:problemid=52901,project=MCU_PLUS_SDK_AM263X,searchquery=taxonomy:'C and C++' build:Build_Apr_13_2023_11_11_AM grouping:off ","KW Issue Link")</f>
        <v>KW Issue Link</v>
      </c>
      <c r="O459" s="1" t="s">
        <v>765</v>
      </c>
    </row>
    <row r="460" spans="1:15" ht="180" x14ac:dyDescent="0.25">
      <c r="A460" s="1" t="s">
        <v>298</v>
      </c>
      <c r="B460" s="1" t="s">
        <v>761</v>
      </c>
      <c r="C460" s="1" t="s">
        <v>762</v>
      </c>
      <c r="D460" s="1">
        <v>52902</v>
      </c>
      <c r="E460" s="1">
        <v>286</v>
      </c>
      <c r="F460" s="1" t="s">
        <v>781</v>
      </c>
      <c r="G460" s="1" t="s">
        <v>782</v>
      </c>
      <c r="H460" s="1" t="s">
        <v>141</v>
      </c>
      <c r="I460" s="1" t="s">
        <v>63</v>
      </c>
      <c r="J460" s="1">
        <v>1</v>
      </c>
      <c r="K460" s="1" t="s">
        <v>142</v>
      </c>
      <c r="L460" s="1" t="s">
        <v>195</v>
      </c>
      <c r="M460" s="1" t="s">
        <v>28</v>
      </c>
      <c r="N460" s="1" t="str">
        <f>HYPERLINK("https://klocwork.india.ti.com:443/review/insight-review.html#issuedetails_goto:problemid=52902,project=MCU_PLUS_SDK_AM263X,searchquery=taxonomy:'C and C++' build:Build_Apr_13_2023_11_11_AM grouping:off ","KW Issue Link")</f>
        <v>KW Issue Link</v>
      </c>
      <c r="O460" s="1" t="s">
        <v>765</v>
      </c>
    </row>
    <row r="461" spans="1:15" ht="180" x14ac:dyDescent="0.25">
      <c r="A461" s="1" t="s">
        <v>298</v>
      </c>
      <c r="B461" s="1" t="s">
        <v>761</v>
      </c>
      <c r="C461" s="1" t="s">
        <v>762</v>
      </c>
      <c r="D461" s="1">
        <v>52903</v>
      </c>
      <c r="E461" s="1">
        <v>288</v>
      </c>
      <c r="F461" s="1" t="s">
        <v>783</v>
      </c>
      <c r="G461" s="1" t="s">
        <v>782</v>
      </c>
      <c r="H461" s="1" t="s">
        <v>141</v>
      </c>
      <c r="I461" s="1" t="s">
        <v>63</v>
      </c>
      <c r="J461" s="1">
        <v>1</v>
      </c>
      <c r="K461" s="1" t="s">
        <v>142</v>
      </c>
      <c r="L461" s="1" t="s">
        <v>195</v>
      </c>
      <c r="M461" s="1" t="s">
        <v>28</v>
      </c>
      <c r="N461" s="1" t="str">
        <f>HYPERLINK("https://klocwork.india.ti.com:443/review/insight-review.html#issuedetails_goto:problemid=52903,project=MCU_PLUS_SDK_AM263X,searchquery=taxonomy:'C and C++' build:Build_Apr_13_2023_11_11_AM grouping:off ","KW Issue Link")</f>
        <v>KW Issue Link</v>
      </c>
      <c r="O461" s="1" t="s">
        <v>765</v>
      </c>
    </row>
    <row r="462" spans="1:15" ht="180" x14ac:dyDescent="0.25">
      <c r="A462" s="1" t="s">
        <v>298</v>
      </c>
      <c r="B462" s="1" t="s">
        <v>761</v>
      </c>
      <c r="C462" s="1" t="s">
        <v>762</v>
      </c>
      <c r="D462" s="1">
        <v>52904</v>
      </c>
      <c r="E462" s="1">
        <v>299</v>
      </c>
      <c r="F462" s="1" t="s">
        <v>784</v>
      </c>
      <c r="G462" s="1" t="s">
        <v>785</v>
      </c>
      <c r="H462" s="1" t="s">
        <v>141</v>
      </c>
      <c r="I462" s="1" t="s">
        <v>63</v>
      </c>
      <c r="J462" s="1">
        <v>1</v>
      </c>
      <c r="K462" s="1" t="s">
        <v>142</v>
      </c>
      <c r="L462" s="1" t="s">
        <v>195</v>
      </c>
      <c r="M462" s="1" t="s">
        <v>28</v>
      </c>
      <c r="N462" s="1" t="str">
        <f>HYPERLINK("https://klocwork.india.ti.com:443/review/insight-review.html#issuedetails_goto:problemid=52904,project=MCU_PLUS_SDK_AM263X,searchquery=taxonomy:'C and C++' build:Build_Apr_13_2023_11_11_AM grouping:off ","KW Issue Link")</f>
        <v>KW Issue Link</v>
      </c>
      <c r="O462" s="1" t="s">
        <v>765</v>
      </c>
    </row>
    <row r="463" spans="1:15" ht="180" x14ac:dyDescent="0.25">
      <c r="A463" s="1" t="s">
        <v>298</v>
      </c>
      <c r="B463" s="1" t="s">
        <v>761</v>
      </c>
      <c r="C463" s="1" t="s">
        <v>762</v>
      </c>
      <c r="D463" s="1">
        <v>52905</v>
      </c>
      <c r="E463" s="1">
        <v>303</v>
      </c>
      <c r="F463" s="1" t="s">
        <v>786</v>
      </c>
      <c r="G463" s="1" t="s">
        <v>785</v>
      </c>
      <c r="H463" s="1" t="s">
        <v>141</v>
      </c>
      <c r="I463" s="1" t="s">
        <v>63</v>
      </c>
      <c r="J463" s="1">
        <v>1</v>
      </c>
      <c r="K463" s="1" t="s">
        <v>142</v>
      </c>
      <c r="L463" s="1" t="s">
        <v>195</v>
      </c>
      <c r="M463" s="1" t="s">
        <v>28</v>
      </c>
      <c r="N463" s="1" t="str">
        <f>HYPERLINK("https://klocwork.india.ti.com:443/review/insight-review.html#issuedetails_goto:problemid=52905,project=MCU_PLUS_SDK_AM263X,searchquery=taxonomy:'C and C++' build:Build_Apr_13_2023_11_11_AM grouping:off ","KW Issue Link")</f>
        <v>KW Issue Link</v>
      </c>
      <c r="O463" s="1" t="s">
        <v>765</v>
      </c>
    </row>
    <row r="464" spans="1:15" ht="180" x14ac:dyDescent="0.25">
      <c r="A464" s="1" t="s">
        <v>298</v>
      </c>
      <c r="B464" s="1" t="s">
        <v>761</v>
      </c>
      <c r="C464" s="1" t="s">
        <v>762</v>
      </c>
      <c r="D464" s="1">
        <v>52906</v>
      </c>
      <c r="E464" s="1">
        <v>307</v>
      </c>
      <c r="F464" s="1" t="s">
        <v>787</v>
      </c>
      <c r="G464" s="1" t="s">
        <v>785</v>
      </c>
      <c r="H464" s="1" t="s">
        <v>141</v>
      </c>
      <c r="I464" s="1" t="s">
        <v>63</v>
      </c>
      <c r="J464" s="1">
        <v>1</v>
      </c>
      <c r="K464" s="1" t="s">
        <v>142</v>
      </c>
      <c r="L464" s="1" t="s">
        <v>195</v>
      </c>
      <c r="M464" s="1" t="s">
        <v>28</v>
      </c>
      <c r="N464" s="1" t="str">
        <f>HYPERLINK("https://klocwork.india.ti.com:443/review/insight-review.html#issuedetails_goto:problemid=52906,project=MCU_PLUS_SDK_AM263X,searchquery=taxonomy:'C and C++' build:Build_Apr_13_2023_11_11_AM grouping:off ","KW Issue Link")</f>
        <v>KW Issue Link</v>
      </c>
      <c r="O464" s="1" t="s">
        <v>765</v>
      </c>
    </row>
    <row r="465" spans="1:15" ht="180" x14ac:dyDescent="0.25">
      <c r="A465" s="1" t="s">
        <v>298</v>
      </c>
      <c r="B465" s="1" t="s">
        <v>761</v>
      </c>
      <c r="C465" s="1" t="s">
        <v>762</v>
      </c>
      <c r="D465" s="1">
        <v>52907</v>
      </c>
      <c r="E465" s="1">
        <v>325</v>
      </c>
      <c r="F465" s="1" t="s">
        <v>788</v>
      </c>
      <c r="G465" s="1" t="s">
        <v>789</v>
      </c>
      <c r="H465" s="1" t="s">
        <v>141</v>
      </c>
      <c r="I465" s="1" t="s">
        <v>63</v>
      </c>
      <c r="J465" s="1">
        <v>1</v>
      </c>
      <c r="K465" s="1" t="s">
        <v>142</v>
      </c>
      <c r="L465" s="1" t="s">
        <v>195</v>
      </c>
      <c r="M465" s="1" t="s">
        <v>28</v>
      </c>
      <c r="N465" s="1" t="str">
        <f>HYPERLINK("https://klocwork.india.ti.com:443/review/insight-review.html#issuedetails_goto:problemid=52907,project=MCU_PLUS_SDK_AM263X,searchquery=taxonomy:'C and C++' build:Build_Apr_13_2023_11_11_AM grouping:off ","KW Issue Link")</f>
        <v>KW Issue Link</v>
      </c>
      <c r="O465" s="1" t="s">
        <v>765</v>
      </c>
    </row>
    <row r="466" spans="1:15" ht="180" x14ac:dyDescent="0.25">
      <c r="A466" s="1" t="s">
        <v>298</v>
      </c>
      <c r="B466" s="1" t="s">
        <v>761</v>
      </c>
      <c r="C466" s="1" t="s">
        <v>762</v>
      </c>
      <c r="D466" s="1">
        <v>52908</v>
      </c>
      <c r="E466" s="1">
        <v>328</v>
      </c>
      <c r="F466" s="1" t="s">
        <v>790</v>
      </c>
      <c r="G466" s="1" t="s">
        <v>789</v>
      </c>
      <c r="H466" s="1" t="s">
        <v>141</v>
      </c>
      <c r="I466" s="1" t="s">
        <v>63</v>
      </c>
      <c r="J466" s="1">
        <v>1</v>
      </c>
      <c r="K466" s="1" t="s">
        <v>142</v>
      </c>
      <c r="L466" s="1" t="s">
        <v>195</v>
      </c>
      <c r="M466" s="1" t="s">
        <v>28</v>
      </c>
      <c r="N466" s="1" t="str">
        <f>HYPERLINK("https://klocwork.india.ti.com:443/review/insight-review.html#issuedetails_goto:problemid=52908,project=MCU_PLUS_SDK_AM263X,searchquery=taxonomy:'C and C++' build:Build_Apr_13_2023_11_11_AM grouping:off ","KW Issue Link")</f>
        <v>KW Issue Link</v>
      </c>
      <c r="O466" s="1" t="s">
        <v>765</v>
      </c>
    </row>
    <row r="467" spans="1:15" ht="180" x14ac:dyDescent="0.25">
      <c r="A467" s="1" t="s">
        <v>298</v>
      </c>
      <c r="B467" s="1" t="s">
        <v>761</v>
      </c>
      <c r="C467" s="1" t="s">
        <v>762</v>
      </c>
      <c r="D467" s="1">
        <v>52909</v>
      </c>
      <c r="E467" s="1">
        <v>338</v>
      </c>
      <c r="F467" s="1" t="s">
        <v>791</v>
      </c>
      <c r="G467" s="1" t="s">
        <v>792</v>
      </c>
      <c r="H467" s="1" t="s">
        <v>141</v>
      </c>
      <c r="I467" s="1" t="s">
        <v>63</v>
      </c>
      <c r="J467" s="1">
        <v>1</v>
      </c>
      <c r="K467" s="1" t="s">
        <v>142</v>
      </c>
      <c r="L467" s="1" t="s">
        <v>195</v>
      </c>
      <c r="M467" s="1" t="s">
        <v>28</v>
      </c>
      <c r="N467" s="1" t="str">
        <f>HYPERLINK("https://klocwork.india.ti.com:443/review/insight-review.html#issuedetails_goto:problemid=52909,project=MCU_PLUS_SDK_AM263X,searchquery=taxonomy:'C and C++' build:Build_Apr_13_2023_11_11_AM grouping:off ","KW Issue Link")</f>
        <v>KW Issue Link</v>
      </c>
      <c r="O467" s="1" t="s">
        <v>765</v>
      </c>
    </row>
    <row r="468" spans="1:15" ht="180" x14ac:dyDescent="0.25">
      <c r="A468" s="1" t="s">
        <v>298</v>
      </c>
      <c r="B468" s="1" t="s">
        <v>761</v>
      </c>
      <c r="C468" s="1" t="s">
        <v>762</v>
      </c>
      <c r="D468" s="1">
        <v>52910</v>
      </c>
      <c r="E468" s="1">
        <v>352</v>
      </c>
      <c r="F468" s="1" t="s">
        <v>793</v>
      </c>
      <c r="G468" s="1" t="s">
        <v>794</v>
      </c>
      <c r="H468" s="1" t="s">
        <v>141</v>
      </c>
      <c r="I468" s="1" t="s">
        <v>63</v>
      </c>
      <c r="J468" s="1">
        <v>1</v>
      </c>
      <c r="K468" s="1" t="s">
        <v>142</v>
      </c>
      <c r="L468" s="1" t="s">
        <v>195</v>
      </c>
      <c r="M468" s="1" t="s">
        <v>28</v>
      </c>
      <c r="N468" s="1" t="str">
        <f>HYPERLINK("https://klocwork.india.ti.com:443/review/insight-review.html#issuedetails_goto:problemid=52910,project=MCU_PLUS_SDK_AM263X,searchquery=taxonomy:'C and C++' build:Build_Apr_13_2023_11_11_AM grouping:off ","KW Issue Link")</f>
        <v>KW Issue Link</v>
      </c>
      <c r="O468" s="1" t="s">
        <v>765</v>
      </c>
    </row>
    <row r="469" spans="1:15" ht="180" x14ac:dyDescent="0.25">
      <c r="A469" s="1" t="s">
        <v>459</v>
      </c>
      <c r="B469" s="1" t="s">
        <v>795</v>
      </c>
      <c r="C469" s="1" t="s">
        <v>762</v>
      </c>
      <c r="D469" s="1">
        <v>52911</v>
      </c>
      <c r="E469" s="1">
        <v>354</v>
      </c>
      <c r="F469" s="1" t="s">
        <v>796</v>
      </c>
      <c r="G469" s="1" t="s">
        <v>794</v>
      </c>
      <c r="H469" s="1" t="s">
        <v>141</v>
      </c>
      <c r="I469" s="1" t="s">
        <v>63</v>
      </c>
      <c r="J469" s="1">
        <v>1</v>
      </c>
      <c r="K469" s="1" t="s">
        <v>142</v>
      </c>
      <c r="L469" s="1" t="s">
        <v>195</v>
      </c>
      <c r="M469" s="1" t="s">
        <v>28</v>
      </c>
      <c r="N469" s="1" t="str">
        <f>HYPERLINK("https://klocwork.india.ti.com:443/review/insight-review.html#issuedetails_goto:problemid=52911,project=MCU_PLUS_SDK_AM263X,searchquery=taxonomy:'C and C++' build:Build_Apr_13_2023_11_11_AM grouping:off ","KW Issue Link")</f>
        <v>KW Issue Link</v>
      </c>
      <c r="O469" s="1" t="s">
        <v>765</v>
      </c>
    </row>
    <row r="470" spans="1:15" ht="180" x14ac:dyDescent="0.25">
      <c r="A470" s="1" t="s">
        <v>298</v>
      </c>
      <c r="B470" s="1" t="s">
        <v>761</v>
      </c>
      <c r="C470" s="1" t="s">
        <v>762</v>
      </c>
      <c r="D470" s="1">
        <v>52912</v>
      </c>
      <c r="E470" s="1">
        <v>363</v>
      </c>
      <c r="F470" s="1" t="s">
        <v>797</v>
      </c>
      <c r="G470" s="1" t="s">
        <v>798</v>
      </c>
      <c r="H470" s="1" t="s">
        <v>141</v>
      </c>
      <c r="I470" s="1" t="s">
        <v>63</v>
      </c>
      <c r="J470" s="1">
        <v>1</v>
      </c>
      <c r="K470" s="1" t="s">
        <v>142</v>
      </c>
      <c r="L470" s="1" t="s">
        <v>195</v>
      </c>
      <c r="M470" s="1" t="s">
        <v>28</v>
      </c>
      <c r="N470" s="1" t="str">
        <f>HYPERLINK("https://klocwork.india.ti.com:443/review/insight-review.html#issuedetails_goto:problemid=52912,project=MCU_PLUS_SDK_AM263X,searchquery=taxonomy:'C and C++' build:Build_Apr_13_2023_11_11_AM grouping:off ","KW Issue Link")</f>
        <v>KW Issue Link</v>
      </c>
      <c r="O470" s="1" t="s">
        <v>765</v>
      </c>
    </row>
    <row r="471" spans="1:15" ht="180" x14ac:dyDescent="0.25">
      <c r="A471" s="1" t="s">
        <v>459</v>
      </c>
      <c r="B471" s="1" t="s">
        <v>795</v>
      </c>
      <c r="C471" s="1" t="s">
        <v>762</v>
      </c>
      <c r="D471" s="1">
        <v>52913</v>
      </c>
      <c r="E471" s="1">
        <v>365</v>
      </c>
      <c r="F471" s="1" t="s">
        <v>799</v>
      </c>
      <c r="G471" s="1" t="s">
        <v>798</v>
      </c>
      <c r="H471" s="1" t="s">
        <v>141</v>
      </c>
      <c r="I471" s="1" t="s">
        <v>63</v>
      </c>
      <c r="J471" s="1">
        <v>1</v>
      </c>
      <c r="K471" s="1" t="s">
        <v>142</v>
      </c>
      <c r="L471" s="1" t="s">
        <v>195</v>
      </c>
      <c r="M471" s="1" t="s">
        <v>28</v>
      </c>
      <c r="N471" s="1" t="str">
        <f>HYPERLINK("https://klocwork.india.ti.com:443/review/insight-review.html#issuedetails_goto:problemid=52913,project=MCU_PLUS_SDK_AM263X,searchquery=taxonomy:'C and C++' build:Build_Apr_13_2023_11_11_AM grouping:off ","KW Issue Link")</f>
        <v>KW Issue Link</v>
      </c>
      <c r="O471" s="1" t="s">
        <v>765</v>
      </c>
    </row>
    <row r="472" spans="1:15" ht="180" x14ac:dyDescent="0.25">
      <c r="A472" s="1" t="s">
        <v>298</v>
      </c>
      <c r="B472" s="1" t="s">
        <v>761</v>
      </c>
      <c r="C472" s="1" t="s">
        <v>762</v>
      </c>
      <c r="D472" s="1">
        <v>52914</v>
      </c>
      <c r="E472" s="1">
        <v>381</v>
      </c>
      <c r="F472" s="1" t="s">
        <v>800</v>
      </c>
      <c r="G472" s="1" t="s">
        <v>801</v>
      </c>
      <c r="H472" s="1" t="s">
        <v>141</v>
      </c>
      <c r="I472" s="1" t="s">
        <v>63</v>
      </c>
      <c r="J472" s="1">
        <v>1</v>
      </c>
      <c r="K472" s="1" t="s">
        <v>142</v>
      </c>
      <c r="L472" s="1" t="s">
        <v>195</v>
      </c>
      <c r="M472" s="1" t="s">
        <v>28</v>
      </c>
      <c r="N472" s="1" t="str">
        <f>HYPERLINK("https://klocwork.india.ti.com:443/review/insight-review.html#issuedetails_goto:problemid=52914,project=MCU_PLUS_SDK_AM263X,searchquery=taxonomy:'C and C++' build:Build_Apr_13_2023_11_11_AM grouping:off ","KW Issue Link")</f>
        <v>KW Issue Link</v>
      </c>
      <c r="O472" s="1" t="s">
        <v>765</v>
      </c>
    </row>
    <row r="473" spans="1:15" ht="180" x14ac:dyDescent="0.25">
      <c r="A473" s="1" t="s">
        <v>459</v>
      </c>
      <c r="B473" s="1" t="s">
        <v>795</v>
      </c>
      <c r="C473" s="1" t="s">
        <v>762</v>
      </c>
      <c r="D473" s="1">
        <v>52915</v>
      </c>
      <c r="E473" s="1">
        <v>383</v>
      </c>
      <c r="F473" s="1" t="s">
        <v>802</v>
      </c>
      <c r="G473" s="1" t="s">
        <v>801</v>
      </c>
      <c r="H473" s="1" t="s">
        <v>141</v>
      </c>
      <c r="I473" s="1" t="s">
        <v>63</v>
      </c>
      <c r="J473" s="1">
        <v>1</v>
      </c>
      <c r="K473" s="1" t="s">
        <v>142</v>
      </c>
      <c r="L473" s="1" t="s">
        <v>195</v>
      </c>
      <c r="M473" s="1" t="s">
        <v>28</v>
      </c>
      <c r="N473" s="1" t="str">
        <f>HYPERLINK("https://klocwork.india.ti.com:443/review/insight-review.html#issuedetails_goto:problemid=52915,project=MCU_PLUS_SDK_AM263X,searchquery=taxonomy:'C and C++' build:Build_Apr_13_2023_11_11_AM grouping:off ","KW Issue Link")</f>
        <v>KW Issue Link</v>
      </c>
      <c r="O473" s="1" t="s">
        <v>765</v>
      </c>
    </row>
    <row r="474" spans="1:15" ht="180" x14ac:dyDescent="0.25">
      <c r="A474" s="1" t="s">
        <v>298</v>
      </c>
      <c r="B474" s="1" t="s">
        <v>761</v>
      </c>
      <c r="C474" s="1" t="s">
        <v>762</v>
      </c>
      <c r="D474" s="1">
        <v>52916</v>
      </c>
      <c r="E474" s="1">
        <v>402</v>
      </c>
      <c r="F474" s="1" t="s">
        <v>803</v>
      </c>
      <c r="G474" s="1" t="s">
        <v>804</v>
      </c>
      <c r="H474" s="1" t="s">
        <v>141</v>
      </c>
      <c r="I474" s="1" t="s">
        <v>63</v>
      </c>
      <c r="J474" s="1">
        <v>1</v>
      </c>
      <c r="K474" s="1" t="s">
        <v>142</v>
      </c>
      <c r="L474" s="1" t="s">
        <v>195</v>
      </c>
      <c r="M474" s="1" t="s">
        <v>28</v>
      </c>
      <c r="N474" s="1" t="str">
        <f>HYPERLINK("https://klocwork.india.ti.com:443/review/insight-review.html#issuedetails_goto:problemid=52916,project=MCU_PLUS_SDK_AM263X,searchquery=taxonomy:'C and C++' build:Build_Apr_13_2023_11_11_AM grouping:off ","KW Issue Link")</f>
        <v>KW Issue Link</v>
      </c>
      <c r="O474" s="1" t="s">
        <v>765</v>
      </c>
    </row>
    <row r="475" spans="1:15" ht="180" x14ac:dyDescent="0.25">
      <c r="A475" s="1" t="s">
        <v>459</v>
      </c>
      <c r="B475" s="1" t="s">
        <v>795</v>
      </c>
      <c r="C475" s="1" t="s">
        <v>762</v>
      </c>
      <c r="D475" s="1">
        <v>52917</v>
      </c>
      <c r="E475" s="1">
        <v>410</v>
      </c>
      <c r="F475" s="1" t="s">
        <v>805</v>
      </c>
      <c r="G475" s="1" t="s">
        <v>804</v>
      </c>
      <c r="H475" s="1" t="s">
        <v>141</v>
      </c>
      <c r="I475" s="1" t="s">
        <v>63</v>
      </c>
      <c r="J475" s="1">
        <v>1</v>
      </c>
      <c r="K475" s="1" t="s">
        <v>142</v>
      </c>
      <c r="L475" s="1" t="s">
        <v>195</v>
      </c>
      <c r="M475" s="1" t="s">
        <v>28</v>
      </c>
      <c r="N475" s="1" t="str">
        <f>HYPERLINK("https://klocwork.india.ti.com:443/review/insight-review.html#issuedetails_goto:problemid=52917,project=MCU_PLUS_SDK_AM263X,searchquery=taxonomy:'C and C++' build:Build_Apr_13_2023_11_11_AM grouping:off ","KW Issue Link")</f>
        <v>KW Issue Link</v>
      </c>
      <c r="O475" s="1" t="s">
        <v>765</v>
      </c>
    </row>
    <row r="476" spans="1:15" ht="180" x14ac:dyDescent="0.25">
      <c r="A476" s="1" t="s">
        <v>459</v>
      </c>
      <c r="B476" s="1" t="s">
        <v>795</v>
      </c>
      <c r="C476" s="1" t="s">
        <v>762</v>
      </c>
      <c r="D476" s="1">
        <v>52918</v>
      </c>
      <c r="E476" s="1">
        <v>414</v>
      </c>
      <c r="F476" s="1" t="s">
        <v>806</v>
      </c>
      <c r="G476" s="1" t="s">
        <v>804</v>
      </c>
      <c r="H476" s="1" t="s">
        <v>141</v>
      </c>
      <c r="I476" s="1" t="s">
        <v>63</v>
      </c>
      <c r="J476" s="1">
        <v>1</v>
      </c>
      <c r="K476" s="1" t="s">
        <v>142</v>
      </c>
      <c r="L476" s="1" t="s">
        <v>195</v>
      </c>
      <c r="M476" s="1" t="s">
        <v>28</v>
      </c>
      <c r="N476" s="1" t="str">
        <f>HYPERLINK("https://klocwork.india.ti.com:443/review/insight-review.html#issuedetails_goto:problemid=52918,project=MCU_PLUS_SDK_AM263X,searchquery=taxonomy:'C and C++' build:Build_Apr_13_2023_11_11_AM grouping:off ","KW Issue Link")</f>
        <v>KW Issue Link</v>
      </c>
      <c r="O476" s="1" t="s">
        <v>765</v>
      </c>
    </row>
    <row r="477" spans="1:15" ht="180" x14ac:dyDescent="0.25">
      <c r="A477" s="1" t="s">
        <v>298</v>
      </c>
      <c r="B477" s="1" t="s">
        <v>761</v>
      </c>
      <c r="C477" s="1" t="s">
        <v>762</v>
      </c>
      <c r="D477" s="1">
        <v>52919</v>
      </c>
      <c r="E477" s="1">
        <v>435</v>
      </c>
      <c r="F477" s="1" t="s">
        <v>807</v>
      </c>
      <c r="G477" s="1" t="s">
        <v>808</v>
      </c>
      <c r="H477" s="1" t="s">
        <v>141</v>
      </c>
      <c r="I477" s="1" t="s">
        <v>63</v>
      </c>
      <c r="J477" s="1">
        <v>1</v>
      </c>
      <c r="K477" s="1" t="s">
        <v>142</v>
      </c>
      <c r="L477" s="1" t="s">
        <v>195</v>
      </c>
      <c r="M477" s="1" t="s">
        <v>28</v>
      </c>
      <c r="N477" s="1" t="str">
        <f>HYPERLINK("https://klocwork.india.ti.com:443/review/insight-review.html#issuedetails_goto:problemid=52919,project=MCU_PLUS_SDK_AM263X,searchquery=taxonomy:'C and C++' build:Build_Apr_13_2023_11_11_AM grouping:off ","KW Issue Link")</f>
        <v>KW Issue Link</v>
      </c>
      <c r="O477" s="1" t="s">
        <v>765</v>
      </c>
    </row>
    <row r="478" spans="1:15" ht="180" x14ac:dyDescent="0.25">
      <c r="A478" s="1" t="s">
        <v>459</v>
      </c>
      <c r="B478" s="1" t="s">
        <v>795</v>
      </c>
      <c r="C478" s="1" t="s">
        <v>762</v>
      </c>
      <c r="D478" s="1">
        <v>52920</v>
      </c>
      <c r="E478" s="1">
        <v>441</v>
      </c>
      <c r="F478" s="1" t="s">
        <v>809</v>
      </c>
      <c r="G478" s="1" t="s">
        <v>808</v>
      </c>
      <c r="H478" s="1" t="s">
        <v>141</v>
      </c>
      <c r="I478" s="1" t="s">
        <v>63</v>
      </c>
      <c r="J478" s="1">
        <v>1</v>
      </c>
      <c r="K478" s="1" t="s">
        <v>142</v>
      </c>
      <c r="L478" s="1" t="s">
        <v>195</v>
      </c>
      <c r="M478" s="1" t="s">
        <v>28</v>
      </c>
      <c r="N478" s="1" t="str">
        <f>HYPERLINK("https://klocwork.india.ti.com:443/review/insight-review.html#issuedetails_goto:problemid=52920,project=MCU_PLUS_SDK_AM263X,searchquery=taxonomy:'C and C++' build:Build_Apr_13_2023_11_11_AM grouping:off ","KW Issue Link")</f>
        <v>KW Issue Link</v>
      </c>
      <c r="O478" s="1" t="s">
        <v>765</v>
      </c>
    </row>
    <row r="479" spans="1:15" ht="180" x14ac:dyDescent="0.25">
      <c r="A479" s="1" t="s">
        <v>298</v>
      </c>
      <c r="B479" s="1" t="s">
        <v>761</v>
      </c>
      <c r="C479" s="1" t="s">
        <v>762</v>
      </c>
      <c r="D479" s="1">
        <v>52921</v>
      </c>
      <c r="E479" s="1">
        <v>458</v>
      </c>
      <c r="F479" s="1" t="s">
        <v>810</v>
      </c>
      <c r="G479" s="1" t="s">
        <v>811</v>
      </c>
      <c r="H479" s="1" t="s">
        <v>141</v>
      </c>
      <c r="I479" s="1" t="s">
        <v>63</v>
      </c>
      <c r="J479" s="1">
        <v>1</v>
      </c>
      <c r="K479" s="1" t="s">
        <v>142</v>
      </c>
      <c r="L479" s="1" t="s">
        <v>195</v>
      </c>
      <c r="M479" s="1" t="s">
        <v>28</v>
      </c>
      <c r="N479" s="1" t="str">
        <f>HYPERLINK("https://klocwork.india.ti.com:443/review/insight-review.html#issuedetails_goto:problemid=52921,project=MCU_PLUS_SDK_AM263X,searchquery=taxonomy:'C and C++' build:Build_Apr_13_2023_11_11_AM grouping:off ","KW Issue Link")</f>
        <v>KW Issue Link</v>
      </c>
      <c r="O479" s="1" t="s">
        <v>765</v>
      </c>
    </row>
    <row r="480" spans="1:15" ht="180" x14ac:dyDescent="0.25">
      <c r="A480" s="1" t="s">
        <v>298</v>
      </c>
      <c r="B480" s="1" t="s">
        <v>761</v>
      </c>
      <c r="C480" s="1" t="s">
        <v>762</v>
      </c>
      <c r="D480" s="1">
        <v>52922</v>
      </c>
      <c r="E480" s="1">
        <v>462</v>
      </c>
      <c r="F480" s="1" t="s">
        <v>812</v>
      </c>
      <c r="G480" s="1" t="s">
        <v>811</v>
      </c>
      <c r="H480" s="1" t="s">
        <v>141</v>
      </c>
      <c r="I480" s="1" t="s">
        <v>63</v>
      </c>
      <c r="J480" s="1">
        <v>1</v>
      </c>
      <c r="K480" s="1" t="s">
        <v>142</v>
      </c>
      <c r="L480" s="1" t="s">
        <v>195</v>
      </c>
      <c r="M480" s="1" t="s">
        <v>28</v>
      </c>
      <c r="N480" s="1" t="str">
        <f>HYPERLINK("https://klocwork.india.ti.com:443/review/insight-review.html#issuedetails_goto:problemid=52922,project=MCU_PLUS_SDK_AM263X,searchquery=taxonomy:'C and C++' build:Build_Apr_13_2023_11_11_AM grouping:off ","KW Issue Link")</f>
        <v>KW Issue Link</v>
      </c>
      <c r="O480" s="1" t="s">
        <v>765</v>
      </c>
    </row>
    <row r="481" spans="1:15" ht="75" x14ac:dyDescent="0.25">
      <c r="A481" s="1" t="s">
        <v>155</v>
      </c>
      <c r="B481" s="1"/>
      <c r="C481" s="1" t="s">
        <v>762</v>
      </c>
      <c r="D481" s="1">
        <v>52972</v>
      </c>
      <c r="E481" s="1">
        <v>290</v>
      </c>
      <c r="F481" s="1" t="s">
        <v>156</v>
      </c>
      <c r="G481" s="1" t="s">
        <v>782</v>
      </c>
      <c r="H481" s="1" t="s">
        <v>141</v>
      </c>
      <c r="I481" s="1" t="s">
        <v>65</v>
      </c>
      <c r="J481" s="1">
        <v>3</v>
      </c>
      <c r="K481" s="1" t="s">
        <v>142</v>
      </c>
      <c r="L481" s="1" t="s">
        <v>153</v>
      </c>
      <c r="M481" s="1" t="s">
        <v>28</v>
      </c>
      <c r="N481" s="1" t="str">
        <f>HYPERLINK("https://klocwork.india.ti.com:443/review/insight-review.html#issuedetails_goto:problemid=52972,project=MCU_PLUS_SDK_AM263X,searchquery=taxonomy:'C and C++' build:Build_Apr_13_2023_11_11_AM grouping:off ","KW Issue Link")</f>
        <v>KW Issue Link</v>
      </c>
      <c r="O481" s="1" t="s">
        <v>765</v>
      </c>
    </row>
    <row r="482" spans="1:15" ht="60" x14ac:dyDescent="0.25">
      <c r="A482" s="1" t="s">
        <v>298</v>
      </c>
      <c r="B482" s="1" t="s">
        <v>299</v>
      </c>
      <c r="C482" s="1" t="s">
        <v>813</v>
      </c>
      <c r="D482" s="1">
        <v>53381</v>
      </c>
      <c r="E482" s="1">
        <v>274</v>
      </c>
      <c r="F482" s="1" t="s">
        <v>814</v>
      </c>
      <c r="G482" s="1" t="s">
        <v>815</v>
      </c>
      <c r="H482" s="1" t="s">
        <v>141</v>
      </c>
      <c r="I482" s="1" t="s">
        <v>63</v>
      </c>
      <c r="J482" s="1">
        <v>1</v>
      </c>
      <c r="K482" s="1" t="s">
        <v>142</v>
      </c>
      <c r="L482" s="1" t="s">
        <v>177</v>
      </c>
      <c r="M482" s="1" t="s">
        <v>28</v>
      </c>
      <c r="N482" s="1" t="str">
        <f>HYPERLINK("https://klocwork.india.ti.com:443/review/insight-review.html#issuedetails_goto:problemid=53381,project=MCU_PLUS_SDK_AM263X,searchquery=taxonomy:'C and C++' build:Build_Apr_13_2023_11_11_AM grouping:off ","KW Issue Link")</f>
        <v>KW Issue Link</v>
      </c>
      <c r="O482" s="1" t="s">
        <v>291</v>
      </c>
    </row>
    <row r="483" spans="1:15" ht="60" x14ac:dyDescent="0.25">
      <c r="A483" s="1" t="s">
        <v>298</v>
      </c>
      <c r="B483" s="1" t="s">
        <v>299</v>
      </c>
      <c r="C483" s="1" t="s">
        <v>813</v>
      </c>
      <c r="D483" s="1">
        <v>53382</v>
      </c>
      <c r="E483" s="1">
        <v>298</v>
      </c>
      <c r="F483" s="1" t="s">
        <v>816</v>
      </c>
      <c r="G483" s="1" t="s">
        <v>817</v>
      </c>
      <c r="H483" s="1" t="s">
        <v>141</v>
      </c>
      <c r="I483" s="1" t="s">
        <v>63</v>
      </c>
      <c r="J483" s="1">
        <v>1</v>
      </c>
      <c r="K483" s="1" t="s">
        <v>142</v>
      </c>
      <c r="L483" s="1" t="s">
        <v>177</v>
      </c>
      <c r="M483" s="1" t="s">
        <v>28</v>
      </c>
      <c r="N483" s="1" t="str">
        <f>HYPERLINK("https://klocwork.india.ti.com:443/review/insight-review.html#issuedetails_goto:problemid=53382,project=MCU_PLUS_SDK_AM263X,searchquery=taxonomy:'C and C++' build:Build_Apr_13_2023_11_11_AM grouping:off ","KW Issue Link")</f>
        <v>KW Issue Link</v>
      </c>
      <c r="O483" s="1" t="s">
        <v>291</v>
      </c>
    </row>
    <row r="484" spans="1:15" ht="60" x14ac:dyDescent="0.25">
      <c r="A484" s="1" t="s">
        <v>298</v>
      </c>
      <c r="B484" s="1" t="s">
        <v>299</v>
      </c>
      <c r="C484" s="1" t="s">
        <v>813</v>
      </c>
      <c r="D484" s="1">
        <v>53383</v>
      </c>
      <c r="E484" s="1">
        <v>321</v>
      </c>
      <c r="F484" s="1" t="s">
        <v>818</v>
      </c>
      <c r="G484" s="1" t="s">
        <v>819</v>
      </c>
      <c r="H484" s="1" t="s">
        <v>141</v>
      </c>
      <c r="I484" s="1" t="s">
        <v>63</v>
      </c>
      <c r="J484" s="1">
        <v>1</v>
      </c>
      <c r="K484" s="1" t="s">
        <v>142</v>
      </c>
      <c r="L484" s="1" t="s">
        <v>177</v>
      </c>
      <c r="M484" s="1" t="s">
        <v>28</v>
      </c>
      <c r="N484" s="1" t="str">
        <f>HYPERLINK("https://klocwork.india.ti.com:443/review/insight-review.html#issuedetails_goto:problemid=53383,project=MCU_PLUS_SDK_AM263X,searchquery=taxonomy:'C and C++' build:Build_Apr_13_2023_11_11_AM grouping:off ","KW Issue Link")</f>
        <v>KW Issue Link</v>
      </c>
      <c r="O484" s="1" t="s">
        <v>291</v>
      </c>
    </row>
    <row r="485" spans="1:15" ht="60" x14ac:dyDescent="0.25">
      <c r="A485" s="1" t="s">
        <v>298</v>
      </c>
      <c r="B485" s="1" t="s">
        <v>299</v>
      </c>
      <c r="C485" s="1" t="s">
        <v>813</v>
      </c>
      <c r="D485" s="1">
        <v>53384</v>
      </c>
      <c r="E485" s="1">
        <v>352</v>
      </c>
      <c r="F485" s="1" t="s">
        <v>820</v>
      </c>
      <c r="G485" s="1" t="s">
        <v>821</v>
      </c>
      <c r="H485" s="1" t="s">
        <v>141</v>
      </c>
      <c r="I485" s="1" t="s">
        <v>63</v>
      </c>
      <c r="J485" s="1">
        <v>1</v>
      </c>
      <c r="K485" s="1" t="s">
        <v>142</v>
      </c>
      <c r="L485" s="1" t="s">
        <v>177</v>
      </c>
      <c r="M485" s="1" t="s">
        <v>28</v>
      </c>
      <c r="N485" s="1" t="str">
        <f>HYPERLINK("https://klocwork.india.ti.com:443/review/insight-review.html#issuedetails_goto:problemid=53384,project=MCU_PLUS_SDK_AM263X,searchquery=taxonomy:'C and C++' build:Build_Apr_13_2023_11_11_AM grouping:off ","KW Issue Link")</f>
        <v>KW Issue Link</v>
      </c>
      <c r="O485" s="1" t="s">
        <v>291</v>
      </c>
    </row>
    <row r="486" spans="1:15" ht="60" x14ac:dyDescent="0.25">
      <c r="A486" s="1" t="s">
        <v>298</v>
      </c>
      <c r="B486" s="1" t="s">
        <v>299</v>
      </c>
      <c r="C486" s="1" t="s">
        <v>813</v>
      </c>
      <c r="D486" s="1">
        <v>53385</v>
      </c>
      <c r="E486" s="1">
        <v>378</v>
      </c>
      <c r="F486" s="1" t="s">
        <v>822</v>
      </c>
      <c r="G486" s="1" t="s">
        <v>821</v>
      </c>
      <c r="H486" s="1" t="s">
        <v>141</v>
      </c>
      <c r="I486" s="1" t="s">
        <v>63</v>
      </c>
      <c r="J486" s="1">
        <v>1</v>
      </c>
      <c r="K486" s="1" t="s">
        <v>142</v>
      </c>
      <c r="L486" s="1" t="s">
        <v>177</v>
      </c>
      <c r="M486" s="1" t="s">
        <v>28</v>
      </c>
      <c r="N486" s="1" t="str">
        <f>HYPERLINK("https://klocwork.india.ti.com:443/review/insight-review.html#issuedetails_goto:problemid=53385,project=MCU_PLUS_SDK_AM263X,searchquery=taxonomy:'C and C++' build:Build_Apr_13_2023_11_11_AM grouping:off ","KW Issue Link")</f>
        <v>KW Issue Link</v>
      </c>
      <c r="O486" s="1" t="s">
        <v>291</v>
      </c>
    </row>
    <row r="487" spans="1:15" ht="60" x14ac:dyDescent="0.25">
      <c r="A487" s="1" t="s">
        <v>298</v>
      </c>
      <c r="B487" s="1" t="s">
        <v>299</v>
      </c>
      <c r="C487" s="1" t="s">
        <v>813</v>
      </c>
      <c r="D487" s="1">
        <v>53386</v>
      </c>
      <c r="E487" s="1">
        <v>414</v>
      </c>
      <c r="F487" s="1" t="s">
        <v>823</v>
      </c>
      <c r="G487" s="1" t="s">
        <v>824</v>
      </c>
      <c r="H487" s="1" t="s">
        <v>141</v>
      </c>
      <c r="I487" s="1" t="s">
        <v>63</v>
      </c>
      <c r="J487" s="1">
        <v>1</v>
      </c>
      <c r="K487" s="1" t="s">
        <v>142</v>
      </c>
      <c r="L487" s="1" t="s">
        <v>177</v>
      </c>
      <c r="M487" s="1" t="s">
        <v>28</v>
      </c>
      <c r="N487" s="1" t="str">
        <f>HYPERLINK("https://klocwork.india.ti.com:443/review/insight-review.html#issuedetails_goto:problemid=53386,project=MCU_PLUS_SDK_AM263X,searchquery=taxonomy:'C and C++' build:Build_Apr_13_2023_11_11_AM grouping:off ","KW Issue Link")</f>
        <v>KW Issue Link</v>
      </c>
      <c r="O487" s="1" t="s">
        <v>291</v>
      </c>
    </row>
    <row r="488" spans="1:15" ht="60" x14ac:dyDescent="0.25">
      <c r="A488" s="1" t="s">
        <v>298</v>
      </c>
      <c r="B488" s="1" t="s">
        <v>299</v>
      </c>
      <c r="C488" s="1" t="s">
        <v>813</v>
      </c>
      <c r="D488" s="1">
        <v>53387</v>
      </c>
      <c r="E488" s="1">
        <v>935</v>
      </c>
      <c r="F488" s="1" t="s">
        <v>825</v>
      </c>
      <c r="G488" s="1" t="s">
        <v>826</v>
      </c>
      <c r="H488" s="1" t="s">
        <v>141</v>
      </c>
      <c r="I488" s="1" t="s">
        <v>63</v>
      </c>
      <c r="J488" s="1">
        <v>1</v>
      </c>
      <c r="K488" s="1" t="s">
        <v>142</v>
      </c>
      <c r="L488" s="1" t="s">
        <v>177</v>
      </c>
      <c r="M488" s="1" t="s">
        <v>28</v>
      </c>
      <c r="N488" s="1" t="str">
        <f>HYPERLINK("https://klocwork.india.ti.com:443/review/insight-review.html#issuedetails_goto:problemid=53387,project=MCU_PLUS_SDK_AM263X,searchquery=taxonomy:'C and C++' build:Build_Apr_13_2023_11_11_AM grouping:off ","KW Issue Link")</f>
        <v>KW Issue Link</v>
      </c>
      <c r="O488" s="1" t="s">
        <v>291</v>
      </c>
    </row>
    <row r="489" spans="1:15" ht="60" x14ac:dyDescent="0.25">
      <c r="A489" s="1" t="s">
        <v>298</v>
      </c>
      <c r="B489" s="1" t="s">
        <v>299</v>
      </c>
      <c r="C489" s="1" t="s">
        <v>813</v>
      </c>
      <c r="D489" s="1">
        <v>53388</v>
      </c>
      <c r="E489" s="1">
        <v>2182</v>
      </c>
      <c r="F489" s="1" t="s">
        <v>827</v>
      </c>
      <c r="G489" s="1" t="s">
        <v>828</v>
      </c>
      <c r="H489" s="1" t="s">
        <v>141</v>
      </c>
      <c r="I489" s="1" t="s">
        <v>63</v>
      </c>
      <c r="J489" s="1">
        <v>1</v>
      </c>
      <c r="K489" s="1" t="s">
        <v>142</v>
      </c>
      <c r="L489" s="1" t="s">
        <v>177</v>
      </c>
      <c r="M489" s="1" t="s">
        <v>28</v>
      </c>
      <c r="N489" s="1" t="str">
        <f>HYPERLINK("https://klocwork.india.ti.com:443/review/insight-review.html#issuedetails_goto:problemid=53388,project=MCU_PLUS_SDK_AM263X,searchquery=taxonomy:'C and C++' build:Build_Apr_13_2023_11_11_AM grouping:off ","KW Issue Link")</f>
        <v>KW Issue Link</v>
      </c>
      <c r="O489" s="1" t="s">
        <v>291</v>
      </c>
    </row>
    <row r="490" spans="1:15" ht="60" x14ac:dyDescent="0.25">
      <c r="A490" s="1" t="s">
        <v>298</v>
      </c>
      <c r="B490" s="1" t="s">
        <v>299</v>
      </c>
      <c r="C490" s="1" t="s">
        <v>813</v>
      </c>
      <c r="D490" s="1">
        <v>53389</v>
      </c>
      <c r="E490" s="1">
        <v>2182</v>
      </c>
      <c r="F490" s="1" t="s">
        <v>829</v>
      </c>
      <c r="G490" s="1" t="s">
        <v>828</v>
      </c>
      <c r="H490" s="1" t="s">
        <v>141</v>
      </c>
      <c r="I490" s="1" t="s">
        <v>63</v>
      </c>
      <c r="J490" s="1">
        <v>1</v>
      </c>
      <c r="K490" s="1" t="s">
        <v>142</v>
      </c>
      <c r="L490" s="1" t="s">
        <v>177</v>
      </c>
      <c r="M490" s="1" t="s">
        <v>28</v>
      </c>
      <c r="N490" s="1" t="str">
        <f>HYPERLINK("https://klocwork.india.ti.com:443/review/insight-review.html#issuedetails_goto:problemid=53389,project=MCU_PLUS_SDK_AM263X,searchquery=taxonomy:'C and C++' build:Build_Apr_13_2023_11_11_AM grouping:off ","KW Issue Link")</f>
        <v>KW Issue Link</v>
      </c>
      <c r="O490" s="1" t="s">
        <v>291</v>
      </c>
    </row>
    <row r="491" spans="1:15" ht="60" x14ac:dyDescent="0.25">
      <c r="A491" s="1" t="s">
        <v>298</v>
      </c>
      <c r="B491" s="1" t="s">
        <v>299</v>
      </c>
      <c r="C491" s="1" t="s">
        <v>813</v>
      </c>
      <c r="D491" s="1">
        <v>53390</v>
      </c>
      <c r="E491" s="1">
        <v>2182</v>
      </c>
      <c r="F491" s="1" t="s">
        <v>829</v>
      </c>
      <c r="G491" s="1" t="s">
        <v>828</v>
      </c>
      <c r="H491" s="1" t="s">
        <v>141</v>
      </c>
      <c r="I491" s="1" t="s">
        <v>63</v>
      </c>
      <c r="J491" s="1">
        <v>1</v>
      </c>
      <c r="K491" s="1" t="s">
        <v>142</v>
      </c>
      <c r="L491" s="1" t="s">
        <v>177</v>
      </c>
      <c r="M491" s="1" t="s">
        <v>28</v>
      </c>
      <c r="N491" s="1" t="str">
        <f>HYPERLINK("https://klocwork.india.ti.com:443/review/insight-review.html#issuedetails_goto:problemid=53390,project=MCU_PLUS_SDK_AM263X,searchquery=taxonomy:'C and C++' build:Build_Apr_13_2023_11_11_AM grouping:off ","KW Issue Link")</f>
        <v>KW Issue Link</v>
      </c>
      <c r="O491" s="1" t="s">
        <v>291</v>
      </c>
    </row>
    <row r="492" spans="1:15" ht="60" x14ac:dyDescent="0.25">
      <c r="A492" s="1" t="s">
        <v>157</v>
      </c>
      <c r="B492" s="1"/>
      <c r="C492" s="1" t="s">
        <v>813</v>
      </c>
      <c r="D492" s="1">
        <v>53502</v>
      </c>
      <c r="E492" s="1">
        <v>449</v>
      </c>
      <c r="F492" s="1" t="s">
        <v>830</v>
      </c>
      <c r="G492" s="1" t="s">
        <v>824</v>
      </c>
      <c r="H492" s="1" t="s">
        <v>141</v>
      </c>
      <c r="I492" s="1" t="s">
        <v>65</v>
      </c>
      <c r="J492" s="1">
        <v>3</v>
      </c>
      <c r="K492" s="1" t="s">
        <v>142</v>
      </c>
      <c r="L492" s="1" t="s">
        <v>153</v>
      </c>
      <c r="M492" s="1" t="s">
        <v>28</v>
      </c>
      <c r="N492" s="1" t="str">
        <f>HYPERLINK("https://klocwork.india.ti.com:443/review/insight-review.html#issuedetails_goto:problemid=53502,project=MCU_PLUS_SDK_AM263X,searchquery=taxonomy:'C and C++' build:Build_Apr_13_2023_11_11_AM grouping:off ","KW Issue Link")</f>
        <v>KW Issue Link</v>
      </c>
      <c r="O492" s="1" t="s">
        <v>291</v>
      </c>
    </row>
    <row r="493" spans="1:15" ht="60" x14ac:dyDescent="0.25">
      <c r="A493" s="1" t="s">
        <v>157</v>
      </c>
      <c r="B493" s="1"/>
      <c r="C493" s="1" t="s">
        <v>813</v>
      </c>
      <c r="D493" s="1">
        <v>53503</v>
      </c>
      <c r="E493" s="1">
        <v>727</v>
      </c>
      <c r="F493" s="1" t="s">
        <v>831</v>
      </c>
      <c r="G493" s="1" t="s">
        <v>832</v>
      </c>
      <c r="H493" s="1" t="s">
        <v>141</v>
      </c>
      <c r="I493" s="1" t="s">
        <v>65</v>
      </c>
      <c r="J493" s="1">
        <v>3</v>
      </c>
      <c r="K493" s="1" t="s">
        <v>142</v>
      </c>
      <c r="L493" s="1" t="s">
        <v>153</v>
      </c>
      <c r="M493" s="1" t="s">
        <v>28</v>
      </c>
      <c r="N493" s="1" t="str">
        <f>HYPERLINK("https://klocwork.india.ti.com:443/review/insight-review.html#issuedetails_goto:problemid=53503,project=MCU_PLUS_SDK_AM263X,searchquery=taxonomy:'C and C++' build:Build_Apr_13_2023_11_11_AM grouping:off ","KW Issue Link")</f>
        <v>KW Issue Link</v>
      </c>
      <c r="O493" s="1" t="s">
        <v>291</v>
      </c>
    </row>
    <row r="494" spans="1:15" ht="90" x14ac:dyDescent="0.25">
      <c r="A494" s="1" t="s">
        <v>149</v>
      </c>
      <c r="B494" s="1"/>
      <c r="C494" s="1" t="s">
        <v>813</v>
      </c>
      <c r="D494" s="1">
        <v>53599</v>
      </c>
      <c r="E494" s="1">
        <v>861</v>
      </c>
      <c r="F494" s="1" t="s">
        <v>833</v>
      </c>
      <c r="G494" s="1" t="s">
        <v>834</v>
      </c>
      <c r="H494" s="1" t="s">
        <v>141</v>
      </c>
      <c r="I494" s="1" t="s">
        <v>65</v>
      </c>
      <c r="J494" s="1">
        <v>3</v>
      </c>
      <c r="K494" s="1" t="s">
        <v>142</v>
      </c>
      <c r="L494" s="1" t="s">
        <v>153</v>
      </c>
      <c r="M494" s="1" t="s">
        <v>28</v>
      </c>
      <c r="N494" s="1" t="str">
        <f>HYPERLINK("https://klocwork.india.ti.com:443/review/insight-review.html#issuedetails_goto:problemid=53599,project=MCU_PLUS_SDK_AM263X,searchquery=taxonomy:'C and C++' build:Build_Apr_13_2023_11_11_AM grouping:off ","KW Issue Link")</f>
        <v>KW Issue Link</v>
      </c>
      <c r="O494" s="1" t="s">
        <v>291</v>
      </c>
    </row>
    <row r="495" spans="1:15" ht="75" x14ac:dyDescent="0.25">
      <c r="A495" s="1" t="s">
        <v>149</v>
      </c>
      <c r="B495" s="1"/>
      <c r="C495" s="1" t="s">
        <v>813</v>
      </c>
      <c r="D495" s="1">
        <v>53600</v>
      </c>
      <c r="E495" s="1">
        <v>1100</v>
      </c>
      <c r="F495" s="1" t="s">
        <v>835</v>
      </c>
      <c r="G495" s="1" t="s">
        <v>836</v>
      </c>
      <c r="H495" s="1" t="s">
        <v>141</v>
      </c>
      <c r="I495" s="1" t="s">
        <v>65</v>
      </c>
      <c r="J495" s="1">
        <v>3</v>
      </c>
      <c r="K495" s="1" t="s">
        <v>142</v>
      </c>
      <c r="L495" s="1" t="s">
        <v>153</v>
      </c>
      <c r="M495" s="1" t="s">
        <v>28</v>
      </c>
      <c r="N495" s="1" t="str">
        <f>HYPERLINK("https://klocwork.india.ti.com:443/review/insight-review.html#issuedetails_goto:problemid=53600,project=MCU_PLUS_SDK_AM263X,searchquery=taxonomy:'C and C++' build:Build_Apr_13_2023_11_11_AM grouping:off ","KW Issue Link")</f>
        <v>KW Issue Link</v>
      </c>
      <c r="O495" s="1" t="s">
        <v>291</v>
      </c>
    </row>
    <row r="496" spans="1:15" ht="105" x14ac:dyDescent="0.25">
      <c r="A496" s="1" t="s">
        <v>149</v>
      </c>
      <c r="B496" s="1"/>
      <c r="C496" s="1" t="s">
        <v>813</v>
      </c>
      <c r="D496" s="1">
        <v>53601</v>
      </c>
      <c r="E496" s="1">
        <v>1410</v>
      </c>
      <c r="F496" s="1" t="s">
        <v>837</v>
      </c>
      <c r="G496" s="1" t="s">
        <v>838</v>
      </c>
      <c r="H496" s="1" t="s">
        <v>141</v>
      </c>
      <c r="I496" s="1" t="s">
        <v>65</v>
      </c>
      <c r="J496" s="1">
        <v>3</v>
      </c>
      <c r="K496" s="1" t="s">
        <v>142</v>
      </c>
      <c r="L496" s="1" t="s">
        <v>153</v>
      </c>
      <c r="M496" s="1" t="s">
        <v>28</v>
      </c>
      <c r="N496" s="1" t="str">
        <f>HYPERLINK("https://klocwork.india.ti.com:443/review/insight-review.html#issuedetails_goto:problemid=53601,project=MCU_PLUS_SDK_AM263X,searchquery=taxonomy:'C and C++' build:Build_Apr_13_2023_11_11_AM grouping:off ","KW Issue Link")</f>
        <v>KW Issue Link</v>
      </c>
      <c r="O496" s="1" t="s">
        <v>291</v>
      </c>
    </row>
    <row r="497" spans="1:15" ht="105" x14ac:dyDescent="0.25">
      <c r="A497" s="1" t="s">
        <v>149</v>
      </c>
      <c r="B497" s="1"/>
      <c r="C497" s="1" t="s">
        <v>813</v>
      </c>
      <c r="D497" s="1">
        <v>53602</v>
      </c>
      <c r="E497" s="1">
        <v>1425</v>
      </c>
      <c r="F497" s="1" t="s">
        <v>837</v>
      </c>
      <c r="G497" s="1" t="s">
        <v>838</v>
      </c>
      <c r="H497" s="1" t="s">
        <v>141</v>
      </c>
      <c r="I497" s="1" t="s">
        <v>65</v>
      </c>
      <c r="J497" s="1">
        <v>3</v>
      </c>
      <c r="K497" s="1" t="s">
        <v>142</v>
      </c>
      <c r="L497" s="1" t="s">
        <v>153</v>
      </c>
      <c r="M497" s="1" t="s">
        <v>28</v>
      </c>
      <c r="N497" s="1" t="str">
        <f>HYPERLINK("https://klocwork.india.ti.com:443/review/insight-review.html#issuedetails_goto:problemid=53602,project=MCU_PLUS_SDK_AM263X,searchquery=taxonomy:'C and C++' build:Build_Apr_13_2023_11_11_AM grouping:off ","KW Issue Link")</f>
        <v>KW Issue Link</v>
      </c>
      <c r="O497" s="1" t="s">
        <v>291</v>
      </c>
    </row>
    <row r="498" spans="1:15" ht="105" x14ac:dyDescent="0.25">
      <c r="A498" s="1" t="s">
        <v>149</v>
      </c>
      <c r="B498" s="1"/>
      <c r="C498" s="1" t="s">
        <v>813</v>
      </c>
      <c r="D498" s="1">
        <v>53603</v>
      </c>
      <c r="E498" s="1">
        <v>1512</v>
      </c>
      <c r="F498" s="1" t="s">
        <v>837</v>
      </c>
      <c r="G498" s="1" t="s">
        <v>839</v>
      </c>
      <c r="H498" s="1" t="s">
        <v>141</v>
      </c>
      <c r="I498" s="1" t="s">
        <v>65</v>
      </c>
      <c r="J498" s="1">
        <v>3</v>
      </c>
      <c r="K498" s="1" t="s">
        <v>142</v>
      </c>
      <c r="L498" s="1" t="s">
        <v>153</v>
      </c>
      <c r="M498" s="1" t="s">
        <v>28</v>
      </c>
      <c r="N498" s="1" t="str">
        <f>HYPERLINK("https://klocwork.india.ti.com:443/review/insight-review.html#issuedetails_goto:problemid=53603,project=MCU_PLUS_SDK_AM263X,searchquery=taxonomy:'C and C++' build:Build_Apr_13_2023_11_11_AM grouping:off ","KW Issue Link")</f>
        <v>KW Issue Link</v>
      </c>
      <c r="O498" s="1" t="s">
        <v>291</v>
      </c>
    </row>
    <row r="499" spans="1:15" ht="60" x14ac:dyDescent="0.25">
      <c r="A499" s="1" t="s">
        <v>155</v>
      </c>
      <c r="B499" s="1"/>
      <c r="C499" s="1" t="s">
        <v>813</v>
      </c>
      <c r="D499" s="1">
        <v>53604</v>
      </c>
      <c r="E499" s="1">
        <v>862</v>
      </c>
      <c r="F499" s="1" t="s">
        <v>156</v>
      </c>
      <c r="G499" s="1" t="s">
        <v>834</v>
      </c>
      <c r="H499" s="1" t="s">
        <v>141</v>
      </c>
      <c r="I499" s="1" t="s">
        <v>65</v>
      </c>
      <c r="J499" s="1">
        <v>3</v>
      </c>
      <c r="K499" s="1" t="s">
        <v>142</v>
      </c>
      <c r="L499" s="1" t="s">
        <v>153</v>
      </c>
      <c r="M499" s="1" t="s">
        <v>28</v>
      </c>
      <c r="N499" s="1" t="str">
        <f>HYPERLINK("https://klocwork.india.ti.com:443/review/insight-review.html#issuedetails_goto:problemid=53604,project=MCU_PLUS_SDK_AM263X,searchquery=taxonomy:'C and C++' build:Build_Apr_13_2023_11_11_AM grouping:off ","KW Issue Link")</f>
        <v>KW Issue Link</v>
      </c>
      <c r="O499" s="1" t="s">
        <v>291</v>
      </c>
    </row>
    <row r="500" spans="1:15" ht="60" x14ac:dyDescent="0.25">
      <c r="A500" s="1" t="s">
        <v>155</v>
      </c>
      <c r="B500" s="1"/>
      <c r="C500" s="1" t="s">
        <v>813</v>
      </c>
      <c r="D500" s="1">
        <v>53605</v>
      </c>
      <c r="E500" s="1">
        <v>1411</v>
      </c>
      <c r="F500" s="1" t="s">
        <v>156</v>
      </c>
      <c r="G500" s="1" t="s">
        <v>838</v>
      </c>
      <c r="H500" s="1" t="s">
        <v>141</v>
      </c>
      <c r="I500" s="1" t="s">
        <v>65</v>
      </c>
      <c r="J500" s="1">
        <v>3</v>
      </c>
      <c r="K500" s="1" t="s">
        <v>142</v>
      </c>
      <c r="L500" s="1" t="s">
        <v>153</v>
      </c>
      <c r="M500" s="1" t="s">
        <v>28</v>
      </c>
      <c r="N500" s="1" t="str">
        <f>HYPERLINK("https://klocwork.india.ti.com:443/review/insight-review.html#issuedetails_goto:problemid=53605,project=MCU_PLUS_SDK_AM263X,searchquery=taxonomy:'C and C++' build:Build_Apr_13_2023_11_11_AM grouping:off ","KW Issue Link")</f>
        <v>KW Issue Link</v>
      </c>
      <c r="O500" s="1" t="s">
        <v>291</v>
      </c>
    </row>
    <row r="501" spans="1:15" ht="60" x14ac:dyDescent="0.25">
      <c r="A501" s="1" t="s">
        <v>155</v>
      </c>
      <c r="B501" s="1"/>
      <c r="C501" s="1" t="s">
        <v>813</v>
      </c>
      <c r="D501" s="1">
        <v>53606</v>
      </c>
      <c r="E501" s="1">
        <v>1426</v>
      </c>
      <c r="F501" s="1" t="s">
        <v>156</v>
      </c>
      <c r="G501" s="1" t="s">
        <v>838</v>
      </c>
      <c r="H501" s="1" t="s">
        <v>141</v>
      </c>
      <c r="I501" s="1" t="s">
        <v>65</v>
      </c>
      <c r="J501" s="1">
        <v>3</v>
      </c>
      <c r="K501" s="1" t="s">
        <v>142</v>
      </c>
      <c r="L501" s="1" t="s">
        <v>153</v>
      </c>
      <c r="M501" s="1" t="s">
        <v>28</v>
      </c>
      <c r="N501" s="1" t="str">
        <f>HYPERLINK("https://klocwork.india.ti.com:443/review/insight-review.html#issuedetails_goto:problemid=53606,project=MCU_PLUS_SDK_AM263X,searchquery=taxonomy:'C and C++' build:Build_Apr_13_2023_11_11_AM grouping:off ","KW Issue Link")</f>
        <v>KW Issue Link</v>
      </c>
      <c r="O501" s="1" t="s">
        <v>291</v>
      </c>
    </row>
    <row r="502" spans="1:15" ht="60" x14ac:dyDescent="0.25">
      <c r="A502" s="1" t="s">
        <v>155</v>
      </c>
      <c r="B502" s="1"/>
      <c r="C502" s="1" t="s">
        <v>813</v>
      </c>
      <c r="D502" s="1">
        <v>53607</v>
      </c>
      <c r="E502" s="1">
        <v>1514</v>
      </c>
      <c r="F502" s="1" t="s">
        <v>156</v>
      </c>
      <c r="G502" s="1" t="s">
        <v>839</v>
      </c>
      <c r="H502" s="1" t="s">
        <v>141</v>
      </c>
      <c r="I502" s="1" t="s">
        <v>65</v>
      </c>
      <c r="J502" s="1">
        <v>3</v>
      </c>
      <c r="K502" s="1" t="s">
        <v>142</v>
      </c>
      <c r="L502" s="1" t="s">
        <v>153</v>
      </c>
      <c r="M502" s="1" t="s">
        <v>28</v>
      </c>
      <c r="N502" s="1" t="str">
        <f>HYPERLINK("https://klocwork.india.ti.com:443/review/insight-review.html#issuedetails_goto:problemid=53607,project=MCU_PLUS_SDK_AM263X,searchquery=taxonomy:'C and C++' build:Build_Apr_13_2023_11_11_AM grouping:off ","KW Issue Link")</f>
        <v>KW Issue Link</v>
      </c>
      <c r="O502" s="1" t="s">
        <v>291</v>
      </c>
    </row>
    <row r="503" spans="1:15" ht="60" x14ac:dyDescent="0.25">
      <c r="A503" s="1" t="s">
        <v>136</v>
      </c>
      <c r="B503" s="1"/>
      <c r="C503" s="1" t="s">
        <v>813</v>
      </c>
      <c r="D503" s="1">
        <v>53624</v>
      </c>
      <c r="E503" s="1">
        <v>1200</v>
      </c>
      <c r="F503" s="1" t="s">
        <v>699</v>
      </c>
      <c r="G503" s="1" t="s">
        <v>838</v>
      </c>
      <c r="H503" s="1" t="s">
        <v>141</v>
      </c>
      <c r="I503" s="1" t="s">
        <v>66</v>
      </c>
      <c r="J503" s="1">
        <v>4</v>
      </c>
      <c r="K503" s="1" t="s">
        <v>142</v>
      </c>
      <c r="L503" s="1" t="s">
        <v>153</v>
      </c>
      <c r="M503" s="1" t="s">
        <v>28</v>
      </c>
      <c r="N503" s="1" t="str">
        <f>HYPERLINK("https://klocwork.india.ti.com:443/review/insight-review.html#issuedetails_goto:problemid=53624,project=MCU_PLUS_SDK_AM263X,searchquery=taxonomy:'C and C++' build:Build_Apr_13_2023_11_11_AM grouping:off ","KW Issue Link")</f>
        <v>KW Issue Link</v>
      </c>
      <c r="O503" s="1" t="s">
        <v>291</v>
      </c>
    </row>
    <row r="504" spans="1:15" ht="60" x14ac:dyDescent="0.25">
      <c r="A504" s="1" t="s">
        <v>302</v>
      </c>
      <c r="B504" s="1" t="s">
        <v>299</v>
      </c>
      <c r="C504" s="1" t="s">
        <v>813</v>
      </c>
      <c r="D504" s="1">
        <v>53626</v>
      </c>
      <c r="E504" s="1">
        <v>1672</v>
      </c>
      <c r="F504" s="1" t="s">
        <v>840</v>
      </c>
      <c r="G504" s="1" t="s">
        <v>841</v>
      </c>
      <c r="H504" s="1" t="s">
        <v>141</v>
      </c>
      <c r="I504" s="1" t="s">
        <v>63</v>
      </c>
      <c r="J504" s="1">
        <v>1</v>
      </c>
      <c r="K504" s="1" t="s">
        <v>142</v>
      </c>
      <c r="L504" s="1" t="s">
        <v>177</v>
      </c>
      <c r="M504" s="1" t="s">
        <v>28</v>
      </c>
      <c r="N504" s="1" t="str">
        <f>HYPERLINK("https://klocwork.india.ti.com:443/review/insight-review.html#issuedetails_goto:problemid=53626,project=MCU_PLUS_SDK_AM263X,searchquery=taxonomy:'C and C++' build:Build_Apr_13_2023_11_11_AM grouping:off ","KW Issue Link")</f>
        <v>KW Issue Link</v>
      </c>
      <c r="O504" s="1" t="s">
        <v>291</v>
      </c>
    </row>
    <row r="505" spans="1:15" ht="75" x14ac:dyDescent="0.25">
      <c r="A505" s="1" t="s">
        <v>302</v>
      </c>
      <c r="B505" s="1" t="s">
        <v>299</v>
      </c>
      <c r="C505" s="1" t="s">
        <v>813</v>
      </c>
      <c r="D505" s="1">
        <v>53627</v>
      </c>
      <c r="E505" s="1">
        <v>2308</v>
      </c>
      <c r="F505" s="1" t="s">
        <v>842</v>
      </c>
      <c r="G505" s="1" t="s">
        <v>843</v>
      </c>
      <c r="H505" s="1" t="s">
        <v>141</v>
      </c>
      <c r="I505" s="1" t="s">
        <v>63</v>
      </c>
      <c r="J505" s="1">
        <v>1</v>
      </c>
      <c r="K505" s="1" t="s">
        <v>142</v>
      </c>
      <c r="L505" s="1" t="s">
        <v>177</v>
      </c>
      <c r="M505" s="1" t="s">
        <v>28</v>
      </c>
      <c r="N505" s="1" t="str">
        <f>HYPERLINK("https://klocwork.india.ti.com:443/review/insight-review.html#issuedetails_goto:problemid=53627,project=MCU_PLUS_SDK_AM263X,searchquery=taxonomy:'C and C++' build:Build_Apr_13_2023_11_11_AM grouping:off ","KW Issue Link")</f>
        <v>KW Issue Link</v>
      </c>
      <c r="O505" s="1" t="s">
        <v>291</v>
      </c>
    </row>
    <row r="506" spans="1:15" ht="60" x14ac:dyDescent="0.25">
      <c r="A506" s="1" t="s">
        <v>298</v>
      </c>
      <c r="B506" s="1" t="s">
        <v>299</v>
      </c>
      <c r="C506" s="1" t="s">
        <v>844</v>
      </c>
      <c r="D506" s="1">
        <v>53844</v>
      </c>
      <c r="E506" s="1">
        <v>138</v>
      </c>
      <c r="F506" s="1" t="s">
        <v>845</v>
      </c>
      <c r="G506" s="1" t="s">
        <v>846</v>
      </c>
      <c r="H506" s="1" t="s">
        <v>141</v>
      </c>
      <c r="I506" s="1" t="s">
        <v>63</v>
      </c>
      <c r="J506" s="1">
        <v>1</v>
      </c>
      <c r="K506" s="1" t="s">
        <v>142</v>
      </c>
      <c r="L506" s="1" t="s">
        <v>177</v>
      </c>
      <c r="M506" s="1" t="s">
        <v>28</v>
      </c>
      <c r="N506" s="1" t="str">
        <f>HYPERLINK("https://klocwork.india.ti.com:443/review/insight-review.html#issuedetails_goto:problemid=53844,project=MCU_PLUS_SDK_AM263X,searchquery=taxonomy:'C and C++' build:Build_Apr_13_2023_11_11_AM grouping:off ","KW Issue Link")</f>
        <v>KW Issue Link</v>
      </c>
      <c r="O506" s="1" t="s">
        <v>291</v>
      </c>
    </row>
    <row r="507" spans="1:15" ht="60" x14ac:dyDescent="0.25">
      <c r="A507" s="1" t="s">
        <v>298</v>
      </c>
      <c r="B507" s="1" t="s">
        <v>299</v>
      </c>
      <c r="C507" s="1" t="s">
        <v>844</v>
      </c>
      <c r="D507" s="1">
        <v>53845</v>
      </c>
      <c r="E507" s="1">
        <v>801</v>
      </c>
      <c r="F507" s="1" t="s">
        <v>847</v>
      </c>
      <c r="G507" s="1" t="s">
        <v>848</v>
      </c>
      <c r="H507" s="1" t="s">
        <v>141</v>
      </c>
      <c r="I507" s="1" t="s">
        <v>63</v>
      </c>
      <c r="J507" s="1">
        <v>1</v>
      </c>
      <c r="K507" s="1" t="s">
        <v>142</v>
      </c>
      <c r="L507" s="1" t="s">
        <v>177</v>
      </c>
      <c r="M507" s="1" t="s">
        <v>28</v>
      </c>
      <c r="N507" s="1" t="str">
        <f>HYPERLINK("https://klocwork.india.ti.com:443/review/insight-review.html#issuedetails_goto:problemid=53845,project=MCU_PLUS_SDK_AM263X,searchquery=taxonomy:'C and C++' build:Build_Apr_13_2023_11_11_AM grouping:off ","KW Issue Link")</f>
        <v>KW Issue Link</v>
      </c>
      <c r="O507" s="1" t="s">
        <v>291</v>
      </c>
    </row>
    <row r="508" spans="1:15" ht="60" x14ac:dyDescent="0.25">
      <c r="A508" s="1" t="s">
        <v>298</v>
      </c>
      <c r="B508" s="1" t="s">
        <v>299</v>
      </c>
      <c r="C508" s="1" t="s">
        <v>844</v>
      </c>
      <c r="D508" s="1">
        <v>53846</v>
      </c>
      <c r="E508" s="1">
        <v>837</v>
      </c>
      <c r="F508" s="1" t="s">
        <v>849</v>
      </c>
      <c r="G508" s="1" t="s">
        <v>848</v>
      </c>
      <c r="H508" s="1" t="s">
        <v>141</v>
      </c>
      <c r="I508" s="1" t="s">
        <v>63</v>
      </c>
      <c r="J508" s="1">
        <v>1</v>
      </c>
      <c r="K508" s="1" t="s">
        <v>142</v>
      </c>
      <c r="L508" s="1" t="s">
        <v>177</v>
      </c>
      <c r="M508" s="1" t="s">
        <v>28</v>
      </c>
      <c r="N508" s="1" t="str">
        <f>HYPERLINK("https://klocwork.india.ti.com:443/review/insight-review.html#issuedetails_goto:problemid=53846,project=MCU_PLUS_SDK_AM263X,searchquery=taxonomy:'C and C++' build:Build_Apr_13_2023_11_11_AM grouping:off ","KW Issue Link")</f>
        <v>KW Issue Link</v>
      </c>
      <c r="O508" s="1" t="s">
        <v>291</v>
      </c>
    </row>
    <row r="509" spans="1:15" ht="60" x14ac:dyDescent="0.25">
      <c r="A509" s="1" t="s">
        <v>298</v>
      </c>
      <c r="B509" s="1" t="s">
        <v>299</v>
      </c>
      <c r="C509" s="1" t="s">
        <v>844</v>
      </c>
      <c r="D509" s="1">
        <v>53847</v>
      </c>
      <c r="E509" s="1">
        <v>843</v>
      </c>
      <c r="F509" s="1" t="s">
        <v>850</v>
      </c>
      <c r="G509" s="1" t="s">
        <v>848</v>
      </c>
      <c r="H509" s="1" t="s">
        <v>141</v>
      </c>
      <c r="I509" s="1" t="s">
        <v>63</v>
      </c>
      <c r="J509" s="1">
        <v>1</v>
      </c>
      <c r="K509" s="1" t="s">
        <v>142</v>
      </c>
      <c r="L509" s="1" t="s">
        <v>177</v>
      </c>
      <c r="M509" s="1" t="s">
        <v>28</v>
      </c>
      <c r="N509" s="1" t="str">
        <f>HYPERLINK("https://klocwork.india.ti.com:443/review/insight-review.html#issuedetails_goto:problemid=53847,project=MCU_PLUS_SDK_AM263X,searchquery=taxonomy:'C and C++' build:Build_Apr_13_2023_11_11_AM grouping:off ","KW Issue Link")</f>
        <v>KW Issue Link</v>
      </c>
      <c r="O509" s="1" t="s">
        <v>291</v>
      </c>
    </row>
    <row r="510" spans="1:15" ht="60" x14ac:dyDescent="0.25">
      <c r="A510" s="1" t="s">
        <v>298</v>
      </c>
      <c r="B510" s="1" t="s">
        <v>299</v>
      </c>
      <c r="C510" s="1" t="s">
        <v>844</v>
      </c>
      <c r="D510" s="1">
        <v>53848</v>
      </c>
      <c r="E510" s="1">
        <v>885</v>
      </c>
      <c r="F510" s="1" t="s">
        <v>851</v>
      </c>
      <c r="G510" s="1" t="s">
        <v>848</v>
      </c>
      <c r="H510" s="1" t="s">
        <v>141</v>
      </c>
      <c r="I510" s="1" t="s">
        <v>63</v>
      </c>
      <c r="J510" s="1">
        <v>1</v>
      </c>
      <c r="K510" s="1" t="s">
        <v>142</v>
      </c>
      <c r="L510" s="1" t="s">
        <v>177</v>
      </c>
      <c r="M510" s="1" t="s">
        <v>28</v>
      </c>
      <c r="N510" s="1" t="str">
        <f>HYPERLINK("https://klocwork.india.ti.com:443/review/insight-review.html#issuedetails_goto:problemid=53848,project=MCU_PLUS_SDK_AM263X,searchquery=taxonomy:'C and C++' build:Build_Apr_13_2023_11_11_AM grouping:off ","KW Issue Link")</f>
        <v>KW Issue Link</v>
      </c>
      <c r="O510" s="1" t="s">
        <v>291</v>
      </c>
    </row>
    <row r="511" spans="1:15" ht="60" x14ac:dyDescent="0.25">
      <c r="A511" s="1" t="s">
        <v>298</v>
      </c>
      <c r="B511" s="1" t="s">
        <v>299</v>
      </c>
      <c r="C511" s="1" t="s">
        <v>844</v>
      </c>
      <c r="D511" s="1">
        <v>53849</v>
      </c>
      <c r="E511" s="1">
        <v>1057</v>
      </c>
      <c r="F511" s="1" t="s">
        <v>852</v>
      </c>
      <c r="G511" s="1" t="s">
        <v>853</v>
      </c>
      <c r="H511" s="1" t="s">
        <v>141</v>
      </c>
      <c r="I511" s="1" t="s">
        <v>63</v>
      </c>
      <c r="J511" s="1">
        <v>1</v>
      </c>
      <c r="K511" s="1" t="s">
        <v>142</v>
      </c>
      <c r="L511" s="1" t="s">
        <v>177</v>
      </c>
      <c r="M511" s="1" t="s">
        <v>28</v>
      </c>
      <c r="N511" s="1" t="str">
        <f>HYPERLINK("https://klocwork.india.ti.com:443/review/insight-review.html#issuedetails_goto:problemid=53849,project=MCU_PLUS_SDK_AM263X,searchquery=taxonomy:'C and C++' build:Build_Apr_13_2023_11_11_AM grouping:off ","KW Issue Link")</f>
        <v>KW Issue Link</v>
      </c>
      <c r="O511" s="1" t="s">
        <v>291</v>
      </c>
    </row>
    <row r="512" spans="1:15" ht="60" x14ac:dyDescent="0.25">
      <c r="A512" s="1" t="s">
        <v>298</v>
      </c>
      <c r="B512" s="1" t="s">
        <v>299</v>
      </c>
      <c r="C512" s="1" t="s">
        <v>844</v>
      </c>
      <c r="D512" s="1">
        <v>53850</v>
      </c>
      <c r="E512" s="1">
        <v>1148</v>
      </c>
      <c r="F512" s="1" t="s">
        <v>854</v>
      </c>
      <c r="G512" s="1" t="s">
        <v>855</v>
      </c>
      <c r="H512" s="1" t="s">
        <v>141</v>
      </c>
      <c r="I512" s="1" t="s">
        <v>63</v>
      </c>
      <c r="J512" s="1">
        <v>1</v>
      </c>
      <c r="K512" s="1" t="s">
        <v>142</v>
      </c>
      <c r="L512" s="1" t="s">
        <v>177</v>
      </c>
      <c r="M512" s="1" t="s">
        <v>28</v>
      </c>
      <c r="N512" s="1" t="str">
        <f>HYPERLINK("https://klocwork.india.ti.com:443/review/insight-review.html#issuedetails_goto:problemid=53850,project=MCU_PLUS_SDK_AM263X,searchquery=taxonomy:'C and C++' build:Build_Apr_13_2023_11_11_AM grouping:off ","KW Issue Link")</f>
        <v>KW Issue Link</v>
      </c>
      <c r="O512" s="1" t="s">
        <v>291</v>
      </c>
    </row>
    <row r="513" spans="1:15" ht="75" x14ac:dyDescent="0.25">
      <c r="A513" s="1" t="s">
        <v>298</v>
      </c>
      <c r="B513" s="1" t="s">
        <v>299</v>
      </c>
      <c r="C513" s="1" t="s">
        <v>844</v>
      </c>
      <c r="D513" s="1">
        <v>53851</v>
      </c>
      <c r="E513" s="1">
        <v>1431</v>
      </c>
      <c r="F513" s="1" t="s">
        <v>856</v>
      </c>
      <c r="G513" s="1" t="s">
        <v>855</v>
      </c>
      <c r="H513" s="1" t="s">
        <v>141</v>
      </c>
      <c r="I513" s="1" t="s">
        <v>63</v>
      </c>
      <c r="J513" s="1">
        <v>1</v>
      </c>
      <c r="K513" s="1" t="s">
        <v>142</v>
      </c>
      <c r="L513" s="1" t="s">
        <v>177</v>
      </c>
      <c r="M513" s="1" t="s">
        <v>28</v>
      </c>
      <c r="N513" s="1" t="str">
        <f>HYPERLINK("https://klocwork.india.ti.com:443/review/insight-review.html#issuedetails_goto:problemid=53851,project=MCU_PLUS_SDK_AM263X,searchquery=taxonomy:'C and C++' build:Build_Apr_13_2023_11_11_AM grouping:off ","KW Issue Link")</f>
        <v>KW Issue Link</v>
      </c>
      <c r="O513" s="1" t="s">
        <v>291</v>
      </c>
    </row>
    <row r="514" spans="1:15" ht="60" x14ac:dyDescent="0.25">
      <c r="A514" s="1" t="s">
        <v>155</v>
      </c>
      <c r="B514" s="1"/>
      <c r="C514" s="1" t="s">
        <v>844</v>
      </c>
      <c r="D514" s="1">
        <v>54164</v>
      </c>
      <c r="E514" s="1">
        <v>519</v>
      </c>
      <c r="F514" s="1" t="s">
        <v>156</v>
      </c>
      <c r="G514" s="1" t="s">
        <v>846</v>
      </c>
      <c r="H514" s="1" t="s">
        <v>141</v>
      </c>
      <c r="I514" s="1" t="s">
        <v>65</v>
      </c>
      <c r="J514" s="1">
        <v>3</v>
      </c>
      <c r="K514" s="1" t="s">
        <v>142</v>
      </c>
      <c r="L514" s="1" t="s">
        <v>153</v>
      </c>
      <c r="M514" s="1" t="s">
        <v>28</v>
      </c>
      <c r="N514" s="1" t="str">
        <f>HYPERLINK("https://klocwork.india.ti.com:443/review/insight-review.html#issuedetails_goto:problemid=54164,project=MCU_PLUS_SDK_AM263X,searchquery=taxonomy:'C and C++' build:Build_Apr_13_2023_11_11_AM grouping:off ","KW Issue Link")</f>
        <v>KW Issue Link</v>
      </c>
      <c r="O514" s="1" t="s">
        <v>291</v>
      </c>
    </row>
    <row r="515" spans="1:15" ht="60" x14ac:dyDescent="0.25">
      <c r="A515" s="1" t="s">
        <v>155</v>
      </c>
      <c r="B515" s="1"/>
      <c r="C515" s="1" t="s">
        <v>844</v>
      </c>
      <c r="D515" s="1">
        <v>54165</v>
      </c>
      <c r="E515" s="1">
        <v>519</v>
      </c>
      <c r="F515" s="1" t="s">
        <v>156</v>
      </c>
      <c r="G515" s="1" t="s">
        <v>846</v>
      </c>
      <c r="H515" s="1" t="s">
        <v>141</v>
      </c>
      <c r="I515" s="1" t="s">
        <v>65</v>
      </c>
      <c r="J515" s="1">
        <v>3</v>
      </c>
      <c r="K515" s="1" t="s">
        <v>142</v>
      </c>
      <c r="L515" s="1" t="s">
        <v>153</v>
      </c>
      <c r="M515" s="1" t="s">
        <v>28</v>
      </c>
      <c r="N515" s="1" t="str">
        <f>HYPERLINK("https://klocwork.india.ti.com:443/review/insight-review.html#issuedetails_goto:problemid=54165,project=MCU_PLUS_SDK_AM263X,searchquery=taxonomy:'C and C++' build:Build_Apr_13_2023_11_11_AM grouping:off ","KW Issue Link")</f>
        <v>KW Issue Link</v>
      </c>
      <c r="O515" s="1" t="s">
        <v>291</v>
      </c>
    </row>
    <row r="516" spans="1:15" ht="60" x14ac:dyDescent="0.25">
      <c r="A516" s="1" t="s">
        <v>155</v>
      </c>
      <c r="B516" s="1"/>
      <c r="C516" s="1" t="s">
        <v>844</v>
      </c>
      <c r="D516" s="1">
        <v>54170</v>
      </c>
      <c r="E516" s="1">
        <v>1277</v>
      </c>
      <c r="F516" s="1" t="s">
        <v>156</v>
      </c>
      <c r="G516" s="1" t="s">
        <v>855</v>
      </c>
      <c r="H516" s="1" t="s">
        <v>141</v>
      </c>
      <c r="I516" s="1" t="s">
        <v>65</v>
      </c>
      <c r="J516" s="1">
        <v>3</v>
      </c>
      <c r="K516" s="1" t="s">
        <v>142</v>
      </c>
      <c r="L516" s="1" t="s">
        <v>153</v>
      </c>
      <c r="M516" s="1" t="s">
        <v>28</v>
      </c>
      <c r="N516" s="1" t="str">
        <f>HYPERLINK("https://klocwork.india.ti.com:443/review/insight-review.html#issuedetails_goto:problemid=54170,project=MCU_PLUS_SDK_AM263X,searchquery=taxonomy:'C and C++' build:Build_Apr_13_2023_11_11_AM grouping:off ","KW Issue Link")</f>
        <v>KW Issue Link</v>
      </c>
      <c r="O516" s="1" t="s">
        <v>291</v>
      </c>
    </row>
    <row r="517" spans="1:15" ht="60" x14ac:dyDescent="0.25">
      <c r="A517" s="1" t="s">
        <v>302</v>
      </c>
      <c r="B517" s="1" t="s">
        <v>299</v>
      </c>
      <c r="C517" s="1" t="s">
        <v>844</v>
      </c>
      <c r="D517" s="1">
        <v>54327</v>
      </c>
      <c r="E517" s="1">
        <v>607</v>
      </c>
      <c r="F517" s="1" t="s">
        <v>857</v>
      </c>
      <c r="G517" s="1" t="s">
        <v>858</v>
      </c>
      <c r="H517" s="1" t="s">
        <v>141</v>
      </c>
      <c r="I517" s="1" t="s">
        <v>63</v>
      </c>
      <c r="J517" s="1">
        <v>1</v>
      </c>
      <c r="K517" s="1" t="s">
        <v>142</v>
      </c>
      <c r="L517" s="1" t="s">
        <v>177</v>
      </c>
      <c r="M517" s="1" t="s">
        <v>28</v>
      </c>
      <c r="N517" s="1" t="str">
        <f>HYPERLINK("https://klocwork.india.ti.com:443/review/insight-review.html#issuedetails_goto:problemid=54327,project=MCU_PLUS_SDK_AM263X,searchquery=taxonomy:'C and C++' build:Build_Apr_13_2023_11_11_AM grouping:off ","KW Issue Link")</f>
        <v>KW Issue Link</v>
      </c>
      <c r="O517" s="1" t="s">
        <v>291</v>
      </c>
    </row>
    <row r="518" spans="1:15" ht="60" x14ac:dyDescent="0.25">
      <c r="A518" s="1" t="s">
        <v>302</v>
      </c>
      <c r="B518" s="1" t="s">
        <v>299</v>
      </c>
      <c r="C518" s="1" t="s">
        <v>844</v>
      </c>
      <c r="D518" s="1">
        <v>54328</v>
      </c>
      <c r="E518" s="1">
        <v>654</v>
      </c>
      <c r="F518" s="1" t="s">
        <v>859</v>
      </c>
      <c r="G518" s="1" t="s">
        <v>860</v>
      </c>
      <c r="H518" s="1" t="s">
        <v>141</v>
      </c>
      <c r="I518" s="1" t="s">
        <v>63</v>
      </c>
      <c r="J518" s="1">
        <v>1</v>
      </c>
      <c r="K518" s="1" t="s">
        <v>142</v>
      </c>
      <c r="L518" s="1" t="s">
        <v>177</v>
      </c>
      <c r="M518" s="1" t="s">
        <v>28</v>
      </c>
      <c r="N518" s="1" t="str">
        <f>HYPERLINK("https://klocwork.india.ti.com:443/review/insight-review.html#issuedetails_goto:problemid=54328,project=MCU_PLUS_SDK_AM263X,searchquery=taxonomy:'C and C++' build:Build_Apr_13_2023_11_11_AM grouping:off ","KW Issue Link")</f>
        <v>KW Issue Link</v>
      </c>
      <c r="O518" s="1" t="s">
        <v>291</v>
      </c>
    </row>
    <row r="519" spans="1:15" ht="60" x14ac:dyDescent="0.25">
      <c r="A519" s="1" t="s">
        <v>302</v>
      </c>
      <c r="B519" s="1" t="s">
        <v>299</v>
      </c>
      <c r="C519" s="1" t="s">
        <v>844</v>
      </c>
      <c r="D519" s="1">
        <v>54329</v>
      </c>
      <c r="E519" s="1">
        <v>756</v>
      </c>
      <c r="F519" s="1" t="s">
        <v>861</v>
      </c>
      <c r="G519" s="1" t="s">
        <v>862</v>
      </c>
      <c r="H519" s="1" t="s">
        <v>141</v>
      </c>
      <c r="I519" s="1" t="s">
        <v>63</v>
      </c>
      <c r="J519" s="1">
        <v>1</v>
      </c>
      <c r="K519" s="1" t="s">
        <v>142</v>
      </c>
      <c r="L519" s="1" t="s">
        <v>177</v>
      </c>
      <c r="M519" s="1" t="s">
        <v>28</v>
      </c>
      <c r="N519" s="1" t="str">
        <f>HYPERLINK("https://klocwork.india.ti.com:443/review/insight-review.html#issuedetails_goto:problemid=54329,project=MCU_PLUS_SDK_AM263X,searchquery=taxonomy:'C and C++' build:Build_Apr_13_2023_11_11_AM grouping:off ","KW Issue Link")</f>
        <v>KW Issue Link</v>
      </c>
      <c r="O519" s="1" t="s">
        <v>291</v>
      </c>
    </row>
    <row r="520" spans="1:15" ht="60" x14ac:dyDescent="0.25">
      <c r="A520" s="1" t="s">
        <v>302</v>
      </c>
      <c r="B520" s="1" t="s">
        <v>299</v>
      </c>
      <c r="C520" s="1" t="s">
        <v>844</v>
      </c>
      <c r="D520" s="1">
        <v>54330</v>
      </c>
      <c r="E520" s="1">
        <v>765</v>
      </c>
      <c r="F520" s="1" t="s">
        <v>863</v>
      </c>
      <c r="G520" s="1" t="s">
        <v>862</v>
      </c>
      <c r="H520" s="1" t="s">
        <v>141</v>
      </c>
      <c r="I520" s="1" t="s">
        <v>63</v>
      </c>
      <c r="J520" s="1">
        <v>1</v>
      </c>
      <c r="K520" s="1" t="s">
        <v>142</v>
      </c>
      <c r="L520" s="1" t="s">
        <v>177</v>
      </c>
      <c r="M520" s="1" t="s">
        <v>28</v>
      </c>
      <c r="N520" s="1" t="str">
        <f>HYPERLINK("https://klocwork.india.ti.com:443/review/insight-review.html#issuedetails_goto:problemid=54330,project=MCU_PLUS_SDK_AM263X,searchquery=taxonomy:'C and C++' build:Build_Apr_13_2023_11_11_AM grouping:off ","KW Issue Link")</f>
        <v>KW Issue Link</v>
      </c>
      <c r="O520" s="1" t="s">
        <v>291</v>
      </c>
    </row>
    <row r="521" spans="1:15" ht="60" x14ac:dyDescent="0.25">
      <c r="A521" s="1" t="s">
        <v>302</v>
      </c>
      <c r="B521" s="1" t="s">
        <v>299</v>
      </c>
      <c r="C521" s="1" t="s">
        <v>844</v>
      </c>
      <c r="D521" s="1">
        <v>54331</v>
      </c>
      <c r="E521" s="1">
        <v>770</v>
      </c>
      <c r="F521" s="1" t="s">
        <v>864</v>
      </c>
      <c r="G521" s="1" t="s">
        <v>862</v>
      </c>
      <c r="H521" s="1" t="s">
        <v>141</v>
      </c>
      <c r="I521" s="1" t="s">
        <v>63</v>
      </c>
      <c r="J521" s="1">
        <v>1</v>
      </c>
      <c r="K521" s="1" t="s">
        <v>142</v>
      </c>
      <c r="L521" s="1" t="s">
        <v>177</v>
      </c>
      <c r="M521" s="1" t="s">
        <v>28</v>
      </c>
      <c r="N521" s="1" t="str">
        <f>HYPERLINK("https://klocwork.india.ti.com:443/review/insight-review.html#issuedetails_goto:problemid=54331,project=MCU_PLUS_SDK_AM263X,searchquery=taxonomy:'C and C++' build:Build_Apr_13_2023_11_11_AM grouping:off ","KW Issue Link")</f>
        <v>KW Issue Link</v>
      </c>
      <c r="O521" s="1" t="s">
        <v>291</v>
      </c>
    </row>
    <row r="522" spans="1:15" ht="60" x14ac:dyDescent="0.25">
      <c r="A522" s="1" t="s">
        <v>302</v>
      </c>
      <c r="B522" s="1" t="s">
        <v>299</v>
      </c>
      <c r="C522" s="1" t="s">
        <v>844</v>
      </c>
      <c r="D522" s="1">
        <v>54332</v>
      </c>
      <c r="E522" s="1">
        <v>1943</v>
      </c>
      <c r="F522" s="1" t="s">
        <v>865</v>
      </c>
      <c r="G522" s="1" t="s">
        <v>866</v>
      </c>
      <c r="H522" s="1" t="s">
        <v>141</v>
      </c>
      <c r="I522" s="1" t="s">
        <v>63</v>
      </c>
      <c r="J522" s="1">
        <v>1</v>
      </c>
      <c r="K522" s="1" t="s">
        <v>142</v>
      </c>
      <c r="L522" s="1" t="s">
        <v>177</v>
      </c>
      <c r="M522" s="1" t="s">
        <v>28</v>
      </c>
      <c r="N522" s="1" t="str">
        <f>HYPERLINK("https://klocwork.india.ti.com:443/review/insight-review.html#issuedetails_goto:problemid=54332,project=MCU_PLUS_SDK_AM263X,searchquery=taxonomy:'C and C++' build:Build_Apr_13_2023_11_11_AM grouping:off ","KW Issue Link")</f>
        <v>KW Issue Link</v>
      </c>
      <c r="O522" s="1" t="s">
        <v>291</v>
      </c>
    </row>
    <row r="523" spans="1:15" ht="60" x14ac:dyDescent="0.25">
      <c r="A523" s="1" t="s">
        <v>136</v>
      </c>
      <c r="B523" s="1"/>
      <c r="C523" s="1" t="s">
        <v>844</v>
      </c>
      <c r="D523" s="1">
        <v>54333</v>
      </c>
      <c r="E523" s="1">
        <v>794</v>
      </c>
      <c r="F523" s="1" t="s">
        <v>699</v>
      </c>
      <c r="G523" s="1" t="s">
        <v>848</v>
      </c>
      <c r="H523" s="1" t="s">
        <v>141</v>
      </c>
      <c r="I523" s="1" t="s">
        <v>66</v>
      </c>
      <c r="J523" s="1">
        <v>4</v>
      </c>
      <c r="K523" s="1" t="s">
        <v>142</v>
      </c>
      <c r="L523" s="1" t="s">
        <v>153</v>
      </c>
      <c r="M523" s="1" t="s">
        <v>28</v>
      </c>
      <c r="N523" s="1" t="str">
        <f>HYPERLINK("https://klocwork.india.ti.com:443/review/insight-review.html#issuedetails_goto:problemid=54333,project=MCU_PLUS_SDK_AM263X,searchquery=taxonomy:'C and C++' build:Build_Apr_13_2023_11_11_AM grouping:off ","KW Issue Link")</f>
        <v>KW Issue Link</v>
      </c>
      <c r="O523" s="1" t="s">
        <v>291</v>
      </c>
    </row>
    <row r="524" spans="1:15" ht="60" x14ac:dyDescent="0.25">
      <c r="A524" s="1" t="s">
        <v>547</v>
      </c>
      <c r="B524" s="1"/>
      <c r="C524" s="1" t="s">
        <v>844</v>
      </c>
      <c r="D524" s="1">
        <v>54347</v>
      </c>
      <c r="E524" s="1">
        <v>1941</v>
      </c>
      <c r="F524" s="1" t="s">
        <v>548</v>
      </c>
      <c r="G524" s="1" t="s">
        <v>866</v>
      </c>
      <c r="H524" s="1" t="s">
        <v>141</v>
      </c>
      <c r="I524" s="1" t="s">
        <v>66</v>
      </c>
      <c r="J524" s="1">
        <v>4</v>
      </c>
      <c r="K524" s="1" t="s">
        <v>142</v>
      </c>
      <c r="L524" s="1" t="s">
        <v>153</v>
      </c>
      <c r="M524" s="1" t="s">
        <v>28</v>
      </c>
      <c r="N524" s="1" t="str">
        <f>HYPERLINK("https://klocwork.india.ti.com:443/review/insight-review.html#issuedetails_goto:problemid=54347,project=MCU_PLUS_SDK_AM263X,searchquery=taxonomy:'C and C++' build:Build_Apr_13_2023_11_11_AM grouping:off ","KW Issue Link")</f>
        <v>KW Issue Link</v>
      </c>
      <c r="O524" s="1" t="s">
        <v>291</v>
      </c>
    </row>
    <row r="525" spans="1:15" ht="60" x14ac:dyDescent="0.25">
      <c r="A525" s="1" t="s">
        <v>302</v>
      </c>
      <c r="B525" s="1" t="s">
        <v>299</v>
      </c>
      <c r="C525" s="1" t="s">
        <v>867</v>
      </c>
      <c r="D525" s="1">
        <v>55109</v>
      </c>
      <c r="E525" s="1">
        <v>176</v>
      </c>
      <c r="F525" s="1" t="s">
        <v>868</v>
      </c>
      <c r="G525" s="1" t="s">
        <v>869</v>
      </c>
      <c r="H525" s="1" t="s">
        <v>141</v>
      </c>
      <c r="I525" s="1" t="s">
        <v>63</v>
      </c>
      <c r="J525" s="1">
        <v>1</v>
      </c>
      <c r="K525" s="1" t="s">
        <v>142</v>
      </c>
      <c r="L525" s="1" t="s">
        <v>177</v>
      </c>
      <c r="M525" s="1" t="s">
        <v>28</v>
      </c>
      <c r="N525" s="1" t="str">
        <f>HYPERLINK("https://klocwork.india.ti.com:443/review/insight-review.html#issuedetails_goto:problemid=55109,project=MCU_PLUS_SDK_AM263X,searchquery=taxonomy:'C and C++' build:Build_Apr_13_2023_11_11_AM grouping:off ","KW Issue Link")</f>
        <v>KW Issue Link</v>
      </c>
      <c r="O525" s="1" t="s">
        <v>291</v>
      </c>
    </row>
    <row r="526" spans="1:15" ht="60" x14ac:dyDescent="0.25">
      <c r="A526" s="1" t="s">
        <v>302</v>
      </c>
      <c r="B526" s="1" t="s">
        <v>299</v>
      </c>
      <c r="C526" s="1" t="s">
        <v>867</v>
      </c>
      <c r="D526" s="1">
        <v>55110</v>
      </c>
      <c r="E526" s="1">
        <v>197</v>
      </c>
      <c r="F526" s="1" t="s">
        <v>870</v>
      </c>
      <c r="G526" s="1" t="s">
        <v>869</v>
      </c>
      <c r="H526" s="1" t="s">
        <v>141</v>
      </c>
      <c r="I526" s="1" t="s">
        <v>63</v>
      </c>
      <c r="J526" s="1">
        <v>1</v>
      </c>
      <c r="K526" s="1" t="s">
        <v>142</v>
      </c>
      <c r="L526" s="1" t="s">
        <v>177</v>
      </c>
      <c r="M526" s="1" t="s">
        <v>28</v>
      </c>
      <c r="N526" s="1" t="str">
        <f>HYPERLINK("https://klocwork.india.ti.com:443/review/insight-review.html#issuedetails_goto:problemid=55110,project=MCU_PLUS_SDK_AM263X,searchquery=taxonomy:'C and C++' build:Build_Apr_13_2023_11_11_AM grouping:off ","KW Issue Link")</f>
        <v>KW Issue Link</v>
      </c>
      <c r="O526" s="1" t="s">
        <v>291</v>
      </c>
    </row>
    <row r="527" spans="1:15" ht="75" x14ac:dyDescent="0.25">
      <c r="A527" s="1" t="s">
        <v>302</v>
      </c>
      <c r="B527" s="1" t="s">
        <v>299</v>
      </c>
      <c r="C527" s="1" t="s">
        <v>867</v>
      </c>
      <c r="D527" s="1">
        <v>55111</v>
      </c>
      <c r="E527" s="1">
        <v>268</v>
      </c>
      <c r="F527" s="1" t="s">
        <v>871</v>
      </c>
      <c r="G527" s="1" t="s">
        <v>872</v>
      </c>
      <c r="H527" s="1" t="s">
        <v>141</v>
      </c>
      <c r="I527" s="1" t="s">
        <v>63</v>
      </c>
      <c r="J527" s="1">
        <v>1</v>
      </c>
      <c r="K527" s="1" t="s">
        <v>142</v>
      </c>
      <c r="L527" s="1" t="s">
        <v>177</v>
      </c>
      <c r="M527" s="1" t="s">
        <v>28</v>
      </c>
      <c r="N527" s="1" t="str">
        <f>HYPERLINK("https://klocwork.india.ti.com:443/review/insight-review.html#issuedetails_goto:problemid=55111,project=MCU_PLUS_SDK_AM263X,searchquery=taxonomy:'C and C++' build:Build_Apr_13_2023_11_11_AM grouping:off ","KW Issue Link")</f>
        <v>KW Issue Link</v>
      </c>
      <c r="O527" s="1" t="s">
        <v>291</v>
      </c>
    </row>
    <row r="528" spans="1:15" ht="60" x14ac:dyDescent="0.25">
      <c r="A528" s="1" t="s">
        <v>302</v>
      </c>
      <c r="B528" s="1" t="s">
        <v>299</v>
      </c>
      <c r="C528" s="1" t="s">
        <v>867</v>
      </c>
      <c r="D528" s="1">
        <v>55112</v>
      </c>
      <c r="E528" s="1">
        <v>1477</v>
      </c>
      <c r="F528" s="1" t="s">
        <v>873</v>
      </c>
      <c r="G528" s="1" t="s">
        <v>874</v>
      </c>
      <c r="H528" s="1" t="s">
        <v>141</v>
      </c>
      <c r="I528" s="1" t="s">
        <v>63</v>
      </c>
      <c r="J528" s="1">
        <v>1</v>
      </c>
      <c r="K528" s="1" t="s">
        <v>142</v>
      </c>
      <c r="L528" s="1" t="s">
        <v>177</v>
      </c>
      <c r="M528" s="1" t="s">
        <v>28</v>
      </c>
      <c r="N528" s="1" t="str">
        <f>HYPERLINK("https://klocwork.india.ti.com:443/review/insight-review.html#issuedetails_goto:problemid=55112,project=MCU_PLUS_SDK_AM263X,searchquery=taxonomy:'C and C++' build:Build_Apr_13_2023_11_11_AM grouping:off ","KW Issue Link")</f>
        <v>KW Issue Link</v>
      </c>
      <c r="O528" s="1" t="s">
        <v>291</v>
      </c>
    </row>
    <row r="529" spans="1:15" ht="60" x14ac:dyDescent="0.25">
      <c r="A529" s="1" t="s">
        <v>302</v>
      </c>
      <c r="B529" s="1" t="s">
        <v>299</v>
      </c>
      <c r="C529" s="1" t="s">
        <v>867</v>
      </c>
      <c r="D529" s="1">
        <v>55113</v>
      </c>
      <c r="E529" s="1">
        <v>1936</v>
      </c>
      <c r="F529" s="1" t="s">
        <v>875</v>
      </c>
      <c r="G529" s="1" t="s">
        <v>876</v>
      </c>
      <c r="H529" s="1" t="s">
        <v>141</v>
      </c>
      <c r="I529" s="1" t="s">
        <v>63</v>
      </c>
      <c r="J529" s="1">
        <v>1</v>
      </c>
      <c r="K529" s="1" t="s">
        <v>142</v>
      </c>
      <c r="L529" s="1" t="s">
        <v>177</v>
      </c>
      <c r="M529" s="1" t="s">
        <v>28</v>
      </c>
      <c r="N529" s="1" t="str">
        <f>HYPERLINK("https://klocwork.india.ti.com:443/review/insight-review.html#issuedetails_goto:problemid=55113,project=MCU_PLUS_SDK_AM263X,searchquery=taxonomy:'C and C++' build:Build_Apr_13_2023_11_11_AM grouping:off ","KW Issue Link")</f>
        <v>KW Issue Link</v>
      </c>
      <c r="O529" s="1" t="s">
        <v>291</v>
      </c>
    </row>
    <row r="530" spans="1:15" ht="60" x14ac:dyDescent="0.25">
      <c r="A530" s="1" t="s">
        <v>298</v>
      </c>
      <c r="B530" s="1" t="s">
        <v>299</v>
      </c>
      <c r="C530" s="1" t="s">
        <v>867</v>
      </c>
      <c r="D530" s="1">
        <v>55135</v>
      </c>
      <c r="E530" s="1">
        <v>310</v>
      </c>
      <c r="F530" s="1" t="s">
        <v>877</v>
      </c>
      <c r="G530" s="1" t="s">
        <v>878</v>
      </c>
      <c r="H530" s="1" t="s">
        <v>141</v>
      </c>
      <c r="I530" s="1" t="s">
        <v>63</v>
      </c>
      <c r="J530" s="1">
        <v>1</v>
      </c>
      <c r="K530" s="1" t="s">
        <v>142</v>
      </c>
      <c r="L530" s="1" t="s">
        <v>177</v>
      </c>
      <c r="M530" s="1" t="s">
        <v>28</v>
      </c>
      <c r="N530" s="1" t="str">
        <f>HYPERLINK("https://klocwork.india.ti.com:443/review/insight-review.html#issuedetails_goto:problemid=55135,project=MCU_PLUS_SDK_AM263X,searchquery=taxonomy:'C and C++' build:Build_Apr_13_2023_11_11_AM grouping:off ","KW Issue Link")</f>
        <v>KW Issue Link</v>
      </c>
      <c r="O530" s="1" t="s">
        <v>291</v>
      </c>
    </row>
    <row r="531" spans="1:15" ht="60" x14ac:dyDescent="0.25">
      <c r="A531" s="1" t="s">
        <v>298</v>
      </c>
      <c r="B531" s="1" t="s">
        <v>299</v>
      </c>
      <c r="C531" s="1" t="s">
        <v>867</v>
      </c>
      <c r="D531" s="1">
        <v>55136</v>
      </c>
      <c r="E531" s="1">
        <v>845</v>
      </c>
      <c r="F531" s="1" t="s">
        <v>879</v>
      </c>
      <c r="G531" s="1" t="s">
        <v>880</v>
      </c>
      <c r="H531" s="1" t="s">
        <v>141</v>
      </c>
      <c r="I531" s="1" t="s">
        <v>63</v>
      </c>
      <c r="J531" s="1">
        <v>1</v>
      </c>
      <c r="K531" s="1" t="s">
        <v>142</v>
      </c>
      <c r="L531" s="1" t="s">
        <v>177</v>
      </c>
      <c r="M531" s="1" t="s">
        <v>28</v>
      </c>
      <c r="N531" s="1" t="str">
        <f>HYPERLINK("https://klocwork.india.ti.com:443/review/insight-review.html#issuedetails_goto:problemid=55136,project=MCU_PLUS_SDK_AM263X,searchquery=taxonomy:'C and C++' build:Build_Apr_13_2023_11_11_AM grouping:off ","KW Issue Link")</f>
        <v>KW Issue Link</v>
      </c>
      <c r="O531" s="1" t="s">
        <v>291</v>
      </c>
    </row>
    <row r="532" spans="1:15" ht="60" x14ac:dyDescent="0.25">
      <c r="A532" s="1" t="s">
        <v>298</v>
      </c>
      <c r="B532" s="1" t="s">
        <v>299</v>
      </c>
      <c r="C532" s="1" t="s">
        <v>867</v>
      </c>
      <c r="D532" s="1">
        <v>55137</v>
      </c>
      <c r="E532" s="1">
        <v>1006</v>
      </c>
      <c r="F532" s="1" t="s">
        <v>881</v>
      </c>
      <c r="G532" s="1" t="s">
        <v>882</v>
      </c>
      <c r="H532" s="1" t="s">
        <v>141</v>
      </c>
      <c r="I532" s="1" t="s">
        <v>63</v>
      </c>
      <c r="J532" s="1">
        <v>1</v>
      </c>
      <c r="K532" s="1" t="s">
        <v>142</v>
      </c>
      <c r="L532" s="1" t="s">
        <v>177</v>
      </c>
      <c r="M532" s="1" t="s">
        <v>28</v>
      </c>
      <c r="N532" s="1" t="str">
        <f>HYPERLINK("https://klocwork.india.ti.com:443/review/insight-review.html#issuedetails_goto:problemid=55137,project=MCU_PLUS_SDK_AM263X,searchquery=taxonomy:'C and C++' build:Build_Apr_13_2023_11_11_AM grouping:off ","KW Issue Link")</f>
        <v>KW Issue Link</v>
      </c>
      <c r="O532" s="1" t="s">
        <v>291</v>
      </c>
    </row>
    <row r="533" spans="1:15" ht="60" x14ac:dyDescent="0.25">
      <c r="A533" s="1" t="s">
        <v>298</v>
      </c>
      <c r="B533" s="1" t="s">
        <v>299</v>
      </c>
      <c r="C533" s="1" t="s">
        <v>867</v>
      </c>
      <c r="D533" s="1">
        <v>55138</v>
      </c>
      <c r="E533" s="1">
        <v>1077</v>
      </c>
      <c r="F533" s="1" t="s">
        <v>883</v>
      </c>
      <c r="G533" s="1" t="s">
        <v>884</v>
      </c>
      <c r="H533" s="1" t="s">
        <v>141</v>
      </c>
      <c r="I533" s="1" t="s">
        <v>63</v>
      </c>
      <c r="J533" s="1">
        <v>1</v>
      </c>
      <c r="K533" s="1" t="s">
        <v>142</v>
      </c>
      <c r="L533" s="1" t="s">
        <v>177</v>
      </c>
      <c r="M533" s="1" t="s">
        <v>28</v>
      </c>
      <c r="N533" s="1" t="str">
        <f>HYPERLINK("https://klocwork.india.ti.com:443/review/insight-review.html#issuedetails_goto:problemid=55138,project=MCU_PLUS_SDK_AM263X,searchquery=taxonomy:'C and C++' build:Build_Apr_13_2023_11_11_AM grouping:off ","KW Issue Link")</f>
        <v>KW Issue Link</v>
      </c>
      <c r="O533" s="1" t="s">
        <v>291</v>
      </c>
    </row>
    <row r="534" spans="1:15" ht="60" x14ac:dyDescent="0.25">
      <c r="A534" s="1" t="s">
        <v>298</v>
      </c>
      <c r="B534" s="1" t="s">
        <v>299</v>
      </c>
      <c r="C534" s="1" t="s">
        <v>867</v>
      </c>
      <c r="D534" s="1">
        <v>55139</v>
      </c>
      <c r="E534" s="1">
        <v>1085</v>
      </c>
      <c r="F534" s="1" t="s">
        <v>885</v>
      </c>
      <c r="G534" s="1" t="s">
        <v>884</v>
      </c>
      <c r="H534" s="1" t="s">
        <v>141</v>
      </c>
      <c r="I534" s="1" t="s">
        <v>63</v>
      </c>
      <c r="J534" s="1">
        <v>1</v>
      </c>
      <c r="K534" s="1" t="s">
        <v>142</v>
      </c>
      <c r="L534" s="1" t="s">
        <v>177</v>
      </c>
      <c r="M534" s="1" t="s">
        <v>28</v>
      </c>
      <c r="N534" s="1" t="str">
        <f>HYPERLINK("https://klocwork.india.ti.com:443/review/insight-review.html#issuedetails_goto:problemid=55139,project=MCU_PLUS_SDK_AM263X,searchquery=taxonomy:'C and C++' build:Build_Apr_13_2023_11_11_AM grouping:off ","KW Issue Link")</f>
        <v>KW Issue Link</v>
      </c>
      <c r="O534" s="1" t="s">
        <v>291</v>
      </c>
    </row>
    <row r="535" spans="1:15" ht="60" x14ac:dyDescent="0.25">
      <c r="A535" s="1" t="s">
        <v>298</v>
      </c>
      <c r="B535" s="1" t="s">
        <v>299</v>
      </c>
      <c r="C535" s="1" t="s">
        <v>867</v>
      </c>
      <c r="D535" s="1">
        <v>55140</v>
      </c>
      <c r="E535" s="1">
        <v>1252</v>
      </c>
      <c r="F535" s="1" t="s">
        <v>886</v>
      </c>
      <c r="G535" s="1" t="s">
        <v>887</v>
      </c>
      <c r="H535" s="1" t="s">
        <v>141</v>
      </c>
      <c r="I535" s="1" t="s">
        <v>63</v>
      </c>
      <c r="J535" s="1">
        <v>1</v>
      </c>
      <c r="K535" s="1" t="s">
        <v>142</v>
      </c>
      <c r="L535" s="1" t="s">
        <v>177</v>
      </c>
      <c r="M535" s="1" t="s">
        <v>28</v>
      </c>
      <c r="N535" s="1" t="str">
        <f>HYPERLINK("https://klocwork.india.ti.com:443/review/insight-review.html#issuedetails_goto:problemid=55140,project=MCU_PLUS_SDK_AM263X,searchquery=taxonomy:'C and C++' build:Build_Apr_13_2023_11_11_AM grouping:off ","KW Issue Link")</f>
        <v>KW Issue Link</v>
      </c>
      <c r="O535" s="1" t="s">
        <v>291</v>
      </c>
    </row>
    <row r="536" spans="1:15" ht="60" x14ac:dyDescent="0.25">
      <c r="A536" s="1" t="s">
        <v>298</v>
      </c>
      <c r="B536" s="1" t="s">
        <v>299</v>
      </c>
      <c r="C536" s="1" t="s">
        <v>867</v>
      </c>
      <c r="D536" s="1">
        <v>55141</v>
      </c>
      <c r="E536" s="1">
        <v>1439</v>
      </c>
      <c r="F536" s="1" t="s">
        <v>888</v>
      </c>
      <c r="G536" s="1" t="s">
        <v>889</v>
      </c>
      <c r="H536" s="1" t="s">
        <v>141</v>
      </c>
      <c r="I536" s="1" t="s">
        <v>63</v>
      </c>
      <c r="J536" s="1">
        <v>1</v>
      </c>
      <c r="K536" s="1" t="s">
        <v>142</v>
      </c>
      <c r="L536" s="1" t="s">
        <v>177</v>
      </c>
      <c r="M536" s="1" t="s">
        <v>28</v>
      </c>
      <c r="N536" s="1" t="str">
        <f>HYPERLINK("https://klocwork.india.ti.com:443/review/insight-review.html#issuedetails_goto:problemid=55141,project=MCU_PLUS_SDK_AM263X,searchquery=taxonomy:'C and C++' build:Build_Apr_13_2023_11_11_AM grouping:off ","KW Issue Link")</f>
        <v>KW Issue Link</v>
      </c>
      <c r="O536" s="1" t="s">
        <v>291</v>
      </c>
    </row>
    <row r="537" spans="1:15" ht="60" x14ac:dyDescent="0.25">
      <c r="A537" s="1" t="s">
        <v>298</v>
      </c>
      <c r="B537" s="1" t="s">
        <v>299</v>
      </c>
      <c r="C537" s="1" t="s">
        <v>867</v>
      </c>
      <c r="D537" s="1">
        <v>55142</v>
      </c>
      <c r="E537" s="1">
        <v>1468</v>
      </c>
      <c r="F537" s="1" t="s">
        <v>890</v>
      </c>
      <c r="G537" s="1" t="s">
        <v>874</v>
      </c>
      <c r="H537" s="1" t="s">
        <v>141</v>
      </c>
      <c r="I537" s="1" t="s">
        <v>63</v>
      </c>
      <c r="J537" s="1">
        <v>1</v>
      </c>
      <c r="K537" s="1" t="s">
        <v>142</v>
      </c>
      <c r="L537" s="1" t="s">
        <v>177</v>
      </c>
      <c r="M537" s="1" t="s">
        <v>28</v>
      </c>
      <c r="N537" s="1" t="str">
        <f>HYPERLINK("https://klocwork.india.ti.com:443/review/insight-review.html#issuedetails_goto:problemid=55142,project=MCU_PLUS_SDK_AM263X,searchquery=taxonomy:'C and C++' build:Build_Apr_13_2023_11_11_AM grouping:off ","KW Issue Link")</f>
        <v>KW Issue Link</v>
      </c>
      <c r="O537" s="1" t="s">
        <v>291</v>
      </c>
    </row>
    <row r="538" spans="1:15" ht="60" x14ac:dyDescent="0.25">
      <c r="A538" s="1" t="s">
        <v>298</v>
      </c>
      <c r="B538" s="1" t="s">
        <v>299</v>
      </c>
      <c r="C538" s="1" t="s">
        <v>867</v>
      </c>
      <c r="D538" s="1">
        <v>55143</v>
      </c>
      <c r="E538" s="1">
        <v>1637</v>
      </c>
      <c r="F538" s="1" t="s">
        <v>891</v>
      </c>
      <c r="G538" s="1" t="s">
        <v>892</v>
      </c>
      <c r="H538" s="1" t="s">
        <v>141</v>
      </c>
      <c r="I538" s="1" t="s">
        <v>63</v>
      </c>
      <c r="J538" s="1">
        <v>1</v>
      </c>
      <c r="K538" s="1" t="s">
        <v>142</v>
      </c>
      <c r="L538" s="1" t="s">
        <v>177</v>
      </c>
      <c r="M538" s="1" t="s">
        <v>28</v>
      </c>
      <c r="N538" s="1" t="str">
        <f>HYPERLINK("https://klocwork.india.ti.com:443/review/insight-review.html#issuedetails_goto:problemid=55143,project=MCU_PLUS_SDK_AM263X,searchquery=taxonomy:'C and C++' build:Build_Apr_13_2023_11_11_AM grouping:off ","KW Issue Link")</f>
        <v>KW Issue Link</v>
      </c>
      <c r="O538" s="1" t="s">
        <v>291</v>
      </c>
    </row>
    <row r="539" spans="1:15" ht="60" x14ac:dyDescent="0.25">
      <c r="A539" s="1" t="s">
        <v>298</v>
      </c>
      <c r="B539" s="1" t="s">
        <v>299</v>
      </c>
      <c r="C539" s="1" t="s">
        <v>867</v>
      </c>
      <c r="D539" s="1">
        <v>55144</v>
      </c>
      <c r="E539" s="1">
        <v>1691</v>
      </c>
      <c r="F539" s="1" t="s">
        <v>893</v>
      </c>
      <c r="G539" s="1" t="s">
        <v>894</v>
      </c>
      <c r="H539" s="1" t="s">
        <v>141</v>
      </c>
      <c r="I539" s="1" t="s">
        <v>63</v>
      </c>
      <c r="J539" s="1">
        <v>1</v>
      </c>
      <c r="K539" s="1" t="s">
        <v>142</v>
      </c>
      <c r="L539" s="1" t="s">
        <v>177</v>
      </c>
      <c r="M539" s="1" t="s">
        <v>28</v>
      </c>
      <c r="N539" s="1" t="str">
        <f>HYPERLINK("https://klocwork.india.ti.com:443/review/insight-review.html#issuedetails_goto:problemid=55144,project=MCU_PLUS_SDK_AM263X,searchquery=taxonomy:'C and C++' build:Build_Apr_13_2023_11_11_AM grouping:off ","KW Issue Link")</f>
        <v>KW Issue Link</v>
      </c>
      <c r="O539" s="1" t="s">
        <v>291</v>
      </c>
    </row>
    <row r="540" spans="1:15" ht="60" x14ac:dyDescent="0.25">
      <c r="A540" s="1" t="s">
        <v>298</v>
      </c>
      <c r="B540" s="1" t="s">
        <v>299</v>
      </c>
      <c r="C540" s="1" t="s">
        <v>867</v>
      </c>
      <c r="D540" s="1">
        <v>55145</v>
      </c>
      <c r="E540" s="1">
        <v>1711</v>
      </c>
      <c r="F540" s="1" t="s">
        <v>895</v>
      </c>
      <c r="G540" s="1" t="s">
        <v>896</v>
      </c>
      <c r="H540" s="1" t="s">
        <v>141</v>
      </c>
      <c r="I540" s="1" t="s">
        <v>63</v>
      </c>
      <c r="J540" s="1">
        <v>1</v>
      </c>
      <c r="K540" s="1" t="s">
        <v>142</v>
      </c>
      <c r="L540" s="1" t="s">
        <v>177</v>
      </c>
      <c r="M540" s="1" t="s">
        <v>28</v>
      </c>
      <c r="N540" s="1" t="str">
        <f>HYPERLINK("https://klocwork.india.ti.com:443/review/insight-review.html#issuedetails_goto:problemid=55145,project=MCU_PLUS_SDK_AM263X,searchquery=taxonomy:'C and C++' build:Build_Apr_13_2023_11_11_AM grouping:off ","KW Issue Link")</f>
        <v>KW Issue Link</v>
      </c>
      <c r="O540" s="1" t="s">
        <v>291</v>
      </c>
    </row>
    <row r="541" spans="1:15" ht="60" x14ac:dyDescent="0.25">
      <c r="A541" s="1" t="s">
        <v>298</v>
      </c>
      <c r="B541" s="1" t="s">
        <v>299</v>
      </c>
      <c r="C541" s="1" t="s">
        <v>867</v>
      </c>
      <c r="D541" s="1">
        <v>55146</v>
      </c>
      <c r="E541" s="1">
        <v>1731</v>
      </c>
      <c r="F541" s="1" t="s">
        <v>897</v>
      </c>
      <c r="G541" s="1" t="s">
        <v>898</v>
      </c>
      <c r="H541" s="1" t="s">
        <v>141</v>
      </c>
      <c r="I541" s="1" t="s">
        <v>63</v>
      </c>
      <c r="J541" s="1">
        <v>1</v>
      </c>
      <c r="K541" s="1" t="s">
        <v>142</v>
      </c>
      <c r="L541" s="1" t="s">
        <v>177</v>
      </c>
      <c r="M541" s="1" t="s">
        <v>28</v>
      </c>
      <c r="N541" s="1" t="str">
        <f>HYPERLINK("https://klocwork.india.ti.com:443/review/insight-review.html#issuedetails_goto:problemid=55146,project=MCU_PLUS_SDK_AM263X,searchquery=taxonomy:'C and C++' build:Build_Apr_13_2023_11_11_AM grouping:off ","KW Issue Link")</f>
        <v>KW Issue Link</v>
      </c>
      <c r="O541" s="1" t="s">
        <v>291</v>
      </c>
    </row>
    <row r="542" spans="1:15" ht="60" x14ac:dyDescent="0.25">
      <c r="A542" s="1" t="s">
        <v>298</v>
      </c>
      <c r="B542" s="1" t="s">
        <v>299</v>
      </c>
      <c r="C542" s="1" t="s">
        <v>867</v>
      </c>
      <c r="D542" s="1">
        <v>55147</v>
      </c>
      <c r="E542" s="1">
        <v>1787</v>
      </c>
      <c r="F542" s="1" t="s">
        <v>899</v>
      </c>
      <c r="G542" s="1" t="s">
        <v>900</v>
      </c>
      <c r="H542" s="1" t="s">
        <v>141</v>
      </c>
      <c r="I542" s="1" t="s">
        <v>63</v>
      </c>
      <c r="J542" s="1">
        <v>1</v>
      </c>
      <c r="K542" s="1" t="s">
        <v>142</v>
      </c>
      <c r="L542" s="1" t="s">
        <v>177</v>
      </c>
      <c r="M542" s="1" t="s">
        <v>28</v>
      </c>
      <c r="N542" s="1" t="str">
        <f>HYPERLINK("https://klocwork.india.ti.com:443/review/insight-review.html#issuedetails_goto:problemid=55147,project=MCU_PLUS_SDK_AM263X,searchquery=taxonomy:'C and C++' build:Build_Apr_13_2023_11_11_AM grouping:off ","KW Issue Link")</f>
        <v>KW Issue Link</v>
      </c>
      <c r="O542" s="1" t="s">
        <v>291</v>
      </c>
    </row>
    <row r="543" spans="1:15" ht="60" x14ac:dyDescent="0.25">
      <c r="A543" s="1" t="s">
        <v>298</v>
      </c>
      <c r="B543" s="1" t="s">
        <v>299</v>
      </c>
      <c r="C543" s="1" t="s">
        <v>867</v>
      </c>
      <c r="D543" s="1">
        <v>55148</v>
      </c>
      <c r="E543" s="1">
        <v>1860</v>
      </c>
      <c r="F543" s="1" t="s">
        <v>901</v>
      </c>
      <c r="G543" s="1" t="s">
        <v>902</v>
      </c>
      <c r="H543" s="1" t="s">
        <v>141</v>
      </c>
      <c r="I543" s="1" t="s">
        <v>63</v>
      </c>
      <c r="J543" s="1">
        <v>1</v>
      </c>
      <c r="K543" s="1" t="s">
        <v>142</v>
      </c>
      <c r="L543" s="1" t="s">
        <v>177</v>
      </c>
      <c r="M543" s="1" t="s">
        <v>28</v>
      </c>
      <c r="N543" s="1" t="str">
        <f>HYPERLINK("https://klocwork.india.ti.com:443/review/insight-review.html#issuedetails_goto:problemid=55148,project=MCU_PLUS_SDK_AM263X,searchquery=taxonomy:'C and C++' build:Build_Apr_13_2023_11_11_AM grouping:off ","KW Issue Link")</f>
        <v>KW Issue Link</v>
      </c>
      <c r="O543" s="1" t="s">
        <v>291</v>
      </c>
    </row>
    <row r="544" spans="1:15" ht="60" x14ac:dyDescent="0.25">
      <c r="A544" s="1" t="s">
        <v>298</v>
      </c>
      <c r="B544" s="1" t="s">
        <v>299</v>
      </c>
      <c r="C544" s="1" t="s">
        <v>867</v>
      </c>
      <c r="D544" s="1">
        <v>55149</v>
      </c>
      <c r="E544" s="1">
        <v>1880</v>
      </c>
      <c r="F544" s="1" t="s">
        <v>903</v>
      </c>
      <c r="G544" s="1" t="s">
        <v>904</v>
      </c>
      <c r="H544" s="1" t="s">
        <v>141</v>
      </c>
      <c r="I544" s="1" t="s">
        <v>63</v>
      </c>
      <c r="J544" s="1">
        <v>1</v>
      </c>
      <c r="K544" s="1" t="s">
        <v>142</v>
      </c>
      <c r="L544" s="1" t="s">
        <v>177</v>
      </c>
      <c r="M544" s="1" t="s">
        <v>28</v>
      </c>
      <c r="N544" s="1" t="str">
        <f>HYPERLINK("https://klocwork.india.ti.com:443/review/insight-review.html#issuedetails_goto:problemid=55149,project=MCU_PLUS_SDK_AM263X,searchquery=taxonomy:'C and C++' build:Build_Apr_13_2023_11_11_AM grouping:off ","KW Issue Link")</f>
        <v>KW Issue Link</v>
      </c>
      <c r="O544" s="1" t="s">
        <v>291</v>
      </c>
    </row>
    <row r="545" spans="1:15" ht="60" x14ac:dyDescent="0.25">
      <c r="A545" s="1" t="s">
        <v>298</v>
      </c>
      <c r="B545" s="1" t="s">
        <v>299</v>
      </c>
      <c r="C545" s="1" t="s">
        <v>867</v>
      </c>
      <c r="D545" s="1">
        <v>55150</v>
      </c>
      <c r="E545" s="1">
        <v>2042</v>
      </c>
      <c r="F545" s="1" t="s">
        <v>905</v>
      </c>
      <c r="G545" s="1" t="s">
        <v>906</v>
      </c>
      <c r="H545" s="1" t="s">
        <v>141</v>
      </c>
      <c r="I545" s="1" t="s">
        <v>63</v>
      </c>
      <c r="J545" s="1">
        <v>1</v>
      </c>
      <c r="K545" s="1" t="s">
        <v>142</v>
      </c>
      <c r="L545" s="1" t="s">
        <v>177</v>
      </c>
      <c r="M545" s="1" t="s">
        <v>28</v>
      </c>
      <c r="N545" s="1" t="str">
        <f>HYPERLINK("https://klocwork.india.ti.com:443/review/insight-review.html#issuedetails_goto:problemid=55150,project=MCU_PLUS_SDK_AM263X,searchquery=taxonomy:'C and C++' build:Build_Apr_13_2023_11_11_AM grouping:off ","KW Issue Link")</f>
        <v>KW Issue Link</v>
      </c>
      <c r="O545" s="1" t="s">
        <v>291</v>
      </c>
    </row>
    <row r="546" spans="1:15" ht="60" x14ac:dyDescent="0.25">
      <c r="A546" s="1" t="s">
        <v>298</v>
      </c>
      <c r="B546" s="1" t="s">
        <v>299</v>
      </c>
      <c r="C546" s="1" t="s">
        <v>867</v>
      </c>
      <c r="D546" s="1">
        <v>55151</v>
      </c>
      <c r="E546" s="1">
        <v>2093</v>
      </c>
      <c r="F546" s="1" t="s">
        <v>907</v>
      </c>
      <c r="G546" s="1" t="s">
        <v>908</v>
      </c>
      <c r="H546" s="1" t="s">
        <v>141</v>
      </c>
      <c r="I546" s="1" t="s">
        <v>63</v>
      </c>
      <c r="J546" s="1">
        <v>1</v>
      </c>
      <c r="K546" s="1" t="s">
        <v>142</v>
      </c>
      <c r="L546" s="1" t="s">
        <v>177</v>
      </c>
      <c r="M546" s="1" t="s">
        <v>28</v>
      </c>
      <c r="N546" s="1" t="str">
        <f>HYPERLINK("https://klocwork.india.ti.com:443/review/insight-review.html#issuedetails_goto:problemid=55151,project=MCU_PLUS_SDK_AM263X,searchquery=taxonomy:'C and C++' build:Build_Apr_13_2023_11_11_AM grouping:off ","KW Issue Link")</f>
        <v>KW Issue Link</v>
      </c>
      <c r="O546" s="1" t="s">
        <v>291</v>
      </c>
    </row>
    <row r="547" spans="1:15" ht="60" x14ac:dyDescent="0.25">
      <c r="A547" s="1" t="s">
        <v>298</v>
      </c>
      <c r="B547" s="1" t="s">
        <v>299</v>
      </c>
      <c r="C547" s="1" t="s">
        <v>867</v>
      </c>
      <c r="D547" s="1">
        <v>55152</v>
      </c>
      <c r="E547" s="1">
        <v>2139</v>
      </c>
      <c r="F547" s="1" t="s">
        <v>909</v>
      </c>
      <c r="G547" s="1" t="s">
        <v>910</v>
      </c>
      <c r="H547" s="1" t="s">
        <v>141</v>
      </c>
      <c r="I547" s="1" t="s">
        <v>63</v>
      </c>
      <c r="J547" s="1">
        <v>1</v>
      </c>
      <c r="K547" s="1" t="s">
        <v>142</v>
      </c>
      <c r="L547" s="1" t="s">
        <v>177</v>
      </c>
      <c r="M547" s="1" t="s">
        <v>28</v>
      </c>
      <c r="N547" s="1" t="str">
        <f>HYPERLINK("https://klocwork.india.ti.com:443/review/insight-review.html#issuedetails_goto:problemid=55152,project=MCU_PLUS_SDK_AM263X,searchquery=taxonomy:'C and C++' build:Build_Apr_13_2023_11_11_AM grouping:off ","KW Issue Link")</f>
        <v>KW Issue Link</v>
      </c>
      <c r="O547" s="1" t="s">
        <v>291</v>
      </c>
    </row>
    <row r="548" spans="1:15" ht="75" x14ac:dyDescent="0.25">
      <c r="A548" s="1" t="s">
        <v>149</v>
      </c>
      <c r="B548" s="1"/>
      <c r="C548" s="1" t="s">
        <v>867</v>
      </c>
      <c r="D548" s="1">
        <v>55192</v>
      </c>
      <c r="E548" s="1">
        <v>1298</v>
      </c>
      <c r="F548" s="1" t="s">
        <v>835</v>
      </c>
      <c r="G548" s="1" t="s">
        <v>887</v>
      </c>
      <c r="H548" s="1" t="s">
        <v>141</v>
      </c>
      <c r="I548" s="1" t="s">
        <v>65</v>
      </c>
      <c r="J548" s="1">
        <v>3</v>
      </c>
      <c r="K548" s="1" t="s">
        <v>142</v>
      </c>
      <c r="L548" s="1" t="s">
        <v>153</v>
      </c>
      <c r="M548" s="1" t="s">
        <v>28</v>
      </c>
      <c r="N548" s="1" t="str">
        <f>HYPERLINK("https://klocwork.india.ti.com:443/review/insight-review.html#issuedetails_goto:problemid=55192,project=MCU_PLUS_SDK_AM263X,searchquery=taxonomy:'C and C++' build:Build_Apr_13_2023_11_11_AM grouping:off ","KW Issue Link")</f>
        <v>KW Issue Link</v>
      </c>
      <c r="O548" s="1" t="s">
        <v>291</v>
      </c>
    </row>
    <row r="549" spans="1:15" ht="60" x14ac:dyDescent="0.25">
      <c r="A549" s="1" t="s">
        <v>155</v>
      </c>
      <c r="B549" s="1"/>
      <c r="C549" s="1" t="s">
        <v>867</v>
      </c>
      <c r="D549" s="1">
        <v>55198</v>
      </c>
      <c r="E549" s="1">
        <v>1125</v>
      </c>
      <c r="F549" s="1" t="s">
        <v>156</v>
      </c>
      <c r="G549" s="1" t="s">
        <v>884</v>
      </c>
      <c r="H549" s="1" t="s">
        <v>141</v>
      </c>
      <c r="I549" s="1" t="s">
        <v>65</v>
      </c>
      <c r="J549" s="1">
        <v>3</v>
      </c>
      <c r="K549" s="1" t="s">
        <v>142</v>
      </c>
      <c r="L549" s="1" t="s">
        <v>153</v>
      </c>
      <c r="M549" s="1" t="s">
        <v>28</v>
      </c>
      <c r="N549" s="1" t="str">
        <f>HYPERLINK("https://klocwork.india.ti.com:443/review/insight-review.html#issuedetails_goto:problemid=55198,project=MCU_PLUS_SDK_AM263X,searchquery=taxonomy:'C and C++' build:Build_Apr_13_2023_11_11_AM grouping:off ","KW Issue Link")</f>
        <v>KW Issue Link</v>
      </c>
      <c r="O549" s="1" t="s">
        <v>291</v>
      </c>
    </row>
    <row r="550" spans="1:15" ht="60" x14ac:dyDescent="0.25">
      <c r="A550" s="1" t="s">
        <v>155</v>
      </c>
      <c r="B550" s="1"/>
      <c r="C550" s="1" t="s">
        <v>867</v>
      </c>
      <c r="D550" s="1">
        <v>55199</v>
      </c>
      <c r="E550" s="1">
        <v>2179</v>
      </c>
      <c r="F550" s="1" t="s">
        <v>156</v>
      </c>
      <c r="G550" s="1" t="s">
        <v>910</v>
      </c>
      <c r="H550" s="1" t="s">
        <v>141</v>
      </c>
      <c r="I550" s="1" t="s">
        <v>65</v>
      </c>
      <c r="J550" s="1">
        <v>3</v>
      </c>
      <c r="K550" s="1" t="s">
        <v>142</v>
      </c>
      <c r="L550" s="1" t="s">
        <v>153</v>
      </c>
      <c r="M550" s="1" t="s">
        <v>28</v>
      </c>
      <c r="N550" s="1" t="str">
        <f>HYPERLINK("https://klocwork.india.ti.com:443/review/insight-review.html#issuedetails_goto:problemid=55199,project=MCU_PLUS_SDK_AM263X,searchquery=taxonomy:'C and C++' build:Build_Apr_13_2023_11_11_AM grouping:off ","KW Issue Link")</f>
        <v>KW Issue Link</v>
      </c>
      <c r="O550" s="1" t="s">
        <v>291</v>
      </c>
    </row>
    <row r="551" spans="1:15" ht="120" x14ac:dyDescent="0.25">
      <c r="A551" s="1" t="s">
        <v>461</v>
      </c>
      <c r="B551" s="1" t="s">
        <v>299</v>
      </c>
      <c r="C551" s="1" t="s">
        <v>867</v>
      </c>
      <c r="D551" s="1">
        <v>55208</v>
      </c>
      <c r="E551" s="1">
        <v>1608</v>
      </c>
      <c r="F551" s="1" t="s">
        <v>911</v>
      </c>
      <c r="G551" s="1" t="s">
        <v>874</v>
      </c>
      <c r="H551" s="1" t="s">
        <v>141</v>
      </c>
      <c r="I551" s="1" t="s">
        <v>63</v>
      </c>
      <c r="J551" s="1">
        <v>1</v>
      </c>
      <c r="K551" s="1" t="s">
        <v>142</v>
      </c>
      <c r="L551" s="1" t="s">
        <v>177</v>
      </c>
      <c r="M551" s="1" t="s">
        <v>28</v>
      </c>
      <c r="N551" s="1" t="str">
        <f>HYPERLINK("https://klocwork.india.ti.com:443/review/insight-review.html#issuedetails_goto:problemid=55208,project=MCU_PLUS_SDK_AM263X,searchquery=taxonomy:'C and C++' build:Build_Apr_13_2023_11_11_AM grouping:off ","KW Issue Link")</f>
        <v>KW Issue Link</v>
      </c>
      <c r="O551" s="1" t="s">
        <v>291</v>
      </c>
    </row>
    <row r="552" spans="1:15" ht="135" x14ac:dyDescent="0.25">
      <c r="A552" s="1" t="s">
        <v>461</v>
      </c>
      <c r="B552" s="1" t="s">
        <v>299</v>
      </c>
      <c r="C552" s="1" t="s">
        <v>867</v>
      </c>
      <c r="D552" s="1">
        <v>55209</v>
      </c>
      <c r="E552" s="1">
        <v>2009</v>
      </c>
      <c r="F552" s="1" t="s">
        <v>912</v>
      </c>
      <c r="G552" s="1" t="s">
        <v>913</v>
      </c>
      <c r="H552" s="1" t="s">
        <v>141</v>
      </c>
      <c r="I552" s="1" t="s">
        <v>63</v>
      </c>
      <c r="J552" s="1">
        <v>1</v>
      </c>
      <c r="K552" s="1" t="s">
        <v>142</v>
      </c>
      <c r="L552" s="1" t="s">
        <v>177</v>
      </c>
      <c r="M552" s="1" t="s">
        <v>28</v>
      </c>
      <c r="N552" s="1" t="str">
        <f>HYPERLINK("https://klocwork.india.ti.com:443/review/insight-review.html#issuedetails_goto:problemid=55209,project=MCU_PLUS_SDK_AM263X,searchquery=taxonomy:'C and C++' build:Build_Apr_13_2023_11_11_AM grouping:off ","KW Issue Link")</f>
        <v>KW Issue Link</v>
      </c>
      <c r="O552" s="1" t="s">
        <v>291</v>
      </c>
    </row>
    <row r="553" spans="1:15" ht="135" x14ac:dyDescent="0.25">
      <c r="A553" s="1" t="s">
        <v>461</v>
      </c>
      <c r="B553" s="1" t="s">
        <v>299</v>
      </c>
      <c r="C553" s="1" t="s">
        <v>867</v>
      </c>
      <c r="D553" s="1">
        <v>55210</v>
      </c>
      <c r="E553" s="1">
        <v>2009</v>
      </c>
      <c r="F553" s="1" t="s">
        <v>914</v>
      </c>
      <c r="G553" s="1" t="s">
        <v>913</v>
      </c>
      <c r="H553" s="1" t="s">
        <v>141</v>
      </c>
      <c r="I553" s="1" t="s">
        <v>63</v>
      </c>
      <c r="J553" s="1">
        <v>1</v>
      </c>
      <c r="K553" s="1" t="s">
        <v>142</v>
      </c>
      <c r="L553" s="1" t="s">
        <v>177</v>
      </c>
      <c r="M553" s="1" t="s">
        <v>28</v>
      </c>
      <c r="N553" s="1" t="str">
        <f>HYPERLINK("https://klocwork.india.ti.com:443/review/insight-review.html#issuedetails_goto:problemid=55210,project=MCU_PLUS_SDK_AM263X,searchquery=taxonomy:'C and C++' build:Build_Apr_13_2023_11_11_AM grouping:off ","KW Issue Link")</f>
        <v>KW Issue Link</v>
      </c>
      <c r="O553" s="1" t="s">
        <v>291</v>
      </c>
    </row>
    <row r="554" spans="1:15" ht="75" x14ac:dyDescent="0.25">
      <c r="A554" s="1" t="s">
        <v>145</v>
      </c>
      <c r="B554" s="1" t="s">
        <v>299</v>
      </c>
      <c r="C554" s="1" t="s">
        <v>915</v>
      </c>
      <c r="D554" s="1">
        <v>55223</v>
      </c>
      <c r="E554" s="1">
        <v>62</v>
      </c>
      <c r="F554" s="1" t="s">
        <v>147</v>
      </c>
      <c r="G554" s="1" t="s">
        <v>916</v>
      </c>
      <c r="H554" s="1" t="s">
        <v>141</v>
      </c>
      <c r="I554" s="1" t="s">
        <v>64</v>
      </c>
      <c r="J554" s="1">
        <v>2</v>
      </c>
      <c r="K554" s="1" t="s">
        <v>142</v>
      </c>
      <c r="L554" s="1" t="s">
        <v>177</v>
      </c>
      <c r="M554" s="1" t="s">
        <v>28</v>
      </c>
      <c r="N554" s="1" t="str">
        <f>HYPERLINK("https://klocwork.india.ti.com:443/review/insight-review.html#issuedetails_goto:problemid=55223,project=MCU_PLUS_SDK_AM263X,searchquery=taxonomy:'C and C++' build:Build_Apr_13_2023_11_11_AM grouping:off ","KW Issue Link")</f>
        <v>KW Issue Link</v>
      </c>
      <c r="O554" s="1" t="s">
        <v>353</v>
      </c>
    </row>
    <row r="555" spans="1:15" ht="75" x14ac:dyDescent="0.25">
      <c r="A555" s="1" t="s">
        <v>136</v>
      </c>
      <c r="B555" s="1"/>
      <c r="C555" s="1" t="s">
        <v>915</v>
      </c>
      <c r="D555" s="1">
        <v>55227</v>
      </c>
      <c r="E555" s="1">
        <v>77</v>
      </c>
      <c r="F555" s="1" t="s">
        <v>699</v>
      </c>
      <c r="G555" s="1" t="s">
        <v>916</v>
      </c>
      <c r="H555" s="1" t="s">
        <v>141</v>
      </c>
      <c r="I555" s="1" t="s">
        <v>66</v>
      </c>
      <c r="J555" s="1">
        <v>4</v>
      </c>
      <c r="K555" s="1" t="s">
        <v>142</v>
      </c>
      <c r="L555" s="1" t="s">
        <v>153</v>
      </c>
      <c r="M555" s="1" t="s">
        <v>28</v>
      </c>
      <c r="N555" s="1" t="str">
        <f>HYPERLINK("https://klocwork.india.ti.com:443/review/insight-review.html#issuedetails_goto:problemid=55227,project=MCU_PLUS_SDK_AM263X,searchquery=taxonomy:'C and C++' build:Build_Apr_13_2023_11_11_AM grouping:off ","KW Issue Link")</f>
        <v>KW Issue Link</v>
      </c>
      <c r="O555" s="1" t="s">
        <v>353</v>
      </c>
    </row>
    <row r="556" spans="1:15" ht="75" x14ac:dyDescent="0.25">
      <c r="A556" s="1" t="s">
        <v>302</v>
      </c>
      <c r="B556" s="1" t="s">
        <v>299</v>
      </c>
      <c r="C556" s="1" t="s">
        <v>917</v>
      </c>
      <c r="D556" s="1">
        <v>55266</v>
      </c>
      <c r="E556" s="1">
        <v>204</v>
      </c>
      <c r="F556" s="1" t="s">
        <v>918</v>
      </c>
      <c r="G556" s="1" t="s">
        <v>919</v>
      </c>
      <c r="H556" s="1" t="s">
        <v>141</v>
      </c>
      <c r="I556" s="1" t="s">
        <v>63</v>
      </c>
      <c r="J556" s="1">
        <v>1</v>
      </c>
      <c r="K556" s="1" t="s">
        <v>142</v>
      </c>
      <c r="L556" s="1" t="s">
        <v>177</v>
      </c>
      <c r="M556" s="1" t="s">
        <v>28</v>
      </c>
      <c r="N556" s="1" t="str">
        <f>HYPERLINK("https://klocwork.india.ti.com:443/review/insight-review.html#issuedetails_goto:problemid=55266,project=MCU_PLUS_SDK_AM263X,searchquery=taxonomy:'C and C++' build:Build_Apr_13_2023_11_11_AM grouping:off ","KW Issue Link")</f>
        <v>KW Issue Link</v>
      </c>
      <c r="O556" s="1" t="s">
        <v>353</v>
      </c>
    </row>
    <row r="557" spans="1:15" ht="75" x14ac:dyDescent="0.25">
      <c r="A557" s="1" t="s">
        <v>302</v>
      </c>
      <c r="B557" s="1" t="s">
        <v>299</v>
      </c>
      <c r="C557" s="1" t="s">
        <v>917</v>
      </c>
      <c r="D557" s="1">
        <v>55267</v>
      </c>
      <c r="E557" s="1">
        <v>220</v>
      </c>
      <c r="F557" s="1" t="s">
        <v>920</v>
      </c>
      <c r="G557" s="1" t="s">
        <v>919</v>
      </c>
      <c r="H557" s="1" t="s">
        <v>141</v>
      </c>
      <c r="I557" s="1" t="s">
        <v>63</v>
      </c>
      <c r="J557" s="1">
        <v>1</v>
      </c>
      <c r="K557" s="1" t="s">
        <v>142</v>
      </c>
      <c r="L557" s="1" t="s">
        <v>177</v>
      </c>
      <c r="M557" s="1" t="s">
        <v>28</v>
      </c>
      <c r="N557" s="1" t="str">
        <f>HYPERLINK("https://klocwork.india.ti.com:443/review/insight-review.html#issuedetails_goto:problemid=55267,project=MCU_PLUS_SDK_AM263X,searchquery=taxonomy:'C and C++' build:Build_Apr_13_2023_11_11_AM grouping:off ","KW Issue Link")</f>
        <v>KW Issue Link</v>
      </c>
      <c r="O557" s="1" t="s">
        <v>353</v>
      </c>
    </row>
    <row r="558" spans="1:15" ht="75" x14ac:dyDescent="0.25">
      <c r="A558" s="1" t="s">
        <v>157</v>
      </c>
      <c r="B558" s="1"/>
      <c r="C558" s="1" t="s">
        <v>917</v>
      </c>
      <c r="D558" s="1">
        <v>55268</v>
      </c>
      <c r="E558" s="1">
        <v>215</v>
      </c>
      <c r="F558" s="1" t="s">
        <v>921</v>
      </c>
      <c r="G558" s="1" t="s">
        <v>919</v>
      </c>
      <c r="H558" s="1" t="s">
        <v>141</v>
      </c>
      <c r="I558" s="1" t="s">
        <v>65</v>
      </c>
      <c r="J558" s="1">
        <v>3</v>
      </c>
      <c r="K558" s="1" t="s">
        <v>142</v>
      </c>
      <c r="L558" s="1" t="s">
        <v>153</v>
      </c>
      <c r="M558" s="1" t="s">
        <v>28</v>
      </c>
      <c r="N558" s="1" t="str">
        <f>HYPERLINK("https://klocwork.india.ti.com:443/review/insight-review.html#issuedetails_goto:problemid=55268,project=MCU_PLUS_SDK_AM263X,searchquery=taxonomy:'C and C++' build:Build_Apr_13_2023_11_11_AM grouping:off ","KW Issue Link")</f>
        <v>KW Issue Link</v>
      </c>
      <c r="O558" s="1" t="s">
        <v>353</v>
      </c>
    </row>
    <row r="559" spans="1:15" ht="60" x14ac:dyDescent="0.25">
      <c r="A559" s="1" t="s">
        <v>145</v>
      </c>
      <c r="B559" s="1" t="s">
        <v>299</v>
      </c>
      <c r="C559" s="1" t="s">
        <v>922</v>
      </c>
      <c r="D559" s="1">
        <v>55308</v>
      </c>
      <c r="E559" s="1">
        <v>139</v>
      </c>
      <c r="F559" s="1" t="s">
        <v>147</v>
      </c>
      <c r="G559" s="1" t="s">
        <v>923</v>
      </c>
      <c r="H559" s="1" t="s">
        <v>141</v>
      </c>
      <c r="I559" s="1" t="s">
        <v>64</v>
      </c>
      <c r="J559" s="1">
        <v>2</v>
      </c>
      <c r="K559" s="1" t="s">
        <v>142</v>
      </c>
      <c r="L559" s="1" t="s">
        <v>177</v>
      </c>
      <c r="M559" s="1" t="s">
        <v>28</v>
      </c>
      <c r="N559" s="1" t="str">
        <f>HYPERLINK("https://klocwork.india.ti.com:443/review/insight-review.html#issuedetails_goto:problemid=55308,project=MCU_PLUS_SDK_AM263X,searchquery=taxonomy:'C and C++' build:Build_Apr_13_2023_11_11_AM grouping:off ","KW Issue Link")</f>
        <v>KW Issue Link</v>
      </c>
      <c r="O559" s="1" t="s">
        <v>291</v>
      </c>
    </row>
    <row r="560" spans="1:15" ht="60" x14ac:dyDescent="0.25">
      <c r="A560" s="1" t="s">
        <v>155</v>
      </c>
      <c r="B560" s="1"/>
      <c r="C560" s="1" t="s">
        <v>922</v>
      </c>
      <c r="D560" s="1">
        <v>55350</v>
      </c>
      <c r="E560" s="1">
        <v>206</v>
      </c>
      <c r="F560" s="1" t="s">
        <v>156</v>
      </c>
      <c r="G560" s="1" t="s">
        <v>924</v>
      </c>
      <c r="H560" s="1" t="s">
        <v>141</v>
      </c>
      <c r="I560" s="1" t="s">
        <v>65</v>
      </c>
      <c r="J560" s="1">
        <v>3</v>
      </c>
      <c r="K560" s="1" t="s">
        <v>142</v>
      </c>
      <c r="L560" s="1" t="s">
        <v>153</v>
      </c>
      <c r="M560" s="1" t="s">
        <v>28</v>
      </c>
      <c r="N560" s="1" t="str">
        <f>HYPERLINK("https://klocwork.india.ti.com:443/review/insight-review.html#issuedetails_goto:problemid=55350,project=MCU_PLUS_SDK_AM263X,searchquery=taxonomy:'C and C++' build:Build_Apr_13_2023_11_11_AM grouping:off ","KW Issue Link")</f>
        <v>KW Issue Link</v>
      </c>
      <c r="O560" s="1" t="s">
        <v>291</v>
      </c>
    </row>
    <row r="561" spans="1:15" ht="60" x14ac:dyDescent="0.25">
      <c r="A561" s="1" t="s">
        <v>155</v>
      </c>
      <c r="B561" s="1"/>
      <c r="C561" s="1" t="s">
        <v>922</v>
      </c>
      <c r="D561" s="1">
        <v>55351</v>
      </c>
      <c r="E561" s="1">
        <v>206</v>
      </c>
      <c r="F561" s="1" t="s">
        <v>156</v>
      </c>
      <c r="G561" s="1" t="s">
        <v>924</v>
      </c>
      <c r="H561" s="1" t="s">
        <v>141</v>
      </c>
      <c r="I561" s="1" t="s">
        <v>65</v>
      </c>
      <c r="J561" s="1">
        <v>3</v>
      </c>
      <c r="K561" s="1" t="s">
        <v>142</v>
      </c>
      <c r="L561" s="1" t="s">
        <v>153</v>
      </c>
      <c r="M561" s="1" t="s">
        <v>28</v>
      </c>
      <c r="N561" s="1" t="str">
        <f>HYPERLINK("https://klocwork.india.ti.com:443/review/insight-review.html#issuedetails_goto:problemid=55351,project=MCU_PLUS_SDK_AM263X,searchquery=taxonomy:'C and C++' build:Build_Apr_13_2023_11_11_AM grouping:off ","KW Issue Link")</f>
        <v>KW Issue Link</v>
      </c>
      <c r="O561" s="1" t="s">
        <v>291</v>
      </c>
    </row>
    <row r="562" spans="1:15" ht="60" x14ac:dyDescent="0.25">
      <c r="A562" s="1" t="s">
        <v>155</v>
      </c>
      <c r="B562" s="1"/>
      <c r="C562" s="1" t="s">
        <v>922</v>
      </c>
      <c r="D562" s="1">
        <v>55352</v>
      </c>
      <c r="E562" s="1">
        <v>207</v>
      </c>
      <c r="F562" s="1" t="s">
        <v>156</v>
      </c>
      <c r="G562" s="1" t="s">
        <v>924</v>
      </c>
      <c r="H562" s="1" t="s">
        <v>141</v>
      </c>
      <c r="I562" s="1" t="s">
        <v>65</v>
      </c>
      <c r="J562" s="1">
        <v>3</v>
      </c>
      <c r="K562" s="1" t="s">
        <v>142</v>
      </c>
      <c r="L562" s="1" t="s">
        <v>153</v>
      </c>
      <c r="M562" s="1" t="s">
        <v>28</v>
      </c>
      <c r="N562" s="1" t="str">
        <f>HYPERLINK("https://klocwork.india.ti.com:443/review/insight-review.html#issuedetails_goto:problemid=55352,project=MCU_PLUS_SDK_AM263X,searchquery=taxonomy:'C and C++' build:Build_Apr_13_2023_11_11_AM grouping:off ","KW Issue Link")</f>
        <v>KW Issue Link</v>
      </c>
      <c r="O562" s="1" t="s">
        <v>291</v>
      </c>
    </row>
    <row r="563" spans="1:15" ht="75" x14ac:dyDescent="0.25">
      <c r="A563" s="1" t="s">
        <v>155</v>
      </c>
      <c r="B563" s="1"/>
      <c r="C563" s="1" t="s">
        <v>925</v>
      </c>
      <c r="D563" s="1">
        <v>55533</v>
      </c>
      <c r="E563" s="1">
        <v>264</v>
      </c>
      <c r="F563" s="1" t="s">
        <v>156</v>
      </c>
      <c r="G563" s="1" t="s">
        <v>926</v>
      </c>
      <c r="H563" s="1" t="s">
        <v>141</v>
      </c>
      <c r="I563" s="1" t="s">
        <v>65</v>
      </c>
      <c r="J563" s="1">
        <v>3</v>
      </c>
      <c r="K563" s="1" t="s">
        <v>142</v>
      </c>
      <c r="L563" s="1" t="s">
        <v>153</v>
      </c>
      <c r="M563" s="1" t="s">
        <v>28</v>
      </c>
      <c r="N563" s="1" t="str">
        <f>HYPERLINK("https://klocwork.india.ti.com:443/review/insight-review.html#issuedetails_goto:problemid=55533,project=MCU_PLUS_SDK_AM263X,searchquery=taxonomy:'C and C++' build:Build_Apr_13_2023_11_11_AM grouping:off ","KW Issue Link")</f>
        <v>KW Issue Link</v>
      </c>
      <c r="O563" s="1" t="s">
        <v>291</v>
      </c>
    </row>
    <row r="564" spans="1:15" ht="75" x14ac:dyDescent="0.25">
      <c r="A564" s="1" t="s">
        <v>157</v>
      </c>
      <c r="B564" s="1"/>
      <c r="C564" s="1" t="s">
        <v>927</v>
      </c>
      <c r="D564" s="1">
        <v>55583</v>
      </c>
      <c r="E564" s="1">
        <v>395</v>
      </c>
      <c r="F564" s="1" t="s">
        <v>708</v>
      </c>
      <c r="G564" s="1" t="s">
        <v>928</v>
      </c>
      <c r="H564" s="1" t="s">
        <v>141</v>
      </c>
      <c r="I564" s="1" t="s">
        <v>65</v>
      </c>
      <c r="J564" s="1">
        <v>3</v>
      </c>
      <c r="K564" s="1" t="s">
        <v>142</v>
      </c>
      <c r="L564" s="1" t="s">
        <v>153</v>
      </c>
      <c r="M564" s="1" t="s">
        <v>28</v>
      </c>
      <c r="N564" s="1" t="str">
        <f>HYPERLINK("https://klocwork.india.ti.com:443/review/insight-review.html#issuedetails_goto:problemid=55583,project=MCU_PLUS_SDK_AM263X,searchquery=taxonomy:'C and C++' build:Build_Apr_13_2023_11_11_AM grouping:off ","KW Issue Link")</f>
        <v>KW Issue Link</v>
      </c>
      <c r="O564" s="1" t="s">
        <v>291</v>
      </c>
    </row>
    <row r="565" spans="1:15" ht="60" x14ac:dyDescent="0.25">
      <c r="A565" s="1" t="s">
        <v>298</v>
      </c>
      <c r="B565" s="1" t="s">
        <v>299</v>
      </c>
      <c r="C565" s="1" t="s">
        <v>929</v>
      </c>
      <c r="D565" s="1">
        <v>55851</v>
      </c>
      <c r="E565" s="1">
        <v>139</v>
      </c>
      <c r="F565" s="1" t="s">
        <v>930</v>
      </c>
      <c r="G565" s="1" t="s">
        <v>931</v>
      </c>
      <c r="H565" s="1" t="s">
        <v>141</v>
      </c>
      <c r="I565" s="1" t="s">
        <v>63</v>
      </c>
      <c r="J565" s="1">
        <v>1</v>
      </c>
      <c r="K565" s="1" t="s">
        <v>142</v>
      </c>
      <c r="L565" s="1" t="s">
        <v>177</v>
      </c>
      <c r="M565" s="1" t="s">
        <v>28</v>
      </c>
      <c r="N565" s="1" t="str">
        <f>HYPERLINK("https://klocwork.india.ti.com:443/review/insight-review.html#issuedetails_goto:problemid=55851,project=MCU_PLUS_SDK_AM263X,searchquery=taxonomy:'C and C++' build:Build_Apr_13_2023_11_11_AM grouping:off ","KW Issue Link")</f>
        <v>KW Issue Link</v>
      </c>
      <c r="O565" s="1" t="s">
        <v>291</v>
      </c>
    </row>
    <row r="566" spans="1:15" ht="60" x14ac:dyDescent="0.25">
      <c r="A566" s="1" t="s">
        <v>298</v>
      </c>
      <c r="B566" s="1" t="s">
        <v>299</v>
      </c>
      <c r="C566" s="1" t="s">
        <v>929</v>
      </c>
      <c r="D566" s="1">
        <v>55852</v>
      </c>
      <c r="E566" s="1">
        <v>215</v>
      </c>
      <c r="F566" s="1" t="s">
        <v>932</v>
      </c>
      <c r="G566" s="1" t="s">
        <v>933</v>
      </c>
      <c r="H566" s="1" t="s">
        <v>141</v>
      </c>
      <c r="I566" s="1" t="s">
        <v>63</v>
      </c>
      <c r="J566" s="1">
        <v>1</v>
      </c>
      <c r="K566" s="1" t="s">
        <v>142</v>
      </c>
      <c r="L566" s="1" t="s">
        <v>177</v>
      </c>
      <c r="M566" s="1" t="s">
        <v>28</v>
      </c>
      <c r="N566" s="1" t="str">
        <f>HYPERLINK("https://klocwork.india.ti.com:443/review/insight-review.html#issuedetails_goto:problemid=55852,project=MCU_PLUS_SDK_AM263X,searchquery=taxonomy:'C and C++' build:Build_Apr_13_2023_11_11_AM grouping:off ","KW Issue Link")</f>
        <v>KW Issue Link</v>
      </c>
      <c r="O566" s="1" t="s">
        <v>291</v>
      </c>
    </row>
    <row r="567" spans="1:15" ht="60" x14ac:dyDescent="0.25">
      <c r="A567" s="1" t="s">
        <v>302</v>
      </c>
      <c r="B567" s="1" t="s">
        <v>299</v>
      </c>
      <c r="C567" s="1" t="s">
        <v>929</v>
      </c>
      <c r="D567" s="1">
        <v>55871</v>
      </c>
      <c r="E567" s="1">
        <v>166</v>
      </c>
      <c r="F567" s="1" t="s">
        <v>934</v>
      </c>
      <c r="G567" s="1" t="s">
        <v>931</v>
      </c>
      <c r="H567" s="1" t="s">
        <v>141</v>
      </c>
      <c r="I567" s="1" t="s">
        <v>63</v>
      </c>
      <c r="J567" s="1">
        <v>1</v>
      </c>
      <c r="K567" s="1" t="s">
        <v>142</v>
      </c>
      <c r="L567" s="1" t="s">
        <v>177</v>
      </c>
      <c r="M567" s="1" t="s">
        <v>28</v>
      </c>
      <c r="N567" s="1" t="str">
        <f>HYPERLINK("https://klocwork.india.ti.com:443/review/insight-review.html#issuedetails_goto:problemid=55871,project=MCU_PLUS_SDK_AM263X,searchquery=taxonomy:'C and C++' build:Build_Apr_13_2023_11_11_AM grouping:off ","KW Issue Link")</f>
        <v>KW Issue Link</v>
      </c>
      <c r="O567" s="1" t="s">
        <v>291</v>
      </c>
    </row>
    <row r="568" spans="1:15" ht="60" x14ac:dyDescent="0.25">
      <c r="A568" s="1" t="s">
        <v>302</v>
      </c>
      <c r="B568" s="1" t="s">
        <v>299</v>
      </c>
      <c r="C568" s="1" t="s">
        <v>929</v>
      </c>
      <c r="D568" s="1">
        <v>55872</v>
      </c>
      <c r="E568" s="1">
        <v>271</v>
      </c>
      <c r="F568" s="1" t="s">
        <v>935</v>
      </c>
      <c r="G568" s="1" t="s">
        <v>933</v>
      </c>
      <c r="H568" s="1" t="s">
        <v>141</v>
      </c>
      <c r="I568" s="1" t="s">
        <v>63</v>
      </c>
      <c r="J568" s="1">
        <v>1</v>
      </c>
      <c r="K568" s="1" t="s">
        <v>142</v>
      </c>
      <c r="L568" s="1" t="s">
        <v>177</v>
      </c>
      <c r="M568" s="1" t="s">
        <v>28</v>
      </c>
      <c r="N568" s="1" t="str">
        <f>HYPERLINK("https://klocwork.india.ti.com:443/review/insight-review.html#issuedetails_goto:problemid=55872,project=MCU_PLUS_SDK_AM263X,searchquery=taxonomy:'C and C++' build:Build_Apr_13_2023_11_11_AM grouping:off ","KW Issue Link")</f>
        <v>KW Issue Link</v>
      </c>
      <c r="O568" s="1" t="s">
        <v>291</v>
      </c>
    </row>
    <row r="569" spans="1:15" ht="60" x14ac:dyDescent="0.25">
      <c r="A569" s="1" t="s">
        <v>302</v>
      </c>
      <c r="B569" s="1" t="s">
        <v>299</v>
      </c>
      <c r="C569" s="1" t="s">
        <v>929</v>
      </c>
      <c r="D569" s="1">
        <v>55873</v>
      </c>
      <c r="E569" s="1">
        <v>324</v>
      </c>
      <c r="F569" s="1" t="s">
        <v>936</v>
      </c>
      <c r="G569" s="1" t="s">
        <v>933</v>
      </c>
      <c r="H569" s="1" t="s">
        <v>141</v>
      </c>
      <c r="I569" s="1" t="s">
        <v>63</v>
      </c>
      <c r="J569" s="1">
        <v>1</v>
      </c>
      <c r="K569" s="1" t="s">
        <v>142</v>
      </c>
      <c r="L569" s="1" t="s">
        <v>177</v>
      </c>
      <c r="M569" s="1" t="s">
        <v>28</v>
      </c>
      <c r="N569" s="1" t="str">
        <f>HYPERLINK("https://klocwork.india.ti.com:443/review/insight-review.html#issuedetails_goto:problemid=55873,project=MCU_PLUS_SDK_AM263X,searchquery=taxonomy:'C and C++' build:Build_Apr_13_2023_11_11_AM grouping:off ","KW Issue Link")</f>
        <v>KW Issue Link</v>
      </c>
      <c r="O569" s="1" t="s">
        <v>291</v>
      </c>
    </row>
    <row r="570" spans="1:15" ht="60" x14ac:dyDescent="0.25">
      <c r="A570" s="1" t="s">
        <v>136</v>
      </c>
      <c r="B570" s="1"/>
      <c r="C570" s="1" t="s">
        <v>929</v>
      </c>
      <c r="D570" s="1">
        <v>56026</v>
      </c>
      <c r="E570" s="1">
        <v>246</v>
      </c>
      <c r="F570" s="1" t="s">
        <v>533</v>
      </c>
      <c r="G570" s="1" t="s">
        <v>933</v>
      </c>
      <c r="H570" s="1" t="s">
        <v>141</v>
      </c>
      <c r="I570" s="1" t="s">
        <v>66</v>
      </c>
      <c r="J570" s="1">
        <v>4</v>
      </c>
      <c r="K570" s="1" t="s">
        <v>142</v>
      </c>
      <c r="L570" s="1" t="s">
        <v>153</v>
      </c>
      <c r="M570" s="1" t="s">
        <v>28</v>
      </c>
      <c r="N570" s="1" t="str">
        <f>HYPERLINK("https://klocwork.india.ti.com:443/review/insight-review.html#issuedetails_goto:problemid=56026,project=MCU_PLUS_SDK_AM263X,searchquery=taxonomy:'C and C++' build:Build_Apr_13_2023_11_11_AM grouping:off ","KW Issue Link")</f>
        <v>KW Issue Link</v>
      </c>
      <c r="O570" s="1" t="s">
        <v>291</v>
      </c>
    </row>
    <row r="571" spans="1:15" ht="60" x14ac:dyDescent="0.25">
      <c r="A571" s="1" t="s">
        <v>136</v>
      </c>
      <c r="B571" s="1"/>
      <c r="C571" s="1" t="s">
        <v>929</v>
      </c>
      <c r="D571" s="1">
        <v>56028</v>
      </c>
      <c r="E571" s="1">
        <v>903</v>
      </c>
      <c r="F571" s="1" t="s">
        <v>937</v>
      </c>
      <c r="G571" s="1" t="s">
        <v>938</v>
      </c>
      <c r="H571" s="1" t="s">
        <v>141</v>
      </c>
      <c r="I571" s="1" t="s">
        <v>66</v>
      </c>
      <c r="J571" s="1">
        <v>4</v>
      </c>
      <c r="K571" s="1" t="s">
        <v>142</v>
      </c>
      <c r="L571" s="1" t="s">
        <v>153</v>
      </c>
      <c r="M571" s="1" t="s">
        <v>28</v>
      </c>
      <c r="N571" s="1" t="str">
        <f>HYPERLINK("https://klocwork.india.ti.com:443/review/insight-review.html#issuedetails_goto:problemid=56028,project=MCU_PLUS_SDK_AM263X,searchquery=taxonomy:'C and C++' build:Build_Apr_13_2023_11_11_AM grouping:off ","KW Issue Link")</f>
        <v>KW Issue Link</v>
      </c>
      <c r="O571" s="1" t="s">
        <v>291</v>
      </c>
    </row>
    <row r="572" spans="1:15" ht="120" x14ac:dyDescent="0.25">
      <c r="A572" s="1" t="s">
        <v>461</v>
      </c>
      <c r="B572" s="1" t="s">
        <v>299</v>
      </c>
      <c r="C572" s="1" t="s">
        <v>929</v>
      </c>
      <c r="D572" s="1">
        <v>56029</v>
      </c>
      <c r="E572" s="1">
        <v>263</v>
      </c>
      <c r="F572" s="1" t="s">
        <v>939</v>
      </c>
      <c r="G572" s="1" t="s">
        <v>933</v>
      </c>
      <c r="H572" s="1" t="s">
        <v>141</v>
      </c>
      <c r="I572" s="1" t="s">
        <v>63</v>
      </c>
      <c r="J572" s="1">
        <v>1</v>
      </c>
      <c r="K572" s="1" t="s">
        <v>142</v>
      </c>
      <c r="L572" s="1" t="s">
        <v>177</v>
      </c>
      <c r="M572" s="1" t="s">
        <v>28</v>
      </c>
      <c r="N572" s="1" t="str">
        <f>HYPERLINK("https://klocwork.india.ti.com:443/review/insight-review.html#issuedetails_goto:problemid=56029,project=MCU_PLUS_SDK_AM263X,searchquery=taxonomy:'C and C++' build:Build_Apr_13_2023_11_11_AM grouping:off ","KW Issue Link")</f>
        <v>KW Issue Link</v>
      </c>
      <c r="O572" s="1" t="s">
        <v>291</v>
      </c>
    </row>
    <row r="573" spans="1:15" ht="60" x14ac:dyDescent="0.25">
      <c r="A573" s="1" t="s">
        <v>157</v>
      </c>
      <c r="B573" s="1"/>
      <c r="C573" s="1" t="s">
        <v>929</v>
      </c>
      <c r="D573" s="1">
        <v>56030</v>
      </c>
      <c r="E573" s="1">
        <v>271</v>
      </c>
      <c r="F573" s="1" t="s">
        <v>620</v>
      </c>
      <c r="G573" s="1" t="s">
        <v>933</v>
      </c>
      <c r="H573" s="1" t="s">
        <v>141</v>
      </c>
      <c r="I573" s="1" t="s">
        <v>65</v>
      </c>
      <c r="J573" s="1">
        <v>3</v>
      </c>
      <c r="K573" s="1" t="s">
        <v>142</v>
      </c>
      <c r="L573" s="1" t="s">
        <v>153</v>
      </c>
      <c r="M573" s="1" t="s">
        <v>28</v>
      </c>
      <c r="N573" s="1" t="str">
        <f>HYPERLINK("https://klocwork.india.ti.com:443/review/insight-review.html#issuedetails_goto:problemid=56030,project=MCU_PLUS_SDK_AM263X,searchquery=taxonomy:'C and C++' build:Build_Apr_13_2023_11_11_AM grouping:off ","KW Issue Link")</f>
        <v>KW Issue Link</v>
      </c>
      <c r="O573" s="1" t="s">
        <v>291</v>
      </c>
    </row>
    <row r="574" spans="1:15" ht="60" x14ac:dyDescent="0.25">
      <c r="A574" s="1" t="s">
        <v>157</v>
      </c>
      <c r="B574" s="1"/>
      <c r="C574" s="1" t="s">
        <v>929</v>
      </c>
      <c r="D574" s="1">
        <v>56031</v>
      </c>
      <c r="E574" s="1">
        <v>323</v>
      </c>
      <c r="F574" s="1" t="s">
        <v>386</v>
      </c>
      <c r="G574" s="1" t="s">
        <v>933</v>
      </c>
      <c r="H574" s="1" t="s">
        <v>141</v>
      </c>
      <c r="I574" s="1" t="s">
        <v>65</v>
      </c>
      <c r="J574" s="1">
        <v>3</v>
      </c>
      <c r="K574" s="1" t="s">
        <v>142</v>
      </c>
      <c r="L574" s="1" t="s">
        <v>153</v>
      </c>
      <c r="M574" s="1" t="s">
        <v>28</v>
      </c>
      <c r="N574" s="1" t="str">
        <f>HYPERLINK("https://klocwork.india.ti.com:443/review/insight-review.html#issuedetails_goto:problemid=56031,project=MCU_PLUS_SDK_AM263X,searchquery=taxonomy:'C and C++' build:Build_Apr_13_2023_11_11_AM grouping:off ","KW Issue Link")</f>
        <v>KW Issue Link</v>
      </c>
      <c r="O574" s="1" t="s">
        <v>291</v>
      </c>
    </row>
    <row r="575" spans="1:15" ht="75" x14ac:dyDescent="0.25">
      <c r="A575" s="1" t="s">
        <v>157</v>
      </c>
      <c r="B575" s="1"/>
      <c r="C575" s="1" t="s">
        <v>929</v>
      </c>
      <c r="D575" s="1">
        <v>56032</v>
      </c>
      <c r="E575" s="1">
        <v>348</v>
      </c>
      <c r="F575" s="1" t="s">
        <v>940</v>
      </c>
      <c r="G575" s="1" t="s">
        <v>933</v>
      </c>
      <c r="H575" s="1" t="s">
        <v>141</v>
      </c>
      <c r="I575" s="1" t="s">
        <v>65</v>
      </c>
      <c r="J575" s="1">
        <v>3</v>
      </c>
      <c r="K575" s="1" t="s">
        <v>142</v>
      </c>
      <c r="L575" s="1" t="s">
        <v>153</v>
      </c>
      <c r="M575" s="1" t="s">
        <v>28</v>
      </c>
      <c r="N575" s="1" t="str">
        <f>HYPERLINK("https://klocwork.india.ti.com:443/review/insight-review.html#issuedetails_goto:problemid=56032,project=MCU_PLUS_SDK_AM263X,searchquery=taxonomy:'C and C++' build:Build_Apr_13_2023_11_11_AM grouping:off ","KW Issue Link")</f>
        <v>KW Issue Link</v>
      </c>
      <c r="O575" s="1" t="s">
        <v>291</v>
      </c>
    </row>
    <row r="576" spans="1:15" ht="75" x14ac:dyDescent="0.25">
      <c r="A576" s="1" t="s">
        <v>157</v>
      </c>
      <c r="B576" s="1"/>
      <c r="C576" s="1" t="s">
        <v>929</v>
      </c>
      <c r="D576" s="1">
        <v>56033</v>
      </c>
      <c r="E576" s="1">
        <v>357</v>
      </c>
      <c r="F576" s="1" t="s">
        <v>941</v>
      </c>
      <c r="G576" s="1" t="s">
        <v>933</v>
      </c>
      <c r="H576" s="1" t="s">
        <v>141</v>
      </c>
      <c r="I576" s="1" t="s">
        <v>65</v>
      </c>
      <c r="J576" s="1">
        <v>3</v>
      </c>
      <c r="K576" s="1" t="s">
        <v>142</v>
      </c>
      <c r="L576" s="1" t="s">
        <v>153</v>
      </c>
      <c r="M576" s="1" t="s">
        <v>28</v>
      </c>
      <c r="N576" s="1" t="str">
        <f>HYPERLINK("https://klocwork.india.ti.com:443/review/insight-review.html#issuedetails_goto:problemid=56033,project=MCU_PLUS_SDK_AM263X,searchquery=taxonomy:'C and C++' build:Build_Apr_13_2023_11_11_AM grouping:off ","KW Issue Link")</f>
        <v>KW Issue Link</v>
      </c>
      <c r="O576" s="1" t="s">
        <v>291</v>
      </c>
    </row>
    <row r="577" spans="1:15" ht="75" x14ac:dyDescent="0.25">
      <c r="A577" s="1" t="s">
        <v>149</v>
      </c>
      <c r="B577" s="1"/>
      <c r="C577" s="1" t="s">
        <v>929</v>
      </c>
      <c r="D577" s="1">
        <v>56094</v>
      </c>
      <c r="E577" s="1">
        <v>540</v>
      </c>
      <c r="F577" s="1" t="s">
        <v>723</v>
      </c>
      <c r="G577" s="1" t="s">
        <v>942</v>
      </c>
      <c r="H577" s="1" t="s">
        <v>141</v>
      </c>
      <c r="I577" s="1" t="s">
        <v>65</v>
      </c>
      <c r="J577" s="1">
        <v>3</v>
      </c>
      <c r="K577" s="1" t="s">
        <v>142</v>
      </c>
      <c r="L577" s="1" t="s">
        <v>153</v>
      </c>
      <c r="M577" s="1" t="s">
        <v>28</v>
      </c>
      <c r="N577" s="1" t="str">
        <f>HYPERLINK("https://klocwork.india.ti.com:443/review/insight-review.html#issuedetails_goto:problemid=56094,project=MCU_PLUS_SDK_AM263X,searchquery=taxonomy:'C and C++' build:Build_Apr_13_2023_11_11_AM grouping:off ","KW Issue Link")</f>
        <v>KW Issue Link</v>
      </c>
      <c r="O577" s="1" t="s">
        <v>291</v>
      </c>
    </row>
    <row r="578" spans="1:15" ht="75" x14ac:dyDescent="0.25">
      <c r="A578" s="1" t="s">
        <v>149</v>
      </c>
      <c r="B578" s="1"/>
      <c r="C578" s="1" t="s">
        <v>929</v>
      </c>
      <c r="D578" s="1">
        <v>56095</v>
      </c>
      <c r="E578" s="1">
        <v>645</v>
      </c>
      <c r="F578" s="1" t="s">
        <v>723</v>
      </c>
      <c r="G578" s="1" t="s">
        <v>943</v>
      </c>
      <c r="H578" s="1" t="s">
        <v>141</v>
      </c>
      <c r="I578" s="1" t="s">
        <v>65</v>
      </c>
      <c r="J578" s="1">
        <v>3</v>
      </c>
      <c r="K578" s="1" t="s">
        <v>142</v>
      </c>
      <c r="L578" s="1" t="s">
        <v>153</v>
      </c>
      <c r="M578" s="1" t="s">
        <v>28</v>
      </c>
      <c r="N578" s="1" t="str">
        <f>HYPERLINK("https://klocwork.india.ti.com:443/review/insight-review.html#issuedetails_goto:problemid=56095,project=MCU_PLUS_SDK_AM263X,searchquery=taxonomy:'C and C++' build:Build_Apr_13_2023_11_11_AM grouping:off ","KW Issue Link")</f>
        <v>KW Issue Link</v>
      </c>
      <c r="O578" s="1" t="s">
        <v>291</v>
      </c>
    </row>
    <row r="579" spans="1:15" ht="75" x14ac:dyDescent="0.25">
      <c r="A579" s="1" t="s">
        <v>149</v>
      </c>
      <c r="B579" s="1"/>
      <c r="C579" s="1" t="s">
        <v>929</v>
      </c>
      <c r="D579" s="1">
        <v>56096</v>
      </c>
      <c r="E579" s="1">
        <v>727</v>
      </c>
      <c r="F579" s="1" t="s">
        <v>944</v>
      </c>
      <c r="G579" s="1" t="s">
        <v>938</v>
      </c>
      <c r="H579" s="1" t="s">
        <v>141</v>
      </c>
      <c r="I579" s="1" t="s">
        <v>65</v>
      </c>
      <c r="J579" s="1">
        <v>3</v>
      </c>
      <c r="K579" s="1" t="s">
        <v>142</v>
      </c>
      <c r="L579" s="1" t="s">
        <v>153</v>
      </c>
      <c r="M579" s="1" t="s">
        <v>28</v>
      </c>
      <c r="N579" s="1" t="str">
        <f>HYPERLINK("https://klocwork.india.ti.com:443/review/insight-review.html#issuedetails_goto:problemid=56096,project=MCU_PLUS_SDK_AM263X,searchquery=taxonomy:'C and C++' build:Build_Apr_13_2023_11_11_AM grouping:off ","KW Issue Link")</f>
        <v>KW Issue Link</v>
      </c>
      <c r="O579" s="1" t="s">
        <v>291</v>
      </c>
    </row>
    <row r="580" spans="1:15" ht="90" x14ac:dyDescent="0.25">
      <c r="A580" s="1" t="s">
        <v>149</v>
      </c>
      <c r="B580" s="1"/>
      <c r="C580" s="1" t="s">
        <v>929</v>
      </c>
      <c r="D580" s="1">
        <v>56097</v>
      </c>
      <c r="E580" s="1">
        <v>839</v>
      </c>
      <c r="F580" s="1" t="s">
        <v>945</v>
      </c>
      <c r="G580" s="1" t="s">
        <v>938</v>
      </c>
      <c r="H580" s="1" t="s">
        <v>141</v>
      </c>
      <c r="I580" s="1" t="s">
        <v>65</v>
      </c>
      <c r="J580" s="1">
        <v>3</v>
      </c>
      <c r="K580" s="1" t="s">
        <v>142</v>
      </c>
      <c r="L580" s="1" t="s">
        <v>153</v>
      </c>
      <c r="M580" s="1" t="s">
        <v>28</v>
      </c>
      <c r="N580" s="1" t="str">
        <f>HYPERLINK("https://klocwork.india.ti.com:443/review/insight-review.html#issuedetails_goto:problemid=56097,project=MCU_PLUS_SDK_AM263X,searchquery=taxonomy:'C and C++' build:Build_Apr_13_2023_11_11_AM grouping:off ","KW Issue Link")</f>
        <v>KW Issue Link</v>
      </c>
      <c r="O580" s="1" t="s">
        <v>291</v>
      </c>
    </row>
    <row r="581" spans="1:15" ht="75" x14ac:dyDescent="0.25">
      <c r="A581" s="1" t="s">
        <v>149</v>
      </c>
      <c r="B581" s="1"/>
      <c r="C581" s="1" t="s">
        <v>929</v>
      </c>
      <c r="D581" s="1">
        <v>56099</v>
      </c>
      <c r="E581" s="1">
        <v>872</v>
      </c>
      <c r="F581" s="1" t="s">
        <v>946</v>
      </c>
      <c r="G581" s="1" t="s">
        <v>938</v>
      </c>
      <c r="H581" s="1" t="s">
        <v>141</v>
      </c>
      <c r="I581" s="1" t="s">
        <v>65</v>
      </c>
      <c r="J581" s="1">
        <v>3</v>
      </c>
      <c r="K581" s="1" t="s">
        <v>142</v>
      </c>
      <c r="L581" s="1" t="s">
        <v>153</v>
      </c>
      <c r="M581" s="1" t="s">
        <v>28</v>
      </c>
      <c r="N581" s="1" t="str">
        <f>HYPERLINK("https://klocwork.india.ti.com:443/review/insight-review.html#issuedetails_goto:problemid=56099,project=MCU_PLUS_SDK_AM263X,searchquery=taxonomy:'C and C++' build:Build_Apr_13_2023_11_11_AM grouping:off ","KW Issue Link")</f>
        <v>KW Issue Link</v>
      </c>
      <c r="O581" s="1" t="s">
        <v>291</v>
      </c>
    </row>
    <row r="582" spans="1:15" ht="60" x14ac:dyDescent="0.25">
      <c r="A582" s="1" t="s">
        <v>155</v>
      </c>
      <c r="B582" s="1"/>
      <c r="C582" s="1" t="s">
        <v>929</v>
      </c>
      <c r="D582" s="1">
        <v>56105</v>
      </c>
      <c r="E582" s="1">
        <v>840</v>
      </c>
      <c r="F582" s="1" t="s">
        <v>156</v>
      </c>
      <c r="G582" s="1" t="s">
        <v>938</v>
      </c>
      <c r="H582" s="1" t="s">
        <v>141</v>
      </c>
      <c r="I582" s="1" t="s">
        <v>65</v>
      </c>
      <c r="J582" s="1">
        <v>3</v>
      </c>
      <c r="K582" s="1" t="s">
        <v>142</v>
      </c>
      <c r="L582" s="1" t="s">
        <v>153</v>
      </c>
      <c r="M582" s="1" t="s">
        <v>28</v>
      </c>
      <c r="N582" s="1" t="str">
        <f>HYPERLINK("https://klocwork.india.ti.com:443/review/insight-review.html#issuedetails_goto:problemid=56105,project=MCU_PLUS_SDK_AM263X,searchquery=taxonomy:'C and C++' build:Build_Apr_13_2023_11_11_AM grouping:off ","KW Issue Link")</f>
        <v>KW Issue Link</v>
      </c>
      <c r="O582" s="1" t="s">
        <v>291</v>
      </c>
    </row>
    <row r="583" spans="1:15" ht="60" x14ac:dyDescent="0.25">
      <c r="A583" s="1" t="s">
        <v>155</v>
      </c>
      <c r="B583" s="1"/>
      <c r="C583" s="1" t="s">
        <v>929</v>
      </c>
      <c r="D583" s="1">
        <v>56107</v>
      </c>
      <c r="E583" s="1">
        <v>873</v>
      </c>
      <c r="F583" s="1" t="s">
        <v>156</v>
      </c>
      <c r="G583" s="1" t="s">
        <v>938</v>
      </c>
      <c r="H583" s="1" t="s">
        <v>141</v>
      </c>
      <c r="I583" s="1" t="s">
        <v>65</v>
      </c>
      <c r="J583" s="1">
        <v>3</v>
      </c>
      <c r="K583" s="1" t="s">
        <v>142</v>
      </c>
      <c r="L583" s="1" t="s">
        <v>153</v>
      </c>
      <c r="M583" s="1" t="s">
        <v>28</v>
      </c>
      <c r="N583" s="1" t="str">
        <f>HYPERLINK("https://klocwork.india.ti.com:443/review/insight-review.html#issuedetails_goto:problemid=56107,project=MCU_PLUS_SDK_AM263X,searchquery=taxonomy:'C and C++' build:Build_Apr_13_2023_11_11_AM grouping:off ","KW Issue Link")</f>
        <v>KW Issue Link</v>
      </c>
      <c r="O583" s="1" t="s">
        <v>291</v>
      </c>
    </row>
    <row r="584" spans="1:15" ht="60" x14ac:dyDescent="0.25">
      <c r="A584" s="1" t="s">
        <v>157</v>
      </c>
      <c r="B584" s="1"/>
      <c r="C584" s="1" t="s">
        <v>947</v>
      </c>
      <c r="D584" s="1">
        <v>56151</v>
      </c>
      <c r="E584" s="1">
        <v>174</v>
      </c>
      <c r="F584" s="1" t="s">
        <v>389</v>
      </c>
      <c r="G584" s="1" t="s">
        <v>948</v>
      </c>
      <c r="H584" s="1" t="s">
        <v>141</v>
      </c>
      <c r="I584" s="1" t="s">
        <v>65</v>
      </c>
      <c r="J584" s="1">
        <v>3</v>
      </c>
      <c r="K584" s="1" t="s">
        <v>142</v>
      </c>
      <c r="L584" s="1" t="s">
        <v>153</v>
      </c>
      <c r="M584" s="1" t="s">
        <v>28</v>
      </c>
      <c r="N584" s="1" t="str">
        <f>HYPERLINK("https://klocwork.india.ti.com:443/review/insight-review.html#issuedetails_goto:problemid=56151,project=MCU_PLUS_SDK_AM263X,searchquery=taxonomy:'C and C++' build:Build_Apr_13_2023_11_11_AM grouping:off ","KW Issue Link")</f>
        <v>KW Issue Link</v>
      </c>
      <c r="O584" s="1" t="s">
        <v>356</v>
      </c>
    </row>
    <row r="585" spans="1:15" ht="60" x14ac:dyDescent="0.25">
      <c r="A585" s="1" t="s">
        <v>136</v>
      </c>
      <c r="B585" s="1"/>
      <c r="C585" s="1" t="s">
        <v>947</v>
      </c>
      <c r="D585" s="1">
        <v>56152</v>
      </c>
      <c r="E585" s="1">
        <v>179</v>
      </c>
      <c r="F585" s="1" t="s">
        <v>257</v>
      </c>
      <c r="G585" s="1" t="s">
        <v>948</v>
      </c>
      <c r="H585" s="1" t="s">
        <v>141</v>
      </c>
      <c r="I585" s="1" t="s">
        <v>66</v>
      </c>
      <c r="J585" s="1">
        <v>4</v>
      </c>
      <c r="K585" s="1" t="s">
        <v>142</v>
      </c>
      <c r="L585" s="1" t="s">
        <v>153</v>
      </c>
      <c r="M585" s="1" t="s">
        <v>28</v>
      </c>
      <c r="N585" s="1" t="str">
        <f>HYPERLINK("https://klocwork.india.ti.com:443/review/insight-review.html#issuedetails_goto:problemid=56152,project=MCU_PLUS_SDK_AM263X,searchquery=taxonomy:'C and C++' build:Build_Apr_13_2023_11_11_AM grouping:off ","KW Issue Link")</f>
        <v>KW Issue Link</v>
      </c>
      <c r="O585" s="1" t="s">
        <v>356</v>
      </c>
    </row>
    <row r="586" spans="1:15" ht="60" x14ac:dyDescent="0.25">
      <c r="A586" s="1" t="s">
        <v>157</v>
      </c>
      <c r="B586" s="1"/>
      <c r="C586" s="1" t="s">
        <v>949</v>
      </c>
      <c r="D586" s="1">
        <v>81290</v>
      </c>
      <c r="E586" s="1">
        <v>684</v>
      </c>
      <c r="F586" s="1" t="s">
        <v>950</v>
      </c>
      <c r="G586" s="1" t="s">
        <v>951</v>
      </c>
      <c r="H586" s="1" t="s">
        <v>141</v>
      </c>
      <c r="I586" s="1" t="s">
        <v>65</v>
      </c>
      <c r="J586" s="1">
        <v>3</v>
      </c>
      <c r="K586" s="1" t="s">
        <v>142</v>
      </c>
      <c r="L586" s="1" t="s">
        <v>153</v>
      </c>
      <c r="M586" s="1" t="s">
        <v>28</v>
      </c>
      <c r="N586" s="1" t="str">
        <f>HYPERLINK("https://klocwork.india.ti.com:443/review/insight-review.html#issuedetails_goto:problemid=81290,project=MCU_PLUS_SDK_AM263X,searchquery=taxonomy:'C and C++' build:Build_Apr_13_2023_11_11_AM grouping:off ","KW Issue Link")</f>
        <v>KW Issue Link</v>
      </c>
      <c r="O586" s="1" t="s">
        <v>356</v>
      </c>
    </row>
    <row r="587" spans="1:15" ht="60" x14ac:dyDescent="0.25">
      <c r="A587" s="1" t="s">
        <v>157</v>
      </c>
      <c r="B587" s="1"/>
      <c r="C587" s="1" t="s">
        <v>949</v>
      </c>
      <c r="D587" s="1">
        <v>81291</v>
      </c>
      <c r="E587" s="1">
        <v>688</v>
      </c>
      <c r="F587" s="1" t="s">
        <v>952</v>
      </c>
      <c r="G587" s="1" t="s">
        <v>951</v>
      </c>
      <c r="H587" s="1" t="s">
        <v>141</v>
      </c>
      <c r="I587" s="1" t="s">
        <v>65</v>
      </c>
      <c r="J587" s="1">
        <v>3</v>
      </c>
      <c r="K587" s="1" t="s">
        <v>142</v>
      </c>
      <c r="L587" s="1" t="s">
        <v>153</v>
      </c>
      <c r="M587" s="1" t="s">
        <v>28</v>
      </c>
      <c r="N587" s="1" t="str">
        <f>HYPERLINK("https://klocwork.india.ti.com:443/review/insight-review.html#issuedetails_goto:problemid=81291,project=MCU_PLUS_SDK_AM263X,searchquery=taxonomy:'C and C++' build:Build_Apr_13_2023_11_11_AM grouping:off ","KW Issue Link")</f>
        <v>KW Issue Link</v>
      </c>
      <c r="O587" s="1" t="s">
        <v>356</v>
      </c>
    </row>
    <row r="588" spans="1:15" ht="60" x14ac:dyDescent="0.25">
      <c r="A588" s="1" t="s">
        <v>157</v>
      </c>
      <c r="B588" s="1"/>
      <c r="C588" s="1" t="s">
        <v>949</v>
      </c>
      <c r="D588" s="1">
        <v>81292</v>
      </c>
      <c r="E588" s="1">
        <v>923</v>
      </c>
      <c r="F588" s="1" t="s">
        <v>262</v>
      </c>
      <c r="G588" s="1" t="s">
        <v>953</v>
      </c>
      <c r="H588" s="1" t="s">
        <v>141</v>
      </c>
      <c r="I588" s="1" t="s">
        <v>65</v>
      </c>
      <c r="J588" s="1">
        <v>3</v>
      </c>
      <c r="K588" s="1" t="s">
        <v>142</v>
      </c>
      <c r="L588" s="1" t="s">
        <v>153</v>
      </c>
      <c r="M588" s="1" t="s">
        <v>28</v>
      </c>
      <c r="N588" s="1" t="str">
        <f>HYPERLINK("https://klocwork.india.ti.com:443/review/insight-review.html#issuedetails_goto:problemid=81292,project=MCU_PLUS_SDK_AM263X,searchquery=taxonomy:'C and C++' build:Build_Apr_13_2023_11_11_AM grouping:off ","KW Issue Link")</f>
        <v>KW Issue Link</v>
      </c>
      <c r="O588" s="1" t="s">
        <v>356</v>
      </c>
    </row>
    <row r="589" spans="1:15" ht="75" x14ac:dyDescent="0.25">
      <c r="A589" s="1" t="s">
        <v>149</v>
      </c>
      <c r="B589" s="1"/>
      <c r="C589" s="1" t="s">
        <v>949</v>
      </c>
      <c r="D589" s="1">
        <v>81293</v>
      </c>
      <c r="E589" s="1">
        <v>715</v>
      </c>
      <c r="F589" s="1" t="s">
        <v>954</v>
      </c>
      <c r="G589" s="1" t="s">
        <v>951</v>
      </c>
      <c r="H589" s="1" t="s">
        <v>141</v>
      </c>
      <c r="I589" s="1" t="s">
        <v>65</v>
      </c>
      <c r="J589" s="1">
        <v>3</v>
      </c>
      <c r="K589" s="1" t="s">
        <v>142</v>
      </c>
      <c r="L589" s="1" t="s">
        <v>153</v>
      </c>
      <c r="M589" s="1" t="s">
        <v>28</v>
      </c>
      <c r="N589" s="1" t="str">
        <f>HYPERLINK("https://klocwork.india.ti.com:443/review/insight-review.html#issuedetails_goto:problemid=81293,project=MCU_PLUS_SDK_AM263X,searchquery=taxonomy:'C and C++' build:Build_Apr_13_2023_11_11_AM grouping:off ","KW Issue Link")</f>
        <v>KW Issue Link</v>
      </c>
      <c r="O589" s="1" t="s">
        <v>356</v>
      </c>
    </row>
    <row r="590" spans="1:15" ht="60" x14ac:dyDescent="0.25">
      <c r="A590" s="1" t="s">
        <v>155</v>
      </c>
      <c r="B590" s="1"/>
      <c r="C590" s="1" t="s">
        <v>949</v>
      </c>
      <c r="D590" s="1">
        <v>81294</v>
      </c>
      <c r="E590" s="1">
        <v>717</v>
      </c>
      <c r="F590" s="1" t="s">
        <v>156</v>
      </c>
      <c r="G590" s="1" t="s">
        <v>951</v>
      </c>
      <c r="H590" s="1" t="s">
        <v>141</v>
      </c>
      <c r="I590" s="1" t="s">
        <v>65</v>
      </c>
      <c r="J590" s="1">
        <v>3</v>
      </c>
      <c r="K590" s="1" t="s">
        <v>142</v>
      </c>
      <c r="L590" s="1" t="s">
        <v>153</v>
      </c>
      <c r="M590" s="1" t="s">
        <v>28</v>
      </c>
      <c r="N590" s="1" t="str">
        <f>HYPERLINK("https://klocwork.india.ti.com:443/review/insight-review.html#issuedetails_goto:problemid=81294,project=MCU_PLUS_SDK_AM263X,searchquery=taxonomy:'C and C++' build:Build_Apr_13_2023_11_11_AM grouping:off ","KW Issue Link")</f>
        <v>KW Issue Link</v>
      </c>
      <c r="O590" s="1" t="s">
        <v>356</v>
      </c>
    </row>
    <row r="591" spans="1:15" ht="75" x14ac:dyDescent="0.25">
      <c r="A591" s="1" t="s">
        <v>547</v>
      </c>
      <c r="B591" s="1"/>
      <c r="C591" s="1" t="s">
        <v>955</v>
      </c>
      <c r="D591" s="1">
        <v>82260</v>
      </c>
      <c r="E591" s="1">
        <v>530</v>
      </c>
      <c r="F591" s="1" t="s">
        <v>548</v>
      </c>
      <c r="G591" s="1" t="s">
        <v>956</v>
      </c>
      <c r="H591" s="1" t="s">
        <v>141</v>
      </c>
      <c r="I591" s="1" t="s">
        <v>66</v>
      </c>
      <c r="J591" s="1">
        <v>4</v>
      </c>
      <c r="K591" s="1" t="s">
        <v>142</v>
      </c>
      <c r="L591" s="1" t="s">
        <v>153</v>
      </c>
      <c r="M591" s="1" t="s">
        <v>28</v>
      </c>
      <c r="N591" s="1" t="str">
        <f>HYPERLINK("https://klocwork.india.ti.com:443/review/insight-review.html#issuedetails_goto:problemid=82260,project=MCU_PLUS_SDK_AM263X,searchquery=taxonomy:'C and C++' build:Build_Apr_13_2023_11_11_AM grouping:off ","KW Issue Link")</f>
        <v>KW Issue Link</v>
      </c>
      <c r="O591" s="1" t="s">
        <v>957</v>
      </c>
    </row>
    <row r="592" spans="1:15" ht="75" x14ac:dyDescent="0.25">
      <c r="A592" s="1" t="s">
        <v>547</v>
      </c>
      <c r="B592" s="1"/>
      <c r="C592" s="1" t="s">
        <v>955</v>
      </c>
      <c r="D592" s="1">
        <v>82261</v>
      </c>
      <c r="E592" s="1">
        <v>586</v>
      </c>
      <c r="F592" s="1" t="s">
        <v>548</v>
      </c>
      <c r="G592" s="1" t="s">
        <v>958</v>
      </c>
      <c r="H592" s="1" t="s">
        <v>141</v>
      </c>
      <c r="I592" s="1" t="s">
        <v>66</v>
      </c>
      <c r="J592" s="1">
        <v>4</v>
      </c>
      <c r="K592" s="1" t="s">
        <v>142</v>
      </c>
      <c r="L592" s="1" t="s">
        <v>153</v>
      </c>
      <c r="M592" s="1" t="s">
        <v>28</v>
      </c>
      <c r="N592" s="1" t="str">
        <f>HYPERLINK("https://klocwork.india.ti.com:443/review/insight-review.html#issuedetails_goto:problemid=82261,project=MCU_PLUS_SDK_AM263X,searchquery=taxonomy:'C and C++' build:Build_Apr_13_2023_11_11_AM grouping:off ","KW Issue Link")</f>
        <v>KW Issue Link</v>
      </c>
      <c r="O592" s="1" t="s">
        <v>957</v>
      </c>
    </row>
    <row r="593" spans="1:15" ht="75" x14ac:dyDescent="0.25">
      <c r="A593" s="1" t="s">
        <v>136</v>
      </c>
      <c r="B593" s="1"/>
      <c r="C593" s="1" t="s">
        <v>955</v>
      </c>
      <c r="D593" s="1">
        <v>82381</v>
      </c>
      <c r="E593" s="1">
        <v>1211</v>
      </c>
      <c r="F593" s="1" t="s">
        <v>959</v>
      </c>
      <c r="G593" s="1" t="s">
        <v>960</v>
      </c>
      <c r="H593" s="1" t="s">
        <v>141</v>
      </c>
      <c r="I593" s="1" t="s">
        <v>66</v>
      </c>
      <c r="J593" s="1">
        <v>4</v>
      </c>
      <c r="K593" s="1" t="s">
        <v>142</v>
      </c>
      <c r="L593" s="1" t="s">
        <v>153</v>
      </c>
      <c r="M593" s="1" t="s">
        <v>28</v>
      </c>
      <c r="N593" s="1" t="str">
        <f>HYPERLINK("https://klocwork.india.ti.com:443/review/insight-review.html#issuedetails_goto:problemid=82381,project=MCU_PLUS_SDK_AM263X,searchquery=taxonomy:'C and C++' build:Build_Apr_13_2023_11_11_AM grouping:off ","KW Issue Link")</f>
        <v>KW Issue Link</v>
      </c>
      <c r="O593" s="1" t="s">
        <v>957</v>
      </c>
    </row>
    <row r="594" spans="1:15" ht="60" x14ac:dyDescent="0.25">
      <c r="A594" s="1" t="s">
        <v>283</v>
      </c>
      <c r="B594" s="1"/>
      <c r="C594" s="1" t="s">
        <v>961</v>
      </c>
      <c r="D594" s="1">
        <v>83809</v>
      </c>
      <c r="E594" s="1">
        <v>742</v>
      </c>
      <c r="F594" s="1" t="s">
        <v>285</v>
      </c>
      <c r="G594" s="1" t="s">
        <v>962</v>
      </c>
      <c r="H594" s="1" t="s">
        <v>141</v>
      </c>
      <c r="I594" s="1" t="s">
        <v>66</v>
      </c>
      <c r="J594" s="1">
        <v>4</v>
      </c>
      <c r="K594" s="1" t="s">
        <v>142</v>
      </c>
      <c r="L594" s="1" t="s">
        <v>153</v>
      </c>
      <c r="M594" s="1" t="s">
        <v>28</v>
      </c>
      <c r="N594" s="1" t="str">
        <f>HYPERLINK("https://klocwork.india.ti.com:443/review/insight-review.html#issuedetails_goto:problemid=83809,project=MCU_PLUS_SDK_AM263X,searchquery=taxonomy:'C and C++' build:Build_Apr_13_2023_11_11_AM grouping:off ","KW Issue Link")</f>
        <v>KW Issue Link</v>
      </c>
      <c r="O594" s="1" t="s">
        <v>251</v>
      </c>
    </row>
    <row r="595" spans="1:15" ht="60" x14ac:dyDescent="0.25">
      <c r="A595" s="1" t="s">
        <v>136</v>
      </c>
      <c r="B595" s="1"/>
      <c r="C595" s="1" t="s">
        <v>963</v>
      </c>
      <c r="D595" s="1">
        <v>84217</v>
      </c>
      <c r="E595" s="1">
        <v>695</v>
      </c>
      <c r="F595" s="1" t="s">
        <v>964</v>
      </c>
      <c r="G595" s="1" t="s">
        <v>965</v>
      </c>
      <c r="H595" s="1" t="s">
        <v>141</v>
      </c>
      <c r="I595" s="1" t="s">
        <v>66</v>
      </c>
      <c r="J595" s="1">
        <v>4</v>
      </c>
      <c r="K595" s="1" t="s">
        <v>142</v>
      </c>
      <c r="L595" s="1" t="s">
        <v>153</v>
      </c>
      <c r="M595" s="1" t="s">
        <v>28</v>
      </c>
      <c r="N595" s="1" t="str">
        <f>HYPERLINK("https://klocwork.india.ti.com:443/review/insight-review.html#issuedetails_goto:problemid=84217,project=MCU_PLUS_SDK_AM263X,searchquery=taxonomy:'C and C++' build:Build_Apr_13_2023_11_11_AM grouping:off ","KW Issue Link")</f>
        <v>KW Issue Link</v>
      </c>
      <c r="O595" s="1" t="s">
        <v>966</v>
      </c>
    </row>
    <row r="596" spans="1:15" ht="60" x14ac:dyDescent="0.25">
      <c r="A596" s="1" t="s">
        <v>136</v>
      </c>
      <c r="B596" s="1"/>
      <c r="C596" s="1" t="s">
        <v>963</v>
      </c>
      <c r="D596" s="1">
        <v>84218</v>
      </c>
      <c r="E596" s="1">
        <v>701</v>
      </c>
      <c r="F596" s="1" t="s">
        <v>964</v>
      </c>
      <c r="G596" s="1" t="s">
        <v>965</v>
      </c>
      <c r="H596" s="1" t="s">
        <v>141</v>
      </c>
      <c r="I596" s="1" t="s">
        <v>66</v>
      </c>
      <c r="J596" s="1">
        <v>4</v>
      </c>
      <c r="K596" s="1" t="s">
        <v>142</v>
      </c>
      <c r="L596" s="1" t="s">
        <v>153</v>
      </c>
      <c r="M596" s="1" t="s">
        <v>28</v>
      </c>
      <c r="N596" s="1" t="str">
        <f>HYPERLINK("https://klocwork.india.ti.com:443/review/insight-review.html#issuedetails_goto:problemid=84218,project=MCU_PLUS_SDK_AM263X,searchquery=taxonomy:'C and C++' build:Build_Apr_13_2023_11_11_AM grouping:off ","KW Issue Link")</f>
        <v>KW Issue Link</v>
      </c>
      <c r="O596" s="1" t="s">
        <v>966</v>
      </c>
    </row>
    <row r="597" spans="1:15" ht="60" x14ac:dyDescent="0.25">
      <c r="A597" s="1" t="s">
        <v>136</v>
      </c>
      <c r="B597" s="1"/>
      <c r="C597" s="1" t="s">
        <v>963</v>
      </c>
      <c r="D597" s="1">
        <v>84219</v>
      </c>
      <c r="E597" s="1">
        <v>727</v>
      </c>
      <c r="F597" s="1" t="s">
        <v>964</v>
      </c>
      <c r="G597" s="1" t="s">
        <v>965</v>
      </c>
      <c r="H597" s="1" t="s">
        <v>141</v>
      </c>
      <c r="I597" s="1" t="s">
        <v>66</v>
      </c>
      <c r="J597" s="1">
        <v>4</v>
      </c>
      <c r="K597" s="1" t="s">
        <v>142</v>
      </c>
      <c r="L597" s="1" t="s">
        <v>153</v>
      </c>
      <c r="M597" s="1" t="s">
        <v>28</v>
      </c>
      <c r="N597" s="1" t="str">
        <f>HYPERLINK("https://klocwork.india.ti.com:443/review/insight-review.html#issuedetails_goto:problemid=84219,project=MCU_PLUS_SDK_AM263X,searchquery=taxonomy:'C and C++' build:Build_Apr_13_2023_11_11_AM grouping:off ","KW Issue Link")</f>
        <v>KW Issue Link</v>
      </c>
      <c r="O597" s="1" t="s">
        <v>966</v>
      </c>
    </row>
    <row r="598" spans="1:15" ht="60" x14ac:dyDescent="0.25">
      <c r="A598" s="1" t="s">
        <v>136</v>
      </c>
      <c r="B598" s="1"/>
      <c r="C598" s="1" t="s">
        <v>963</v>
      </c>
      <c r="D598" s="1">
        <v>84220</v>
      </c>
      <c r="E598" s="1">
        <v>733</v>
      </c>
      <c r="F598" s="1" t="s">
        <v>964</v>
      </c>
      <c r="G598" s="1" t="s">
        <v>965</v>
      </c>
      <c r="H598" s="1" t="s">
        <v>141</v>
      </c>
      <c r="I598" s="1" t="s">
        <v>66</v>
      </c>
      <c r="J598" s="1">
        <v>4</v>
      </c>
      <c r="K598" s="1" t="s">
        <v>142</v>
      </c>
      <c r="L598" s="1" t="s">
        <v>153</v>
      </c>
      <c r="M598" s="1" t="s">
        <v>28</v>
      </c>
      <c r="N598" s="1" t="str">
        <f>HYPERLINK("https://klocwork.india.ti.com:443/review/insight-review.html#issuedetails_goto:problemid=84220,project=MCU_PLUS_SDK_AM263X,searchquery=taxonomy:'C and C++' build:Build_Apr_13_2023_11_11_AM grouping:off ","KW Issue Link")</f>
        <v>KW Issue Link</v>
      </c>
      <c r="O598" s="1" t="s">
        <v>966</v>
      </c>
    </row>
    <row r="599" spans="1:15" ht="60" x14ac:dyDescent="0.25">
      <c r="A599" s="1" t="s">
        <v>136</v>
      </c>
      <c r="B599" s="1"/>
      <c r="C599" s="1" t="s">
        <v>963</v>
      </c>
      <c r="D599" s="1">
        <v>84221</v>
      </c>
      <c r="E599" s="1">
        <v>835</v>
      </c>
      <c r="F599" s="1" t="s">
        <v>967</v>
      </c>
      <c r="G599" s="1" t="s">
        <v>968</v>
      </c>
      <c r="H599" s="1" t="s">
        <v>141</v>
      </c>
      <c r="I599" s="1" t="s">
        <v>66</v>
      </c>
      <c r="J599" s="1">
        <v>4</v>
      </c>
      <c r="K599" s="1" t="s">
        <v>142</v>
      </c>
      <c r="L599" s="1" t="s">
        <v>153</v>
      </c>
      <c r="M599" s="1" t="s">
        <v>28</v>
      </c>
      <c r="N599" s="1" t="str">
        <f>HYPERLINK("https://klocwork.india.ti.com:443/review/insight-review.html#issuedetails_goto:problemid=84221,project=MCU_PLUS_SDK_AM263X,searchquery=taxonomy:'C and C++' build:Build_Apr_13_2023_11_11_AM grouping:off ","KW Issue Link")</f>
        <v>KW Issue Link</v>
      </c>
      <c r="O599" s="1" t="s">
        <v>966</v>
      </c>
    </row>
    <row r="600" spans="1:15" ht="60" x14ac:dyDescent="0.25">
      <c r="A600" s="1" t="s">
        <v>136</v>
      </c>
      <c r="B600" s="1"/>
      <c r="C600" s="1" t="s">
        <v>963</v>
      </c>
      <c r="D600" s="1">
        <v>84222</v>
      </c>
      <c r="E600" s="1">
        <v>885</v>
      </c>
      <c r="F600" s="1" t="s">
        <v>969</v>
      </c>
      <c r="G600" s="1" t="s">
        <v>968</v>
      </c>
      <c r="H600" s="1" t="s">
        <v>141</v>
      </c>
      <c r="I600" s="1" t="s">
        <v>66</v>
      </c>
      <c r="J600" s="1">
        <v>4</v>
      </c>
      <c r="K600" s="1" t="s">
        <v>142</v>
      </c>
      <c r="L600" s="1" t="s">
        <v>153</v>
      </c>
      <c r="M600" s="1" t="s">
        <v>28</v>
      </c>
      <c r="N600" s="1" t="str">
        <f>HYPERLINK("https://klocwork.india.ti.com:443/review/insight-review.html#issuedetails_goto:problemid=84222,project=MCU_PLUS_SDK_AM263X,searchquery=taxonomy:'C and C++' build:Build_Apr_13_2023_11_11_AM grouping:off ","KW Issue Link")</f>
        <v>KW Issue Link</v>
      </c>
      <c r="O600" s="1" t="s">
        <v>966</v>
      </c>
    </row>
    <row r="601" spans="1:15" ht="120" x14ac:dyDescent="0.25">
      <c r="A601" s="1" t="s">
        <v>145</v>
      </c>
      <c r="B601" s="1" t="s">
        <v>970</v>
      </c>
      <c r="C601" s="1" t="s">
        <v>963</v>
      </c>
      <c r="D601" s="1">
        <v>84261</v>
      </c>
      <c r="E601" s="1">
        <v>1646</v>
      </c>
      <c r="F601" s="1" t="s">
        <v>147</v>
      </c>
      <c r="G601" s="1" t="s">
        <v>971</v>
      </c>
      <c r="H601" s="1" t="s">
        <v>141</v>
      </c>
      <c r="I601" s="1" t="s">
        <v>64</v>
      </c>
      <c r="J601" s="1">
        <v>2</v>
      </c>
      <c r="K601" s="1" t="s">
        <v>142</v>
      </c>
      <c r="L601" s="1" t="s">
        <v>143</v>
      </c>
      <c r="M601" s="1" t="s">
        <v>28</v>
      </c>
      <c r="N601" s="1" t="str">
        <f>HYPERLINK("https://klocwork.india.ti.com:443/review/insight-review.html#issuedetails_goto:problemid=84261,project=MCU_PLUS_SDK_AM263X,searchquery=taxonomy:'C and C++' build:Build_Apr_13_2023_11_11_AM grouping:off ","KW Issue Link")</f>
        <v>KW Issue Link</v>
      </c>
      <c r="O601" s="1" t="s">
        <v>966</v>
      </c>
    </row>
    <row r="602" spans="1:15" ht="60" x14ac:dyDescent="0.25">
      <c r="A602" s="1" t="s">
        <v>136</v>
      </c>
      <c r="B602" s="1"/>
      <c r="C602" s="1" t="s">
        <v>972</v>
      </c>
      <c r="D602" s="1">
        <v>84622</v>
      </c>
      <c r="E602" s="1">
        <v>489</v>
      </c>
      <c r="F602" s="1" t="s">
        <v>973</v>
      </c>
      <c r="G602" s="1" t="s">
        <v>974</v>
      </c>
      <c r="H602" s="1" t="s">
        <v>141</v>
      </c>
      <c r="I602" s="1" t="s">
        <v>66</v>
      </c>
      <c r="J602" s="1">
        <v>4</v>
      </c>
      <c r="K602" s="1" t="s">
        <v>142</v>
      </c>
      <c r="L602" s="1" t="s">
        <v>153</v>
      </c>
      <c r="M602" s="1" t="s">
        <v>28</v>
      </c>
      <c r="N602" s="1" t="str">
        <f>HYPERLINK("https://klocwork.india.ti.com:443/review/insight-review.html#issuedetails_goto:problemid=84622,project=MCU_PLUS_SDK_AM263X,searchquery=taxonomy:'C and C++' build:Build_Apr_13_2023_11_11_AM grouping:off ","KW Issue Link")</f>
        <v>KW Issue Link</v>
      </c>
      <c r="O602" s="1" t="s">
        <v>966</v>
      </c>
    </row>
    <row r="603" spans="1:15" ht="60" x14ac:dyDescent="0.25">
      <c r="A603" s="1" t="s">
        <v>136</v>
      </c>
      <c r="B603" s="1"/>
      <c r="C603" s="1" t="s">
        <v>972</v>
      </c>
      <c r="D603" s="1">
        <v>84623</v>
      </c>
      <c r="E603" s="1">
        <v>502</v>
      </c>
      <c r="F603" s="1" t="s">
        <v>973</v>
      </c>
      <c r="G603" s="1" t="s">
        <v>974</v>
      </c>
      <c r="H603" s="1" t="s">
        <v>141</v>
      </c>
      <c r="I603" s="1" t="s">
        <v>66</v>
      </c>
      <c r="J603" s="1">
        <v>4</v>
      </c>
      <c r="K603" s="1" t="s">
        <v>142</v>
      </c>
      <c r="L603" s="1" t="s">
        <v>153</v>
      </c>
      <c r="M603" s="1" t="s">
        <v>28</v>
      </c>
      <c r="N603" s="1" t="str">
        <f>HYPERLINK("https://klocwork.india.ti.com:443/review/insight-review.html#issuedetails_goto:problemid=84623,project=MCU_PLUS_SDK_AM263X,searchquery=taxonomy:'C and C++' build:Build_Apr_13_2023_11_11_AM grouping:off ","KW Issue Link")</f>
        <v>KW Issue Link</v>
      </c>
      <c r="O603" s="1" t="s">
        <v>966</v>
      </c>
    </row>
    <row r="604" spans="1:15" ht="60" x14ac:dyDescent="0.25">
      <c r="A604" s="1" t="s">
        <v>136</v>
      </c>
      <c r="B604" s="1"/>
      <c r="C604" s="1" t="s">
        <v>972</v>
      </c>
      <c r="D604" s="1">
        <v>84624</v>
      </c>
      <c r="E604" s="1">
        <v>572</v>
      </c>
      <c r="F604" s="1" t="s">
        <v>973</v>
      </c>
      <c r="G604" s="1" t="s">
        <v>974</v>
      </c>
      <c r="H604" s="1" t="s">
        <v>141</v>
      </c>
      <c r="I604" s="1" t="s">
        <v>66</v>
      </c>
      <c r="J604" s="1">
        <v>4</v>
      </c>
      <c r="K604" s="1" t="s">
        <v>142</v>
      </c>
      <c r="L604" s="1" t="s">
        <v>153</v>
      </c>
      <c r="M604" s="1" t="s">
        <v>28</v>
      </c>
      <c r="N604" s="1" t="str">
        <f>HYPERLINK("https://klocwork.india.ti.com:443/review/insight-review.html#issuedetails_goto:problemid=84624,project=MCU_PLUS_SDK_AM263X,searchquery=taxonomy:'C and C++' build:Build_Apr_13_2023_11_11_AM grouping:off ","KW Issue Link")</f>
        <v>KW Issue Link</v>
      </c>
      <c r="O604" s="1" t="s">
        <v>966</v>
      </c>
    </row>
    <row r="605" spans="1:15" ht="60" x14ac:dyDescent="0.25">
      <c r="A605" s="1" t="s">
        <v>136</v>
      </c>
      <c r="B605" s="1"/>
      <c r="C605" s="1" t="s">
        <v>972</v>
      </c>
      <c r="D605" s="1">
        <v>84625</v>
      </c>
      <c r="E605" s="1">
        <v>589</v>
      </c>
      <c r="F605" s="1" t="s">
        <v>973</v>
      </c>
      <c r="G605" s="1" t="s">
        <v>974</v>
      </c>
      <c r="H605" s="1" t="s">
        <v>141</v>
      </c>
      <c r="I605" s="1" t="s">
        <v>66</v>
      </c>
      <c r="J605" s="1">
        <v>4</v>
      </c>
      <c r="K605" s="1" t="s">
        <v>142</v>
      </c>
      <c r="L605" s="1" t="s">
        <v>153</v>
      </c>
      <c r="M605" s="1" t="s">
        <v>28</v>
      </c>
      <c r="N605" s="1" t="str">
        <f>HYPERLINK("https://klocwork.india.ti.com:443/review/insight-review.html#issuedetails_goto:problemid=84625,project=MCU_PLUS_SDK_AM263X,searchquery=taxonomy:'C and C++' build:Build_Apr_13_2023_11_11_AM grouping:off ","KW Issue Link")</f>
        <v>KW Issue Link</v>
      </c>
      <c r="O605" s="1" t="s">
        <v>966</v>
      </c>
    </row>
    <row r="606" spans="1:15" ht="60" x14ac:dyDescent="0.25">
      <c r="A606" s="1" t="s">
        <v>136</v>
      </c>
      <c r="B606" s="1"/>
      <c r="C606" s="1" t="s">
        <v>972</v>
      </c>
      <c r="D606" s="1">
        <v>84626</v>
      </c>
      <c r="E606" s="1">
        <v>606</v>
      </c>
      <c r="F606" s="1" t="s">
        <v>973</v>
      </c>
      <c r="G606" s="1" t="s">
        <v>974</v>
      </c>
      <c r="H606" s="1" t="s">
        <v>141</v>
      </c>
      <c r="I606" s="1" t="s">
        <v>66</v>
      </c>
      <c r="J606" s="1">
        <v>4</v>
      </c>
      <c r="K606" s="1" t="s">
        <v>142</v>
      </c>
      <c r="L606" s="1" t="s">
        <v>153</v>
      </c>
      <c r="M606" s="1" t="s">
        <v>28</v>
      </c>
      <c r="N606" s="1" t="str">
        <f>HYPERLINK("https://klocwork.india.ti.com:443/review/insight-review.html#issuedetails_goto:problemid=84626,project=MCU_PLUS_SDK_AM263X,searchquery=taxonomy:'C and C++' build:Build_Apr_13_2023_11_11_AM grouping:off ","KW Issue Link")</f>
        <v>KW Issue Link</v>
      </c>
      <c r="O606" s="1" t="s">
        <v>966</v>
      </c>
    </row>
    <row r="607" spans="1:15" ht="60" x14ac:dyDescent="0.25">
      <c r="A607" s="1" t="s">
        <v>136</v>
      </c>
      <c r="B607" s="1"/>
      <c r="C607" s="1" t="s">
        <v>972</v>
      </c>
      <c r="D607" s="1">
        <v>84627</v>
      </c>
      <c r="E607" s="1">
        <v>1148</v>
      </c>
      <c r="F607" s="1" t="s">
        <v>975</v>
      </c>
      <c r="G607" s="1" t="s">
        <v>976</v>
      </c>
      <c r="H607" s="1" t="s">
        <v>141</v>
      </c>
      <c r="I607" s="1" t="s">
        <v>66</v>
      </c>
      <c r="J607" s="1">
        <v>4</v>
      </c>
      <c r="K607" s="1" t="s">
        <v>142</v>
      </c>
      <c r="L607" s="1" t="s">
        <v>153</v>
      </c>
      <c r="M607" s="1" t="s">
        <v>28</v>
      </c>
      <c r="N607" s="1" t="str">
        <f>HYPERLINK("https://klocwork.india.ti.com:443/review/insight-review.html#issuedetails_goto:problemid=84627,project=MCU_PLUS_SDK_AM263X,searchquery=taxonomy:'C and C++' build:Build_Apr_13_2023_11_11_AM grouping:off ","KW Issue Link")</f>
        <v>KW Issue Link</v>
      </c>
      <c r="O607" s="1" t="s">
        <v>966</v>
      </c>
    </row>
    <row r="608" spans="1:15" ht="60" x14ac:dyDescent="0.25">
      <c r="A608" s="1" t="s">
        <v>136</v>
      </c>
      <c r="B608" s="1"/>
      <c r="C608" s="1" t="s">
        <v>972</v>
      </c>
      <c r="D608" s="1">
        <v>84628</v>
      </c>
      <c r="E608" s="1">
        <v>1337</v>
      </c>
      <c r="F608" s="1" t="s">
        <v>975</v>
      </c>
      <c r="G608" s="1" t="s">
        <v>977</v>
      </c>
      <c r="H608" s="1" t="s">
        <v>141</v>
      </c>
      <c r="I608" s="1" t="s">
        <v>66</v>
      </c>
      <c r="J608" s="1">
        <v>4</v>
      </c>
      <c r="K608" s="1" t="s">
        <v>142</v>
      </c>
      <c r="L608" s="1" t="s">
        <v>153</v>
      </c>
      <c r="M608" s="1" t="s">
        <v>28</v>
      </c>
      <c r="N608" s="1" t="str">
        <f>HYPERLINK("https://klocwork.india.ti.com:443/review/insight-review.html#issuedetails_goto:problemid=84628,project=MCU_PLUS_SDK_AM263X,searchquery=taxonomy:'C and C++' build:Build_Apr_13_2023_11_11_AM grouping:off ","KW Issue Link")</f>
        <v>KW Issue Link</v>
      </c>
      <c r="O608" s="1" t="s">
        <v>966</v>
      </c>
    </row>
    <row r="609" spans="1:15" ht="60" x14ac:dyDescent="0.25">
      <c r="A609" s="1" t="s">
        <v>136</v>
      </c>
      <c r="B609" s="1"/>
      <c r="C609" s="1" t="s">
        <v>972</v>
      </c>
      <c r="D609" s="1">
        <v>84629</v>
      </c>
      <c r="E609" s="1">
        <v>1748</v>
      </c>
      <c r="F609" s="1" t="s">
        <v>978</v>
      </c>
      <c r="G609" s="1" t="s">
        <v>979</v>
      </c>
      <c r="H609" s="1" t="s">
        <v>141</v>
      </c>
      <c r="I609" s="1" t="s">
        <v>66</v>
      </c>
      <c r="J609" s="1">
        <v>4</v>
      </c>
      <c r="K609" s="1" t="s">
        <v>142</v>
      </c>
      <c r="L609" s="1" t="s">
        <v>153</v>
      </c>
      <c r="M609" s="1" t="s">
        <v>28</v>
      </c>
      <c r="N609" s="1" t="str">
        <f>HYPERLINK("https://klocwork.india.ti.com:443/review/insight-review.html#issuedetails_goto:problemid=84629,project=MCU_PLUS_SDK_AM263X,searchquery=taxonomy:'C and C++' build:Build_Apr_13_2023_11_11_AM grouping:off ","KW Issue Link")</f>
        <v>KW Issue Link</v>
      </c>
      <c r="O609" s="1" t="s">
        <v>966</v>
      </c>
    </row>
    <row r="610" spans="1:15" ht="60" x14ac:dyDescent="0.25">
      <c r="A610" s="1" t="s">
        <v>136</v>
      </c>
      <c r="B610" s="1"/>
      <c r="C610" s="1" t="s">
        <v>972</v>
      </c>
      <c r="D610" s="1">
        <v>84630</v>
      </c>
      <c r="E610" s="1">
        <v>1749</v>
      </c>
      <c r="F610" s="1" t="s">
        <v>980</v>
      </c>
      <c r="G610" s="1" t="s">
        <v>979</v>
      </c>
      <c r="H610" s="1" t="s">
        <v>141</v>
      </c>
      <c r="I610" s="1" t="s">
        <v>66</v>
      </c>
      <c r="J610" s="1">
        <v>4</v>
      </c>
      <c r="K610" s="1" t="s">
        <v>142</v>
      </c>
      <c r="L610" s="1" t="s">
        <v>153</v>
      </c>
      <c r="M610" s="1" t="s">
        <v>28</v>
      </c>
      <c r="N610" s="1" t="str">
        <f>HYPERLINK("https://klocwork.india.ti.com:443/review/insight-review.html#issuedetails_goto:problemid=84630,project=MCU_PLUS_SDK_AM263X,searchquery=taxonomy:'C and C++' build:Build_Apr_13_2023_11_11_AM grouping:off ","KW Issue Link")</f>
        <v>KW Issue Link</v>
      </c>
      <c r="O610" s="1" t="s">
        <v>966</v>
      </c>
    </row>
    <row r="611" spans="1:15" ht="60" x14ac:dyDescent="0.25">
      <c r="A611" s="1" t="s">
        <v>136</v>
      </c>
      <c r="B611" s="1"/>
      <c r="C611" s="1" t="s">
        <v>972</v>
      </c>
      <c r="D611" s="1">
        <v>84631</v>
      </c>
      <c r="E611" s="1">
        <v>1750</v>
      </c>
      <c r="F611" s="1" t="s">
        <v>981</v>
      </c>
      <c r="G611" s="1" t="s">
        <v>979</v>
      </c>
      <c r="H611" s="1" t="s">
        <v>141</v>
      </c>
      <c r="I611" s="1" t="s">
        <v>66</v>
      </c>
      <c r="J611" s="1">
        <v>4</v>
      </c>
      <c r="K611" s="1" t="s">
        <v>142</v>
      </c>
      <c r="L611" s="1" t="s">
        <v>153</v>
      </c>
      <c r="M611" s="1" t="s">
        <v>28</v>
      </c>
      <c r="N611" s="1" t="str">
        <f>HYPERLINK("https://klocwork.india.ti.com:443/review/insight-review.html#issuedetails_goto:problemid=84631,project=MCU_PLUS_SDK_AM263X,searchquery=taxonomy:'C and C++' build:Build_Apr_13_2023_11_11_AM grouping:off ","KW Issue Link")</f>
        <v>KW Issue Link</v>
      </c>
      <c r="O611" s="1" t="s">
        <v>966</v>
      </c>
    </row>
    <row r="612" spans="1:15" ht="60" x14ac:dyDescent="0.25">
      <c r="A612" s="1" t="s">
        <v>157</v>
      </c>
      <c r="B612" s="1"/>
      <c r="C612" s="1" t="s">
        <v>972</v>
      </c>
      <c r="D612" s="1">
        <v>84687</v>
      </c>
      <c r="E612" s="1">
        <v>1520</v>
      </c>
      <c r="F612" s="1" t="s">
        <v>982</v>
      </c>
      <c r="G612" s="1" t="s">
        <v>983</v>
      </c>
      <c r="H612" s="1" t="s">
        <v>141</v>
      </c>
      <c r="I612" s="1" t="s">
        <v>65</v>
      </c>
      <c r="J612" s="1">
        <v>3</v>
      </c>
      <c r="K612" s="1" t="s">
        <v>142</v>
      </c>
      <c r="L612" s="1" t="s">
        <v>153</v>
      </c>
      <c r="M612" s="1" t="s">
        <v>28</v>
      </c>
      <c r="N612" s="1" t="str">
        <f>HYPERLINK("https://klocwork.india.ti.com:443/review/insight-review.html#issuedetails_goto:problemid=84687,project=MCU_PLUS_SDK_AM263X,searchquery=taxonomy:'C and C++' build:Build_Apr_13_2023_11_11_AM grouping:off ","KW Issue Link")</f>
        <v>KW Issue Link</v>
      </c>
      <c r="O612" s="1" t="s">
        <v>966</v>
      </c>
    </row>
    <row r="613" spans="1:15" ht="60" x14ac:dyDescent="0.25">
      <c r="A613" s="1" t="s">
        <v>157</v>
      </c>
      <c r="B613" s="1"/>
      <c r="C613" s="1" t="s">
        <v>972</v>
      </c>
      <c r="D613" s="1">
        <v>84688</v>
      </c>
      <c r="E613" s="1">
        <v>1525</v>
      </c>
      <c r="F613" s="1" t="s">
        <v>984</v>
      </c>
      <c r="G613" s="1" t="s">
        <v>983</v>
      </c>
      <c r="H613" s="1" t="s">
        <v>141</v>
      </c>
      <c r="I613" s="1" t="s">
        <v>65</v>
      </c>
      <c r="J613" s="1">
        <v>3</v>
      </c>
      <c r="K613" s="1" t="s">
        <v>142</v>
      </c>
      <c r="L613" s="1" t="s">
        <v>153</v>
      </c>
      <c r="M613" s="1" t="s">
        <v>28</v>
      </c>
      <c r="N613" s="1" t="str">
        <f>HYPERLINK("https://klocwork.india.ti.com:443/review/insight-review.html#issuedetails_goto:problemid=84688,project=MCU_PLUS_SDK_AM263X,searchquery=taxonomy:'C and C++' build:Build_Apr_13_2023_11_11_AM grouping:off ","KW Issue Link")</f>
        <v>KW Issue Link</v>
      </c>
      <c r="O613" s="1" t="s">
        <v>966</v>
      </c>
    </row>
    <row r="614" spans="1:15" ht="60" x14ac:dyDescent="0.25">
      <c r="A614" s="1" t="s">
        <v>157</v>
      </c>
      <c r="B614" s="1"/>
      <c r="C614" s="1" t="s">
        <v>972</v>
      </c>
      <c r="D614" s="1">
        <v>84689</v>
      </c>
      <c r="E614" s="1">
        <v>1536</v>
      </c>
      <c r="F614" s="1" t="s">
        <v>985</v>
      </c>
      <c r="G614" s="1" t="s">
        <v>983</v>
      </c>
      <c r="H614" s="1" t="s">
        <v>141</v>
      </c>
      <c r="I614" s="1" t="s">
        <v>65</v>
      </c>
      <c r="J614" s="1">
        <v>3</v>
      </c>
      <c r="K614" s="1" t="s">
        <v>142</v>
      </c>
      <c r="L614" s="1" t="s">
        <v>153</v>
      </c>
      <c r="M614" s="1" t="s">
        <v>28</v>
      </c>
      <c r="N614" s="1" t="str">
        <f>HYPERLINK("https://klocwork.india.ti.com:443/review/insight-review.html#issuedetails_goto:problemid=84689,project=MCU_PLUS_SDK_AM263X,searchquery=taxonomy:'C and C++' build:Build_Apr_13_2023_11_11_AM grouping:off ","KW Issue Link")</f>
        <v>KW Issue Link</v>
      </c>
      <c r="O614" s="1" t="s">
        <v>966</v>
      </c>
    </row>
    <row r="615" spans="1:15" ht="60" x14ac:dyDescent="0.25">
      <c r="A615" s="1" t="s">
        <v>157</v>
      </c>
      <c r="B615" s="1"/>
      <c r="C615" s="1" t="s">
        <v>972</v>
      </c>
      <c r="D615" s="1">
        <v>84690</v>
      </c>
      <c r="E615" s="1">
        <v>1547</v>
      </c>
      <c r="F615" s="1" t="s">
        <v>986</v>
      </c>
      <c r="G615" s="1" t="s">
        <v>983</v>
      </c>
      <c r="H615" s="1" t="s">
        <v>141</v>
      </c>
      <c r="I615" s="1" t="s">
        <v>65</v>
      </c>
      <c r="J615" s="1">
        <v>3</v>
      </c>
      <c r="K615" s="1" t="s">
        <v>142</v>
      </c>
      <c r="L615" s="1" t="s">
        <v>153</v>
      </c>
      <c r="M615" s="1" t="s">
        <v>28</v>
      </c>
      <c r="N615" s="1" t="str">
        <f>HYPERLINK("https://klocwork.india.ti.com:443/review/insight-review.html#issuedetails_goto:problemid=84690,project=MCU_PLUS_SDK_AM263X,searchquery=taxonomy:'C and C++' build:Build_Apr_13_2023_11_11_AM grouping:off ","KW Issue Link")</f>
        <v>KW Issue Link</v>
      </c>
      <c r="O615" s="1" t="s">
        <v>966</v>
      </c>
    </row>
    <row r="616" spans="1:15" ht="60" x14ac:dyDescent="0.25">
      <c r="A616" s="1" t="s">
        <v>157</v>
      </c>
      <c r="B616" s="1"/>
      <c r="C616" s="1" t="s">
        <v>972</v>
      </c>
      <c r="D616" s="1">
        <v>84691</v>
      </c>
      <c r="E616" s="1">
        <v>1577</v>
      </c>
      <c r="F616" s="1" t="s">
        <v>987</v>
      </c>
      <c r="G616" s="1" t="s">
        <v>983</v>
      </c>
      <c r="H616" s="1" t="s">
        <v>141</v>
      </c>
      <c r="I616" s="1" t="s">
        <v>65</v>
      </c>
      <c r="J616" s="1">
        <v>3</v>
      </c>
      <c r="K616" s="1" t="s">
        <v>142</v>
      </c>
      <c r="L616" s="1" t="s">
        <v>153</v>
      </c>
      <c r="M616" s="1" t="s">
        <v>28</v>
      </c>
      <c r="N616" s="1" t="str">
        <f>HYPERLINK("https://klocwork.india.ti.com:443/review/insight-review.html#issuedetails_goto:problemid=84691,project=MCU_PLUS_SDK_AM263X,searchquery=taxonomy:'C and C++' build:Build_Apr_13_2023_11_11_AM grouping:off ","KW Issue Link")</f>
        <v>KW Issue Link</v>
      </c>
      <c r="O616" s="1" t="s">
        <v>966</v>
      </c>
    </row>
    <row r="617" spans="1:15" ht="60" x14ac:dyDescent="0.25">
      <c r="A617" s="1" t="s">
        <v>157</v>
      </c>
      <c r="B617" s="1"/>
      <c r="C617" s="1" t="s">
        <v>972</v>
      </c>
      <c r="D617" s="1">
        <v>84692</v>
      </c>
      <c r="E617" s="1">
        <v>1588</v>
      </c>
      <c r="F617" s="1" t="s">
        <v>988</v>
      </c>
      <c r="G617" s="1" t="s">
        <v>983</v>
      </c>
      <c r="H617" s="1" t="s">
        <v>141</v>
      </c>
      <c r="I617" s="1" t="s">
        <v>65</v>
      </c>
      <c r="J617" s="1">
        <v>3</v>
      </c>
      <c r="K617" s="1" t="s">
        <v>142</v>
      </c>
      <c r="L617" s="1" t="s">
        <v>153</v>
      </c>
      <c r="M617" s="1" t="s">
        <v>28</v>
      </c>
      <c r="N617" s="1" t="str">
        <f>HYPERLINK("https://klocwork.india.ti.com:443/review/insight-review.html#issuedetails_goto:problemid=84692,project=MCU_PLUS_SDK_AM263X,searchquery=taxonomy:'C and C++' build:Build_Apr_13_2023_11_11_AM grouping:off ","KW Issue Link")</f>
        <v>KW Issue Link</v>
      </c>
      <c r="O617" s="1" t="s">
        <v>966</v>
      </c>
    </row>
    <row r="618" spans="1:15" ht="60" x14ac:dyDescent="0.25">
      <c r="A618" s="1" t="s">
        <v>157</v>
      </c>
      <c r="B618" s="1"/>
      <c r="C618" s="1" t="s">
        <v>972</v>
      </c>
      <c r="D618" s="1">
        <v>84693</v>
      </c>
      <c r="E618" s="1">
        <v>1605</v>
      </c>
      <c r="F618" s="1" t="s">
        <v>982</v>
      </c>
      <c r="G618" s="1" t="s">
        <v>983</v>
      </c>
      <c r="H618" s="1" t="s">
        <v>141</v>
      </c>
      <c r="I618" s="1" t="s">
        <v>65</v>
      </c>
      <c r="J618" s="1">
        <v>3</v>
      </c>
      <c r="K618" s="1" t="s">
        <v>142</v>
      </c>
      <c r="L618" s="1" t="s">
        <v>153</v>
      </c>
      <c r="M618" s="1" t="s">
        <v>28</v>
      </c>
      <c r="N618" s="1" t="str">
        <f>HYPERLINK("https://klocwork.india.ti.com:443/review/insight-review.html#issuedetails_goto:problemid=84693,project=MCU_PLUS_SDK_AM263X,searchquery=taxonomy:'C and C++' build:Build_Apr_13_2023_11_11_AM grouping:off ","KW Issue Link")</f>
        <v>KW Issue Link</v>
      </c>
      <c r="O618" s="1" t="s">
        <v>966</v>
      </c>
    </row>
    <row r="619" spans="1:15" ht="60" x14ac:dyDescent="0.25">
      <c r="A619" s="1" t="s">
        <v>157</v>
      </c>
      <c r="B619" s="1"/>
      <c r="C619" s="1" t="s">
        <v>972</v>
      </c>
      <c r="D619" s="1">
        <v>84694</v>
      </c>
      <c r="E619" s="1">
        <v>1610</v>
      </c>
      <c r="F619" s="1" t="s">
        <v>984</v>
      </c>
      <c r="G619" s="1" t="s">
        <v>983</v>
      </c>
      <c r="H619" s="1" t="s">
        <v>141</v>
      </c>
      <c r="I619" s="1" t="s">
        <v>65</v>
      </c>
      <c r="J619" s="1">
        <v>3</v>
      </c>
      <c r="K619" s="1" t="s">
        <v>142</v>
      </c>
      <c r="L619" s="1" t="s">
        <v>153</v>
      </c>
      <c r="M619" s="1" t="s">
        <v>28</v>
      </c>
      <c r="N619" s="1" t="str">
        <f>HYPERLINK("https://klocwork.india.ti.com:443/review/insight-review.html#issuedetails_goto:problemid=84694,project=MCU_PLUS_SDK_AM263X,searchquery=taxonomy:'C and C++' build:Build_Apr_13_2023_11_11_AM grouping:off ","KW Issue Link")</f>
        <v>KW Issue Link</v>
      </c>
      <c r="O619" s="1" t="s">
        <v>966</v>
      </c>
    </row>
    <row r="620" spans="1:15" ht="60" x14ac:dyDescent="0.25">
      <c r="A620" s="1" t="s">
        <v>157</v>
      </c>
      <c r="B620" s="1"/>
      <c r="C620" s="1" t="s">
        <v>972</v>
      </c>
      <c r="D620" s="1">
        <v>84695</v>
      </c>
      <c r="E620" s="1">
        <v>1620</v>
      </c>
      <c r="F620" s="1" t="s">
        <v>985</v>
      </c>
      <c r="G620" s="1" t="s">
        <v>983</v>
      </c>
      <c r="H620" s="1" t="s">
        <v>141</v>
      </c>
      <c r="I620" s="1" t="s">
        <v>65</v>
      </c>
      <c r="J620" s="1">
        <v>3</v>
      </c>
      <c r="K620" s="1" t="s">
        <v>142</v>
      </c>
      <c r="L620" s="1" t="s">
        <v>153</v>
      </c>
      <c r="M620" s="1" t="s">
        <v>28</v>
      </c>
      <c r="N620" s="1" t="str">
        <f>HYPERLINK("https://klocwork.india.ti.com:443/review/insight-review.html#issuedetails_goto:problemid=84695,project=MCU_PLUS_SDK_AM263X,searchquery=taxonomy:'C and C++' build:Build_Apr_13_2023_11_11_AM grouping:off ","KW Issue Link")</f>
        <v>KW Issue Link</v>
      </c>
      <c r="O620" s="1" t="s">
        <v>966</v>
      </c>
    </row>
    <row r="621" spans="1:15" ht="60" x14ac:dyDescent="0.25">
      <c r="A621" s="1" t="s">
        <v>157</v>
      </c>
      <c r="B621" s="1"/>
      <c r="C621" s="1" t="s">
        <v>972</v>
      </c>
      <c r="D621" s="1">
        <v>84696</v>
      </c>
      <c r="E621" s="1">
        <v>1625</v>
      </c>
      <c r="F621" s="1" t="s">
        <v>986</v>
      </c>
      <c r="G621" s="1" t="s">
        <v>983</v>
      </c>
      <c r="H621" s="1" t="s">
        <v>141</v>
      </c>
      <c r="I621" s="1" t="s">
        <v>65</v>
      </c>
      <c r="J621" s="1">
        <v>3</v>
      </c>
      <c r="K621" s="1" t="s">
        <v>142</v>
      </c>
      <c r="L621" s="1" t="s">
        <v>153</v>
      </c>
      <c r="M621" s="1" t="s">
        <v>28</v>
      </c>
      <c r="N621" s="1" t="str">
        <f>HYPERLINK("https://klocwork.india.ti.com:443/review/insight-review.html#issuedetails_goto:problemid=84696,project=MCU_PLUS_SDK_AM263X,searchquery=taxonomy:'C and C++' build:Build_Apr_13_2023_11_11_AM grouping:off ","KW Issue Link")</f>
        <v>KW Issue Link</v>
      </c>
      <c r="O621" s="1" t="s">
        <v>966</v>
      </c>
    </row>
    <row r="622" spans="1:15" ht="60" x14ac:dyDescent="0.25">
      <c r="A622" s="1" t="s">
        <v>547</v>
      </c>
      <c r="B622" s="1"/>
      <c r="C622" s="1" t="s">
        <v>972</v>
      </c>
      <c r="D622" s="1">
        <v>84697</v>
      </c>
      <c r="E622" s="1">
        <v>1666</v>
      </c>
      <c r="F622" s="1" t="s">
        <v>548</v>
      </c>
      <c r="G622" s="1" t="s">
        <v>989</v>
      </c>
      <c r="H622" s="1" t="s">
        <v>141</v>
      </c>
      <c r="I622" s="1" t="s">
        <v>66</v>
      </c>
      <c r="J622" s="1">
        <v>4</v>
      </c>
      <c r="K622" s="1" t="s">
        <v>142</v>
      </c>
      <c r="L622" s="1" t="s">
        <v>153</v>
      </c>
      <c r="M622" s="1" t="s">
        <v>28</v>
      </c>
      <c r="N622" s="1" t="str">
        <f>HYPERLINK("https://klocwork.india.ti.com:443/review/insight-review.html#issuedetails_goto:problemid=84697,project=MCU_PLUS_SDK_AM263X,searchquery=taxonomy:'C and C++' build:Build_Apr_13_2023_11_11_AM grouping:off ","KW Issue Link")</f>
        <v>KW Issue Link</v>
      </c>
      <c r="O622" s="1" t="s">
        <v>966</v>
      </c>
    </row>
    <row r="623" spans="1:15" ht="60" x14ac:dyDescent="0.25">
      <c r="A623" s="1" t="s">
        <v>547</v>
      </c>
      <c r="B623" s="1"/>
      <c r="C623" s="1" t="s">
        <v>972</v>
      </c>
      <c r="D623" s="1">
        <v>84698</v>
      </c>
      <c r="E623" s="1">
        <v>1673</v>
      </c>
      <c r="F623" s="1" t="s">
        <v>548</v>
      </c>
      <c r="G623" s="1" t="s">
        <v>989</v>
      </c>
      <c r="H623" s="1" t="s">
        <v>141</v>
      </c>
      <c r="I623" s="1" t="s">
        <v>66</v>
      </c>
      <c r="J623" s="1">
        <v>4</v>
      </c>
      <c r="K623" s="1" t="s">
        <v>142</v>
      </c>
      <c r="L623" s="1" t="s">
        <v>153</v>
      </c>
      <c r="M623" s="1" t="s">
        <v>28</v>
      </c>
      <c r="N623" s="1" t="str">
        <f>HYPERLINK("https://klocwork.india.ti.com:443/review/insight-review.html#issuedetails_goto:problemid=84698,project=MCU_PLUS_SDK_AM263X,searchquery=taxonomy:'C and C++' build:Build_Apr_13_2023_11_11_AM grouping:off ","KW Issue Link")</f>
        <v>KW Issue Link</v>
      </c>
      <c r="O623" s="1" t="s">
        <v>966</v>
      </c>
    </row>
    <row r="624" spans="1:15" ht="60" x14ac:dyDescent="0.25">
      <c r="A624" s="1" t="s">
        <v>547</v>
      </c>
      <c r="B624" s="1"/>
      <c r="C624" s="1" t="s">
        <v>972</v>
      </c>
      <c r="D624" s="1">
        <v>84699</v>
      </c>
      <c r="E624" s="1">
        <v>1688</v>
      </c>
      <c r="F624" s="1" t="s">
        <v>548</v>
      </c>
      <c r="G624" s="1" t="s">
        <v>990</v>
      </c>
      <c r="H624" s="1" t="s">
        <v>141</v>
      </c>
      <c r="I624" s="1" t="s">
        <v>66</v>
      </c>
      <c r="J624" s="1">
        <v>4</v>
      </c>
      <c r="K624" s="1" t="s">
        <v>142</v>
      </c>
      <c r="L624" s="1" t="s">
        <v>153</v>
      </c>
      <c r="M624" s="1" t="s">
        <v>28</v>
      </c>
      <c r="N624" s="1" t="str">
        <f>HYPERLINK("https://klocwork.india.ti.com:443/review/insight-review.html#issuedetails_goto:problemid=84699,project=MCU_PLUS_SDK_AM263X,searchquery=taxonomy:'C and C++' build:Build_Apr_13_2023_11_11_AM grouping:off ","KW Issue Link")</f>
        <v>KW Issue Link</v>
      </c>
      <c r="O624" s="1" t="s">
        <v>966</v>
      </c>
    </row>
    <row r="625" spans="1:15" ht="90" x14ac:dyDescent="0.25">
      <c r="A625" s="1" t="s">
        <v>149</v>
      </c>
      <c r="B625" s="1"/>
      <c r="C625" s="1" t="s">
        <v>256</v>
      </c>
      <c r="D625" s="1">
        <v>85877</v>
      </c>
      <c r="E625" s="1">
        <v>581</v>
      </c>
      <c r="F625" s="1" t="s">
        <v>991</v>
      </c>
      <c r="G625" s="1" t="s">
        <v>992</v>
      </c>
      <c r="H625" s="1" t="s">
        <v>141</v>
      </c>
      <c r="I625" s="1" t="s">
        <v>65</v>
      </c>
      <c r="J625" s="1">
        <v>3</v>
      </c>
      <c r="K625" s="1" t="s">
        <v>142</v>
      </c>
      <c r="L625" s="1" t="s">
        <v>153</v>
      </c>
      <c r="M625" s="1" t="s">
        <v>28</v>
      </c>
      <c r="N625" s="1" t="str">
        <f>HYPERLINK("https://klocwork.india.ti.com:443/review/insight-review.html#issuedetails_goto:problemid=85877,project=MCU_PLUS_SDK_AM263X,searchquery=taxonomy:'C and C++' build:Build_Apr_13_2023_11_11_AM grouping:off ","KW Issue Link")</f>
        <v>KW Issue Link</v>
      </c>
      <c r="O625" s="1" t="s">
        <v>259</v>
      </c>
    </row>
    <row r="626" spans="1:15" ht="105" x14ac:dyDescent="0.25">
      <c r="A626" s="1" t="s">
        <v>149</v>
      </c>
      <c r="B626" s="1"/>
      <c r="C626" s="1" t="s">
        <v>256</v>
      </c>
      <c r="D626" s="1">
        <v>85878</v>
      </c>
      <c r="E626" s="1">
        <v>643</v>
      </c>
      <c r="F626" s="1" t="s">
        <v>993</v>
      </c>
      <c r="G626" s="1" t="s">
        <v>994</v>
      </c>
      <c r="H626" s="1" t="s">
        <v>141</v>
      </c>
      <c r="I626" s="1" t="s">
        <v>65</v>
      </c>
      <c r="J626" s="1">
        <v>3</v>
      </c>
      <c r="K626" s="1" t="s">
        <v>142</v>
      </c>
      <c r="L626" s="1" t="s">
        <v>153</v>
      </c>
      <c r="M626" s="1" t="s">
        <v>28</v>
      </c>
      <c r="N626" s="1" t="str">
        <f>HYPERLINK("https://klocwork.india.ti.com:443/review/insight-review.html#issuedetails_goto:problemid=85878,project=MCU_PLUS_SDK_AM263X,searchquery=taxonomy:'C and C++' build:Build_Apr_13_2023_11_11_AM grouping:off ","KW Issue Link")</f>
        <v>KW Issue Link</v>
      </c>
      <c r="O626" s="1" t="s">
        <v>259</v>
      </c>
    </row>
    <row r="627" spans="1:15" ht="90" x14ac:dyDescent="0.25">
      <c r="A627" s="1" t="s">
        <v>149</v>
      </c>
      <c r="B627" s="1"/>
      <c r="C627" s="1" t="s">
        <v>256</v>
      </c>
      <c r="D627" s="1">
        <v>85879</v>
      </c>
      <c r="E627" s="1">
        <v>654</v>
      </c>
      <c r="F627" s="1" t="s">
        <v>995</v>
      </c>
      <c r="G627" s="1" t="s">
        <v>994</v>
      </c>
      <c r="H627" s="1" t="s">
        <v>141</v>
      </c>
      <c r="I627" s="1" t="s">
        <v>65</v>
      </c>
      <c r="J627" s="1">
        <v>3</v>
      </c>
      <c r="K627" s="1" t="s">
        <v>142</v>
      </c>
      <c r="L627" s="1" t="s">
        <v>153</v>
      </c>
      <c r="M627" s="1" t="s">
        <v>28</v>
      </c>
      <c r="N627" s="1" t="str">
        <f>HYPERLINK("https://klocwork.india.ti.com:443/review/insight-review.html#issuedetails_goto:problemid=85879,project=MCU_PLUS_SDK_AM263X,searchquery=taxonomy:'C and C++' build:Build_Apr_13_2023_11_11_AM grouping:off ","KW Issue Link")</f>
        <v>KW Issue Link</v>
      </c>
      <c r="O627" s="1" t="s">
        <v>259</v>
      </c>
    </row>
    <row r="628" spans="1:15" ht="60" x14ac:dyDescent="0.25">
      <c r="A628" s="1" t="s">
        <v>155</v>
      </c>
      <c r="B628" s="1"/>
      <c r="C628" s="1" t="s">
        <v>256</v>
      </c>
      <c r="D628" s="1">
        <v>85880</v>
      </c>
      <c r="E628" s="1">
        <v>583</v>
      </c>
      <c r="F628" s="1" t="s">
        <v>156</v>
      </c>
      <c r="G628" s="1" t="s">
        <v>992</v>
      </c>
      <c r="H628" s="1" t="s">
        <v>141</v>
      </c>
      <c r="I628" s="1" t="s">
        <v>65</v>
      </c>
      <c r="J628" s="1">
        <v>3</v>
      </c>
      <c r="K628" s="1" t="s">
        <v>142</v>
      </c>
      <c r="L628" s="1" t="s">
        <v>153</v>
      </c>
      <c r="M628" s="1" t="s">
        <v>28</v>
      </c>
      <c r="N628" s="1" t="str">
        <f>HYPERLINK("https://klocwork.india.ti.com:443/review/insight-review.html#issuedetails_goto:problemid=85880,project=MCU_PLUS_SDK_AM263X,searchquery=taxonomy:'C and C++' build:Build_Apr_13_2023_11_11_AM grouping:off ","KW Issue Link")</f>
        <v>KW Issue Link</v>
      </c>
      <c r="O628" s="1" t="s">
        <v>259</v>
      </c>
    </row>
    <row r="629" spans="1:15" ht="60" x14ac:dyDescent="0.25">
      <c r="A629" s="1" t="s">
        <v>155</v>
      </c>
      <c r="B629" s="1"/>
      <c r="C629" s="1" t="s">
        <v>256</v>
      </c>
      <c r="D629" s="1">
        <v>85881</v>
      </c>
      <c r="E629" s="1">
        <v>646</v>
      </c>
      <c r="F629" s="1" t="s">
        <v>156</v>
      </c>
      <c r="G629" s="1" t="s">
        <v>994</v>
      </c>
      <c r="H629" s="1" t="s">
        <v>141</v>
      </c>
      <c r="I629" s="1" t="s">
        <v>65</v>
      </c>
      <c r="J629" s="1">
        <v>3</v>
      </c>
      <c r="K629" s="1" t="s">
        <v>142</v>
      </c>
      <c r="L629" s="1" t="s">
        <v>153</v>
      </c>
      <c r="M629" s="1" t="s">
        <v>28</v>
      </c>
      <c r="N629" s="1" t="str">
        <f>HYPERLINK("https://klocwork.india.ti.com:443/review/insight-review.html#issuedetails_goto:problemid=85881,project=MCU_PLUS_SDK_AM263X,searchquery=taxonomy:'C and C++' build:Build_Apr_13_2023_11_11_AM grouping:off ","KW Issue Link")</f>
        <v>KW Issue Link</v>
      </c>
      <c r="O629" s="1" t="s">
        <v>259</v>
      </c>
    </row>
    <row r="630" spans="1:15" ht="60" x14ac:dyDescent="0.25">
      <c r="A630" s="1" t="s">
        <v>155</v>
      </c>
      <c r="B630" s="1"/>
      <c r="C630" s="1" t="s">
        <v>256</v>
      </c>
      <c r="D630" s="1">
        <v>85882</v>
      </c>
      <c r="E630" s="1">
        <v>695</v>
      </c>
      <c r="F630" s="1" t="s">
        <v>156</v>
      </c>
      <c r="G630" s="1" t="s">
        <v>994</v>
      </c>
      <c r="H630" s="1" t="s">
        <v>141</v>
      </c>
      <c r="I630" s="1" t="s">
        <v>65</v>
      </c>
      <c r="J630" s="1">
        <v>3</v>
      </c>
      <c r="K630" s="1" t="s">
        <v>142</v>
      </c>
      <c r="L630" s="1" t="s">
        <v>153</v>
      </c>
      <c r="M630" s="1" t="s">
        <v>28</v>
      </c>
      <c r="N630" s="1" t="str">
        <f>HYPERLINK("https://klocwork.india.ti.com:443/review/insight-review.html#issuedetails_goto:problemid=85882,project=MCU_PLUS_SDK_AM263X,searchquery=taxonomy:'C and C++' build:Build_Apr_13_2023_11_11_AM grouping:off ","KW Issue Link")</f>
        <v>KW Issue Link</v>
      </c>
      <c r="O630" s="1" t="s">
        <v>259</v>
      </c>
    </row>
    <row r="631" spans="1:15" ht="75" x14ac:dyDescent="0.25">
      <c r="A631" s="1" t="s">
        <v>149</v>
      </c>
      <c r="B631" s="1"/>
      <c r="C631" s="1" t="s">
        <v>345</v>
      </c>
      <c r="D631" s="1">
        <v>85934</v>
      </c>
      <c r="E631" s="1">
        <v>168</v>
      </c>
      <c r="F631" s="1" t="s">
        <v>996</v>
      </c>
      <c r="G631" s="1" t="s">
        <v>347</v>
      </c>
      <c r="H631" s="1" t="s">
        <v>141</v>
      </c>
      <c r="I631" s="1" t="s">
        <v>65</v>
      </c>
      <c r="J631" s="1">
        <v>3</v>
      </c>
      <c r="K631" s="1" t="s">
        <v>142</v>
      </c>
      <c r="L631" s="1" t="s">
        <v>153</v>
      </c>
      <c r="M631" s="1" t="s">
        <v>28</v>
      </c>
      <c r="N631" s="1" t="str">
        <f>HYPERLINK("https://klocwork.india.ti.com:443/review/insight-review.html#issuedetails_goto:problemid=85934,project=MCU_PLUS_SDK_AM263X,searchquery=taxonomy:'C and C++' build:Build_Apr_13_2023_11_11_AM grouping:off ","KW Issue Link")</f>
        <v>KW Issue Link</v>
      </c>
      <c r="O631" s="1" t="s">
        <v>291</v>
      </c>
    </row>
    <row r="632" spans="1:15" ht="75" x14ac:dyDescent="0.25">
      <c r="A632" s="1" t="s">
        <v>155</v>
      </c>
      <c r="B632" s="1"/>
      <c r="C632" s="1" t="s">
        <v>345</v>
      </c>
      <c r="D632" s="1">
        <v>85935</v>
      </c>
      <c r="E632" s="1">
        <v>169</v>
      </c>
      <c r="F632" s="1" t="s">
        <v>156</v>
      </c>
      <c r="G632" s="1" t="s">
        <v>347</v>
      </c>
      <c r="H632" s="1" t="s">
        <v>141</v>
      </c>
      <c r="I632" s="1" t="s">
        <v>65</v>
      </c>
      <c r="J632" s="1">
        <v>3</v>
      </c>
      <c r="K632" s="1" t="s">
        <v>142</v>
      </c>
      <c r="L632" s="1" t="s">
        <v>153</v>
      </c>
      <c r="M632" s="1" t="s">
        <v>28</v>
      </c>
      <c r="N632" s="1" t="str">
        <f>HYPERLINK("https://klocwork.india.ti.com:443/review/insight-review.html#issuedetails_goto:problemid=85935,project=MCU_PLUS_SDK_AM263X,searchquery=taxonomy:'C and C++' build:Build_Apr_13_2023_11_11_AM grouping:off ","KW Issue Link")</f>
        <v>KW Issue Link</v>
      </c>
      <c r="O632" s="1" t="s">
        <v>291</v>
      </c>
    </row>
    <row r="633" spans="1:15" ht="75" x14ac:dyDescent="0.25">
      <c r="A633" s="1" t="s">
        <v>997</v>
      </c>
      <c r="B633" s="1"/>
      <c r="C633" s="1" t="s">
        <v>998</v>
      </c>
      <c r="D633" s="1">
        <v>86553</v>
      </c>
      <c r="E633" s="1">
        <v>1057</v>
      </c>
      <c r="F633" s="1" t="s">
        <v>999</v>
      </c>
      <c r="G633" s="1" t="s">
        <v>1000</v>
      </c>
      <c r="H633" s="1" t="s">
        <v>141</v>
      </c>
      <c r="I633" s="1" t="s">
        <v>66</v>
      </c>
      <c r="J633" s="1">
        <v>4</v>
      </c>
      <c r="K633" s="1" t="s">
        <v>142</v>
      </c>
      <c r="L633" s="1" t="s">
        <v>153</v>
      </c>
      <c r="M633" s="1" t="s">
        <v>28</v>
      </c>
      <c r="N633" s="1" t="str">
        <f>HYPERLINK("https://klocwork.india.ti.com:443/review/insight-review.html#issuedetails_goto:problemid=86553,project=MCU_PLUS_SDK_AM263X,searchquery=taxonomy:'C and C++' build:Build_Apr_13_2023_11_11_AM grouping:off ","KW Issue Link")</f>
        <v>KW Issue Link</v>
      </c>
      <c r="O633" s="1" t="s">
        <v>356</v>
      </c>
    </row>
    <row r="634" spans="1:15" ht="60" x14ac:dyDescent="0.25">
      <c r="A634" s="1" t="s">
        <v>157</v>
      </c>
      <c r="B634" s="1" t="s">
        <v>1001</v>
      </c>
      <c r="C634" s="1" t="s">
        <v>1002</v>
      </c>
      <c r="D634" s="1">
        <v>86575</v>
      </c>
      <c r="E634" s="1">
        <v>148</v>
      </c>
      <c r="F634" s="1" t="s">
        <v>1003</v>
      </c>
      <c r="G634" s="1" t="s">
        <v>1004</v>
      </c>
      <c r="H634" s="1" t="s">
        <v>141</v>
      </c>
      <c r="I634" s="1" t="s">
        <v>65</v>
      </c>
      <c r="J634" s="1">
        <v>3</v>
      </c>
      <c r="K634" s="1" t="s">
        <v>142</v>
      </c>
      <c r="L634" s="1" t="s">
        <v>143</v>
      </c>
      <c r="M634" s="1" t="s">
        <v>28</v>
      </c>
      <c r="N634" s="1" t="str">
        <f>HYPERLINK("https://klocwork.india.ti.com:443/review/insight-review.html#issuedetails_goto:problemid=86575,project=MCU_PLUS_SDK_AM263X,searchquery=taxonomy:'C and C++' build:Build_Apr_13_2023_11_11_AM grouping:off ","KW Issue Link")</f>
        <v>KW Issue Link</v>
      </c>
      <c r="O634" s="1" t="s">
        <v>1005</v>
      </c>
    </row>
    <row r="635" spans="1:15" ht="60" x14ac:dyDescent="0.25">
      <c r="A635" s="1" t="s">
        <v>157</v>
      </c>
      <c r="B635" s="1" t="s">
        <v>1001</v>
      </c>
      <c r="C635" s="1" t="s">
        <v>1002</v>
      </c>
      <c r="D635" s="1">
        <v>86576</v>
      </c>
      <c r="E635" s="1">
        <v>360</v>
      </c>
      <c r="F635" s="1" t="s">
        <v>1003</v>
      </c>
      <c r="G635" s="1" t="s">
        <v>1006</v>
      </c>
      <c r="H635" s="1" t="s">
        <v>141</v>
      </c>
      <c r="I635" s="1" t="s">
        <v>65</v>
      </c>
      <c r="J635" s="1">
        <v>3</v>
      </c>
      <c r="K635" s="1" t="s">
        <v>142</v>
      </c>
      <c r="L635" s="1" t="s">
        <v>143</v>
      </c>
      <c r="M635" s="1" t="s">
        <v>28</v>
      </c>
      <c r="N635" s="1" t="str">
        <f>HYPERLINK("https://klocwork.india.ti.com:443/review/insight-review.html#issuedetails_goto:problemid=86576,project=MCU_PLUS_SDK_AM263X,searchquery=taxonomy:'C and C++' build:Build_Apr_13_2023_11_11_AM grouping:off ","KW Issue Link")</f>
        <v>KW Issue Link</v>
      </c>
      <c r="O635" s="1" t="s">
        <v>1005</v>
      </c>
    </row>
    <row r="636" spans="1:15" ht="75" x14ac:dyDescent="0.25">
      <c r="A636" s="1" t="s">
        <v>149</v>
      </c>
      <c r="B636" s="1" t="s">
        <v>1007</v>
      </c>
      <c r="C636" s="1" t="s">
        <v>1002</v>
      </c>
      <c r="D636" s="1">
        <v>86577</v>
      </c>
      <c r="E636" s="1">
        <v>442</v>
      </c>
      <c r="F636" s="1" t="s">
        <v>1008</v>
      </c>
      <c r="G636" s="1" t="s">
        <v>1009</v>
      </c>
      <c r="H636" s="1" t="s">
        <v>141</v>
      </c>
      <c r="I636" s="1" t="s">
        <v>65</v>
      </c>
      <c r="J636" s="1">
        <v>3</v>
      </c>
      <c r="K636" s="1" t="s">
        <v>142</v>
      </c>
      <c r="L636" s="1" t="s">
        <v>143</v>
      </c>
      <c r="M636" s="1" t="s">
        <v>28</v>
      </c>
      <c r="N636" s="1" t="str">
        <f>HYPERLINK("https://klocwork.india.ti.com:443/review/insight-review.html#issuedetails_goto:problemid=86577,project=MCU_PLUS_SDK_AM263X,searchquery=taxonomy:'C and C++' build:Build_Apr_13_2023_11_11_AM grouping:off ","KW Issue Link")</f>
        <v>KW Issue Link</v>
      </c>
      <c r="O636" s="1" t="s">
        <v>1005</v>
      </c>
    </row>
    <row r="637" spans="1:15" ht="60" x14ac:dyDescent="0.25">
      <c r="A637" s="1" t="s">
        <v>155</v>
      </c>
      <c r="B637" s="1" t="s">
        <v>1010</v>
      </c>
      <c r="C637" s="1" t="s">
        <v>1002</v>
      </c>
      <c r="D637" s="1">
        <v>86578</v>
      </c>
      <c r="E637" s="1">
        <v>444</v>
      </c>
      <c r="F637" s="1" t="s">
        <v>156</v>
      </c>
      <c r="G637" s="1" t="s">
        <v>1009</v>
      </c>
      <c r="H637" s="1" t="s">
        <v>141</v>
      </c>
      <c r="I637" s="1" t="s">
        <v>65</v>
      </c>
      <c r="J637" s="1">
        <v>3</v>
      </c>
      <c r="K637" s="1" t="s">
        <v>142</v>
      </c>
      <c r="L637" s="1" t="s">
        <v>143</v>
      </c>
      <c r="M637" s="1" t="s">
        <v>28</v>
      </c>
      <c r="N637" s="1" t="str">
        <f>HYPERLINK("https://klocwork.india.ti.com:443/review/insight-review.html#issuedetails_goto:problemid=86578,project=MCU_PLUS_SDK_AM263X,searchquery=taxonomy:'C and C++' build:Build_Apr_13_2023_11_11_AM grouping:off ","KW Issue Link")</f>
        <v>KW Issue Link</v>
      </c>
      <c r="O637" s="1" t="s">
        <v>1005</v>
      </c>
    </row>
    <row r="638" spans="1:15" ht="60" x14ac:dyDescent="0.25">
      <c r="A638" s="1" t="s">
        <v>157</v>
      </c>
      <c r="B638" s="1"/>
      <c r="C638" s="1" t="s">
        <v>395</v>
      </c>
      <c r="D638" s="1">
        <v>86589</v>
      </c>
      <c r="E638" s="1">
        <v>719</v>
      </c>
      <c r="F638" s="1" t="s">
        <v>1011</v>
      </c>
      <c r="G638" s="1" t="s">
        <v>1012</v>
      </c>
      <c r="H638" s="1" t="s">
        <v>141</v>
      </c>
      <c r="I638" s="1" t="s">
        <v>65</v>
      </c>
      <c r="J638" s="1">
        <v>3</v>
      </c>
      <c r="K638" s="1" t="s">
        <v>142</v>
      </c>
      <c r="L638" s="1" t="s">
        <v>153</v>
      </c>
      <c r="M638" s="1" t="s">
        <v>28</v>
      </c>
      <c r="N638" s="1" t="str">
        <f>HYPERLINK("https://klocwork.india.ti.com:443/review/insight-review.html#issuedetails_goto:problemid=86589,project=MCU_PLUS_SDK_AM263X,searchquery=taxonomy:'C and C++' build:Build_Apr_13_2023_11_11_AM grouping:off ","KW Issue Link")</f>
        <v>KW Issue Link</v>
      </c>
      <c r="O638" s="1" t="s">
        <v>356</v>
      </c>
    </row>
    <row r="639" spans="1:15" ht="90" x14ac:dyDescent="0.25">
      <c r="A639" s="1" t="s">
        <v>149</v>
      </c>
      <c r="B639" s="1"/>
      <c r="C639" s="1" t="s">
        <v>395</v>
      </c>
      <c r="D639" s="1">
        <v>86591</v>
      </c>
      <c r="E639" s="1">
        <v>1228</v>
      </c>
      <c r="F639" s="1" t="s">
        <v>1013</v>
      </c>
      <c r="G639" s="1" t="s">
        <v>1014</v>
      </c>
      <c r="H639" s="1" t="s">
        <v>141</v>
      </c>
      <c r="I639" s="1" t="s">
        <v>65</v>
      </c>
      <c r="J639" s="1">
        <v>3</v>
      </c>
      <c r="K639" s="1" t="s">
        <v>142</v>
      </c>
      <c r="L639" s="1" t="s">
        <v>153</v>
      </c>
      <c r="M639" s="1" t="s">
        <v>28</v>
      </c>
      <c r="N639" s="1" t="str">
        <f>HYPERLINK("https://klocwork.india.ti.com:443/review/insight-review.html#issuedetails_goto:problemid=86591,project=MCU_PLUS_SDK_AM263X,searchquery=taxonomy:'C and C++' build:Build_Apr_13_2023_11_11_AM grouping:off ","KW Issue Link")</f>
        <v>KW Issue Link</v>
      </c>
      <c r="O639" s="1" t="s">
        <v>356</v>
      </c>
    </row>
    <row r="640" spans="1:15" ht="90" x14ac:dyDescent="0.25">
      <c r="A640" s="1" t="s">
        <v>149</v>
      </c>
      <c r="B640" s="1"/>
      <c r="C640" s="1" t="s">
        <v>395</v>
      </c>
      <c r="D640" s="1">
        <v>86592</v>
      </c>
      <c r="E640" s="1">
        <v>1346</v>
      </c>
      <c r="F640" s="1" t="s">
        <v>1015</v>
      </c>
      <c r="G640" s="1" t="s">
        <v>1016</v>
      </c>
      <c r="H640" s="1" t="s">
        <v>141</v>
      </c>
      <c r="I640" s="1" t="s">
        <v>65</v>
      </c>
      <c r="J640" s="1">
        <v>3</v>
      </c>
      <c r="K640" s="1" t="s">
        <v>142</v>
      </c>
      <c r="L640" s="1" t="s">
        <v>153</v>
      </c>
      <c r="M640" s="1" t="s">
        <v>28</v>
      </c>
      <c r="N640" s="1" t="str">
        <f>HYPERLINK("https://klocwork.india.ti.com:443/review/insight-review.html#issuedetails_goto:problemid=86592,project=MCU_PLUS_SDK_AM263X,searchquery=taxonomy:'C and C++' build:Build_Apr_13_2023_11_11_AM grouping:off ","KW Issue Link")</f>
        <v>KW Issue Link</v>
      </c>
      <c r="O640" s="1" t="s">
        <v>356</v>
      </c>
    </row>
    <row r="641" spans="1:15" ht="75" x14ac:dyDescent="0.25">
      <c r="A641" s="1" t="s">
        <v>149</v>
      </c>
      <c r="B641" s="1"/>
      <c r="C641" s="1" t="s">
        <v>395</v>
      </c>
      <c r="D641" s="1">
        <v>86593</v>
      </c>
      <c r="E641" s="1">
        <v>1544</v>
      </c>
      <c r="F641" s="1" t="s">
        <v>1017</v>
      </c>
      <c r="G641" s="1" t="s">
        <v>1018</v>
      </c>
      <c r="H641" s="1" t="s">
        <v>141</v>
      </c>
      <c r="I641" s="1" t="s">
        <v>65</v>
      </c>
      <c r="J641" s="1">
        <v>3</v>
      </c>
      <c r="K641" s="1" t="s">
        <v>142</v>
      </c>
      <c r="L641" s="1" t="s">
        <v>153</v>
      </c>
      <c r="M641" s="1" t="s">
        <v>28</v>
      </c>
      <c r="N641" s="1" t="str">
        <f>HYPERLINK("https://klocwork.india.ti.com:443/review/insight-review.html#issuedetails_goto:problemid=86593,project=MCU_PLUS_SDK_AM263X,searchquery=taxonomy:'C and C++' build:Build_Apr_13_2023_11_11_AM grouping:off ","KW Issue Link")</f>
        <v>KW Issue Link</v>
      </c>
      <c r="O641" s="1" t="s">
        <v>356</v>
      </c>
    </row>
    <row r="642" spans="1:15" ht="60" x14ac:dyDescent="0.25">
      <c r="A642" s="1" t="s">
        <v>155</v>
      </c>
      <c r="B642" s="1"/>
      <c r="C642" s="1" t="s">
        <v>395</v>
      </c>
      <c r="D642" s="1">
        <v>86594</v>
      </c>
      <c r="E642" s="1">
        <v>1230</v>
      </c>
      <c r="F642" s="1" t="s">
        <v>156</v>
      </c>
      <c r="G642" s="1" t="s">
        <v>1014</v>
      </c>
      <c r="H642" s="1" t="s">
        <v>141</v>
      </c>
      <c r="I642" s="1" t="s">
        <v>65</v>
      </c>
      <c r="J642" s="1">
        <v>3</v>
      </c>
      <c r="K642" s="1" t="s">
        <v>142</v>
      </c>
      <c r="L642" s="1" t="s">
        <v>153</v>
      </c>
      <c r="M642" s="1" t="s">
        <v>28</v>
      </c>
      <c r="N642" s="1" t="str">
        <f>HYPERLINK("https://klocwork.india.ti.com:443/review/insight-review.html#issuedetails_goto:problemid=86594,project=MCU_PLUS_SDK_AM263X,searchquery=taxonomy:'C and C++' build:Build_Apr_13_2023_11_11_AM grouping:off ","KW Issue Link")</f>
        <v>KW Issue Link</v>
      </c>
      <c r="O642" s="1" t="s">
        <v>356</v>
      </c>
    </row>
    <row r="643" spans="1:15" ht="60" x14ac:dyDescent="0.25">
      <c r="A643" s="1" t="s">
        <v>155</v>
      </c>
      <c r="B643" s="1"/>
      <c r="C643" s="1" t="s">
        <v>395</v>
      </c>
      <c r="D643" s="1">
        <v>86595</v>
      </c>
      <c r="E643" s="1">
        <v>1348</v>
      </c>
      <c r="F643" s="1" t="s">
        <v>156</v>
      </c>
      <c r="G643" s="1" t="s">
        <v>1016</v>
      </c>
      <c r="H643" s="1" t="s">
        <v>141</v>
      </c>
      <c r="I643" s="1" t="s">
        <v>65</v>
      </c>
      <c r="J643" s="1">
        <v>3</v>
      </c>
      <c r="K643" s="1" t="s">
        <v>142</v>
      </c>
      <c r="L643" s="1" t="s">
        <v>153</v>
      </c>
      <c r="M643" s="1" t="s">
        <v>28</v>
      </c>
      <c r="N643" s="1" t="str">
        <f>HYPERLINK("https://klocwork.india.ti.com:443/review/insight-review.html#issuedetails_goto:problemid=86595,project=MCU_PLUS_SDK_AM263X,searchquery=taxonomy:'C and C++' build:Build_Apr_13_2023_11_11_AM grouping:off ","KW Issue Link")</f>
        <v>KW Issue Link</v>
      </c>
      <c r="O643" s="1" t="s">
        <v>356</v>
      </c>
    </row>
    <row r="644" spans="1:15" ht="60" x14ac:dyDescent="0.25">
      <c r="A644" s="1" t="s">
        <v>155</v>
      </c>
      <c r="B644" s="1"/>
      <c r="C644" s="1" t="s">
        <v>395</v>
      </c>
      <c r="D644" s="1">
        <v>86596</v>
      </c>
      <c r="E644" s="1">
        <v>1546</v>
      </c>
      <c r="F644" s="1" t="s">
        <v>156</v>
      </c>
      <c r="G644" s="1" t="s">
        <v>1018</v>
      </c>
      <c r="H644" s="1" t="s">
        <v>141</v>
      </c>
      <c r="I644" s="1" t="s">
        <v>65</v>
      </c>
      <c r="J644" s="1">
        <v>3</v>
      </c>
      <c r="K644" s="1" t="s">
        <v>142</v>
      </c>
      <c r="L644" s="1" t="s">
        <v>153</v>
      </c>
      <c r="M644" s="1" t="s">
        <v>28</v>
      </c>
      <c r="N644" s="1" t="str">
        <f>HYPERLINK("https://klocwork.india.ti.com:443/review/insight-review.html#issuedetails_goto:problemid=86596,project=MCU_PLUS_SDK_AM263X,searchquery=taxonomy:'C and C++' build:Build_Apr_13_2023_11_11_AM grouping:off ","KW Issue Link")</f>
        <v>KW Issue Link</v>
      </c>
      <c r="O644" s="1" t="s">
        <v>356</v>
      </c>
    </row>
    <row r="645" spans="1:15" ht="75" x14ac:dyDescent="0.25">
      <c r="A645" s="1" t="s">
        <v>157</v>
      </c>
      <c r="B645" s="1"/>
      <c r="C645" s="1" t="s">
        <v>441</v>
      </c>
      <c r="D645" s="1">
        <v>87013</v>
      </c>
      <c r="E645" s="1">
        <v>838</v>
      </c>
      <c r="F645" s="1" t="s">
        <v>1019</v>
      </c>
      <c r="G645" s="1" t="s">
        <v>1020</v>
      </c>
      <c r="H645" s="1" t="s">
        <v>141</v>
      </c>
      <c r="I645" s="1" t="s">
        <v>65</v>
      </c>
      <c r="J645" s="1">
        <v>3</v>
      </c>
      <c r="K645" s="1" t="s">
        <v>142</v>
      </c>
      <c r="L645" s="1" t="s">
        <v>153</v>
      </c>
      <c r="M645" s="1" t="s">
        <v>28</v>
      </c>
      <c r="N645" s="1" t="str">
        <f>HYPERLINK("https://klocwork.india.ti.com:443/review/insight-review.html#issuedetails_goto:problemid=87013,project=MCU_PLUS_SDK_AM263X,searchquery=taxonomy:'C and C++' build:Build_Apr_13_2023_11_11_AM grouping:off ","KW Issue Link")</f>
        <v>KW Issue Link</v>
      </c>
      <c r="O645" s="1" t="s">
        <v>356</v>
      </c>
    </row>
    <row r="646" spans="1:15" ht="90" x14ac:dyDescent="0.25">
      <c r="A646" s="1" t="s">
        <v>157</v>
      </c>
      <c r="B646" s="1"/>
      <c r="C646" s="1" t="s">
        <v>441</v>
      </c>
      <c r="D646" s="1">
        <v>87014</v>
      </c>
      <c r="E646" s="1">
        <v>840</v>
      </c>
      <c r="F646" s="1" t="s">
        <v>1021</v>
      </c>
      <c r="G646" s="1" t="s">
        <v>1020</v>
      </c>
      <c r="H646" s="1" t="s">
        <v>141</v>
      </c>
      <c r="I646" s="1" t="s">
        <v>65</v>
      </c>
      <c r="J646" s="1">
        <v>3</v>
      </c>
      <c r="K646" s="1" t="s">
        <v>142</v>
      </c>
      <c r="L646" s="1" t="s">
        <v>153</v>
      </c>
      <c r="M646" s="1" t="s">
        <v>28</v>
      </c>
      <c r="N646" s="1" t="str">
        <f>HYPERLINK("https://klocwork.india.ti.com:443/review/insight-review.html#issuedetails_goto:problemid=87014,project=MCU_PLUS_SDK_AM263X,searchquery=taxonomy:'C and C++' build:Build_Apr_13_2023_11_11_AM grouping:off ","KW Issue Link")</f>
        <v>KW Issue Link</v>
      </c>
      <c r="O646" s="1" t="s">
        <v>356</v>
      </c>
    </row>
    <row r="647" spans="1:15" ht="105" x14ac:dyDescent="0.25">
      <c r="A647" s="1" t="s">
        <v>163</v>
      </c>
      <c r="B647" s="1"/>
      <c r="C647" s="1" t="s">
        <v>167</v>
      </c>
      <c r="D647" s="1">
        <v>87125</v>
      </c>
      <c r="E647" s="1">
        <v>519</v>
      </c>
      <c r="F647" s="1" t="s">
        <v>1022</v>
      </c>
      <c r="G647" s="1" t="s">
        <v>1023</v>
      </c>
      <c r="H647" s="1" t="s">
        <v>141</v>
      </c>
      <c r="I647" s="1" t="s">
        <v>65</v>
      </c>
      <c r="J647" s="1">
        <v>3</v>
      </c>
      <c r="K647" s="1" t="s">
        <v>142</v>
      </c>
      <c r="L647" s="1" t="s">
        <v>153</v>
      </c>
      <c r="M647" s="1" t="s">
        <v>28</v>
      </c>
      <c r="N647" s="1" t="str">
        <f>HYPERLINK("https://klocwork.india.ti.com:443/review/insight-review.html#issuedetails_goto:problemid=87125,project=MCU_PLUS_SDK_AM263X,searchquery=taxonomy:'C and C++' build:Build_Apr_13_2023_11_11_AM grouping:off ","KW Issue Link")</f>
        <v>KW Issue Link</v>
      </c>
      <c r="O647" s="1" t="s">
        <v>154</v>
      </c>
    </row>
    <row r="648" spans="1:15" ht="105" x14ac:dyDescent="0.25">
      <c r="A648" s="1" t="s">
        <v>157</v>
      </c>
      <c r="B648" s="1"/>
      <c r="C648" s="1" t="s">
        <v>167</v>
      </c>
      <c r="D648" s="1">
        <v>87126</v>
      </c>
      <c r="E648" s="1">
        <v>498</v>
      </c>
      <c r="F648" s="1" t="s">
        <v>1024</v>
      </c>
      <c r="G648" s="1" t="s">
        <v>1023</v>
      </c>
      <c r="H648" s="1" t="s">
        <v>141</v>
      </c>
      <c r="I648" s="1" t="s">
        <v>65</v>
      </c>
      <c r="J648" s="1">
        <v>3</v>
      </c>
      <c r="K648" s="1" t="s">
        <v>142</v>
      </c>
      <c r="L648" s="1" t="s">
        <v>153</v>
      </c>
      <c r="M648" s="1" t="s">
        <v>28</v>
      </c>
      <c r="N648" s="1" t="str">
        <f>HYPERLINK("https://klocwork.india.ti.com:443/review/insight-review.html#issuedetails_goto:problemid=87126,project=MCU_PLUS_SDK_AM263X,searchquery=taxonomy:'C and C++' build:Build_Apr_13_2023_11_11_AM grouping:off ","KW Issue Link")</f>
        <v>KW Issue Link</v>
      </c>
      <c r="O648" s="1" t="s">
        <v>154</v>
      </c>
    </row>
    <row r="649" spans="1:15" ht="105" x14ac:dyDescent="0.25">
      <c r="A649" s="1" t="s">
        <v>149</v>
      </c>
      <c r="B649" s="1"/>
      <c r="C649" s="1" t="s">
        <v>1025</v>
      </c>
      <c r="D649" s="1">
        <v>87139</v>
      </c>
      <c r="E649" s="1">
        <v>120</v>
      </c>
      <c r="F649" s="1" t="s">
        <v>1026</v>
      </c>
      <c r="G649" s="1" t="s">
        <v>1027</v>
      </c>
      <c r="H649" s="1" t="s">
        <v>141</v>
      </c>
      <c r="I649" s="1" t="s">
        <v>65</v>
      </c>
      <c r="J649" s="1">
        <v>3</v>
      </c>
      <c r="K649" s="1" t="s">
        <v>142</v>
      </c>
      <c r="L649" s="1" t="s">
        <v>153</v>
      </c>
      <c r="M649" s="1" t="s">
        <v>28</v>
      </c>
      <c r="N649" s="1" t="str">
        <f>HYPERLINK("https://klocwork.india.ti.com:443/review/insight-review.html#issuedetails_goto:problemid=87139,project=MCU_PLUS_SDK_AM263X,searchquery=taxonomy:'C and C++' build:Build_Apr_13_2023_11_11_AM grouping:off ","KW Issue Link")</f>
        <v>KW Issue Link</v>
      </c>
      <c r="O649" s="1" t="s">
        <v>154</v>
      </c>
    </row>
    <row r="650" spans="1:15" ht="105" x14ac:dyDescent="0.25">
      <c r="A650" s="1" t="s">
        <v>149</v>
      </c>
      <c r="B650" s="1"/>
      <c r="C650" s="1" t="s">
        <v>1025</v>
      </c>
      <c r="D650" s="1">
        <v>87140</v>
      </c>
      <c r="E650" s="1">
        <v>198</v>
      </c>
      <c r="F650" s="1" t="s">
        <v>1026</v>
      </c>
      <c r="G650" s="1" t="s">
        <v>1028</v>
      </c>
      <c r="H650" s="1" t="s">
        <v>141</v>
      </c>
      <c r="I650" s="1" t="s">
        <v>65</v>
      </c>
      <c r="J650" s="1">
        <v>3</v>
      </c>
      <c r="K650" s="1" t="s">
        <v>142</v>
      </c>
      <c r="L650" s="1" t="s">
        <v>153</v>
      </c>
      <c r="M650" s="1" t="s">
        <v>28</v>
      </c>
      <c r="N650" s="1" t="str">
        <f>HYPERLINK("https://klocwork.india.ti.com:443/review/insight-review.html#issuedetails_goto:problemid=87140,project=MCU_PLUS_SDK_AM263X,searchquery=taxonomy:'C and C++' build:Build_Apr_13_2023_11_11_AM grouping:off ","KW Issue Link")</f>
        <v>KW Issue Link</v>
      </c>
      <c r="O650" s="1" t="s">
        <v>154</v>
      </c>
    </row>
    <row r="651" spans="1:15" ht="105" x14ac:dyDescent="0.25">
      <c r="A651" s="1" t="s">
        <v>149</v>
      </c>
      <c r="B651" s="1"/>
      <c r="C651" s="1" t="s">
        <v>1025</v>
      </c>
      <c r="D651" s="1">
        <v>87141</v>
      </c>
      <c r="E651" s="1">
        <v>240</v>
      </c>
      <c r="F651" s="1" t="s">
        <v>1026</v>
      </c>
      <c r="G651" s="1" t="s">
        <v>1029</v>
      </c>
      <c r="H651" s="1" t="s">
        <v>141</v>
      </c>
      <c r="I651" s="1" t="s">
        <v>65</v>
      </c>
      <c r="J651" s="1">
        <v>3</v>
      </c>
      <c r="K651" s="1" t="s">
        <v>142</v>
      </c>
      <c r="L651" s="1" t="s">
        <v>153</v>
      </c>
      <c r="M651" s="1" t="s">
        <v>28</v>
      </c>
      <c r="N651" s="1" t="str">
        <f>HYPERLINK("https://klocwork.india.ti.com:443/review/insight-review.html#issuedetails_goto:problemid=87141,project=MCU_PLUS_SDK_AM263X,searchquery=taxonomy:'C and C++' build:Build_Apr_13_2023_11_11_AM grouping:off ","KW Issue Link")</f>
        <v>KW Issue Link</v>
      </c>
      <c r="O651" s="1" t="s">
        <v>154</v>
      </c>
    </row>
    <row r="652" spans="1:15" ht="105" x14ac:dyDescent="0.25">
      <c r="A652" s="1" t="s">
        <v>149</v>
      </c>
      <c r="B652" s="1"/>
      <c r="C652" s="1" t="s">
        <v>1025</v>
      </c>
      <c r="D652" s="1">
        <v>87142</v>
      </c>
      <c r="E652" s="1">
        <v>281</v>
      </c>
      <c r="F652" s="1" t="s">
        <v>1026</v>
      </c>
      <c r="G652" s="1" t="s">
        <v>1030</v>
      </c>
      <c r="H652" s="1" t="s">
        <v>141</v>
      </c>
      <c r="I652" s="1" t="s">
        <v>65</v>
      </c>
      <c r="J652" s="1">
        <v>3</v>
      </c>
      <c r="K652" s="1" t="s">
        <v>142</v>
      </c>
      <c r="L652" s="1" t="s">
        <v>153</v>
      </c>
      <c r="M652" s="1" t="s">
        <v>28</v>
      </c>
      <c r="N652" s="1" t="str">
        <f>HYPERLINK("https://klocwork.india.ti.com:443/review/insight-review.html#issuedetails_goto:problemid=87142,project=MCU_PLUS_SDK_AM263X,searchquery=taxonomy:'C and C++' build:Build_Apr_13_2023_11_11_AM grouping:off ","KW Issue Link")</f>
        <v>KW Issue Link</v>
      </c>
      <c r="O652" s="1" t="s">
        <v>154</v>
      </c>
    </row>
    <row r="653" spans="1:15" ht="105" x14ac:dyDescent="0.25">
      <c r="A653" s="1" t="s">
        <v>149</v>
      </c>
      <c r="B653" s="1"/>
      <c r="C653" s="1" t="s">
        <v>1025</v>
      </c>
      <c r="D653" s="1">
        <v>87143</v>
      </c>
      <c r="E653" s="1">
        <v>333</v>
      </c>
      <c r="F653" s="1" t="s">
        <v>1031</v>
      </c>
      <c r="G653" s="1" t="s">
        <v>1032</v>
      </c>
      <c r="H653" s="1" t="s">
        <v>141</v>
      </c>
      <c r="I653" s="1" t="s">
        <v>65</v>
      </c>
      <c r="J653" s="1">
        <v>3</v>
      </c>
      <c r="K653" s="1" t="s">
        <v>142</v>
      </c>
      <c r="L653" s="1" t="s">
        <v>153</v>
      </c>
      <c r="M653" s="1" t="s">
        <v>28</v>
      </c>
      <c r="N653" s="1" t="str">
        <f>HYPERLINK("https://klocwork.india.ti.com:443/review/insight-review.html#issuedetails_goto:problemid=87143,project=MCU_PLUS_SDK_AM263X,searchquery=taxonomy:'C and C++' build:Build_Apr_13_2023_11_11_AM grouping:off ","KW Issue Link")</f>
        <v>KW Issue Link</v>
      </c>
      <c r="O653" s="1" t="s">
        <v>154</v>
      </c>
    </row>
    <row r="654" spans="1:15" ht="105" x14ac:dyDescent="0.25">
      <c r="A654" s="1" t="s">
        <v>155</v>
      </c>
      <c r="B654" s="1"/>
      <c r="C654" s="1" t="s">
        <v>1025</v>
      </c>
      <c r="D654" s="1">
        <v>87144</v>
      </c>
      <c r="E654" s="1">
        <v>123</v>
      </c>
      <c r="F654" s="1" t="s">
        <v>156</v>
      </c>
      <c r="G654" s="1" t="s">
        <v>1027</v>
      </c>
      <c r="H654" s="1" t="s">
        <v>141</v>
      </c>
      <c r="I654" s="1" t="s">
        <v>65</v>
      </c>
      <c r="J654" s="1">
        <v>3</v>
      </c>
      <c r="K654" s="1" t="s">
        <v>142</v>
      </c>
      <c r="L654" s="1" t="s">
        <v>153</v>
      </c>
      <c r="M654" s="1" t="s">
        <v>28</v>
      </c>
      <c r="N654" s="1" t="str">
        <f>HYPERLINK("https://klocwork.india.ti.com:443/review/insight-review.html#issuedetails_goto:problemid=87144,project=MCU_PLUS_SDK_AM263X,searchquery=taxonomy:'C and C++' build:Build_Apr_13_2023_11_11_AM grouping:off ","KW Issue Link")</f>
        <v>KW Issue Link</v>
      </c>
      <c r="O654" s="1" t="s">
        <v>154</v>
      </c>
    </row>
    <row r="655" spans="1:15" ht="105" x14ac:dyDescent="0.25">
      <c r="A655" s="1" t="s">
        <v>155</v>
      </c>
      <c r="B655" s="1"/>
      <c r="C655" s="1" t="s">
        <v>1025</v>
      </c>
      <c r="D655" s="1">
        <v>87145</v>
      </c>
      <c r="E655" s="1">
        <v>201</v>
      </c>
      <c r="F655" s="1" t="s">
        <v>156</v>
      </c>
      <c r="G655" s="1" t="s">
        <v>1028</v>
      </c>
      <c r="H655" s="1" t="s">
        <v>141</v>
      </c>
      <c r="I655" s="1" t="s">
        <v>65</v>
      </c>
      <c r="J655" s="1">
        <v>3</v>
      </c>
      <c r="K655" s="1" t="s">
        <v>142</v>
      </c>
      <c r="L655" s="1" t="s">
        <v>153</v>
      </c>
      <c r="M655" s="1" t="s">
        <v>28</v>
      </c>
      <c r="N655" s="1" t="str">
        <f>HYPERLINK("https://klocwork.india.ti.com:443/review/insight-review.html#issuedetails_goto:problemid=87145,project=MCU_PLUS_SDK_AM263X,searchquery=taxonomy:'C and C++' build:Build_Apr_13_2023_11_11_AM grouping:off ","KW Issue Link")</f>
        <v>KW Issue Link</v>
      </c>
      <c r="O655" s="1" t="s">
        <v>154</v>
      </c>
    </row>
    <row r="656" spans="1:15" ht="105" x14ac:dyDescent="0.25">
      <c r="A656" s="1" t="s">
        <v>155</v>
      </c>
      <c r="B656" s="1"/>
      <c r="C656" s="1" t="s">
        <v>1025</v>
      </c>
      <c r="D656" s="1">
        <v>87146</v>
      </c>
      <c r="E656" s="1">
        <v>243</v>
      </c>
      <c r="F656" s="1" t="s">
        <v>156</v>
      </c>
      <c r="G656" s="1" t="s">
        <v>1029</v>
      </c>
      <c r="H656" s="1" t="s">
        <v>141</v>
      </c>
      <c r="I656" s="1" t="s">
        <v>65</v>
      </c>
      <c r="J656" s="1">
        <v>3</v>
      </c>
      <c r="K656" s="1" t="s">
        <v>142</v>
      </c>
      <c r="L656" s="1" t="s">
        <v>153</v>
      </c>
      <c r="M656" s="1" t="s">
        <v>28</v>
      </c>
      <c r="N656" s="1" t="str">
        <f>HYPERLINK("https://klocwork.india.ti.com:443/review/insight-review.html#issuedetails_goto:problemid=87146,project=MCU_PLUS_SDK_AM263X,searchquery=taxonomy:'C and C++' build:Build_Apr_13_2023_11_11_AM grouping:off ","KW Issue Link")</f>
        <v>KW Issue Link</v>
      </c>
      <c r="O656" s="1" t="s">
        <v>154</v>
      </c>
    </row>
    <row r="657" spans="1:15" ht="105" x14ac:dyDescent="0.25">
      <c r="A657" s="1" t="s">
        <v>155</v>
      </c>
      <c r="B657" s="1"/>
      <c r="C657" s="1" t="s">
        <v>1025</v>
      </c>
      <c r="D657" s="1">
        <v>87147</v>
      </c>
      <c r="E657" s="1">
        <v>283</v>
      </c>
      <c r="F657" s="1" t="s">
        <v>156</v>
      </c>
      <c r="G657" s="1" t="s">
        <v>1030</v>
      </c>
      <c r="H657" s="1" t="s">
        <v>141</v>
      </c>
      <c r="I657" s="1" t="s">
        <v>65</v>
      </c>
      <c r="J657" s="1">
        <v>3</v>
      </c>
      <c r="K657" s="1" t="s">
        <v>142</v>
      </c>
      <c r="L657" s="1" t="s">
        <v>153</v>
      </c>
      <c r="M657" s="1" t="s">
        <v>28</v>
      </c>
      <c r="N657" s="1" t="str">
        <f>HYPERLINK("https://klocwork.india.ti.com:443/review/insight-review.html#issuedetails_goto:problemid=87147,project=MCU_PLUS_SDK_AM263X,searchquery=taxonomy:'C and C++' build:Build_Apr_13_2023_11_11_AM grouping:off ","KW Issue Link")</f>
        <v>KW Issue Link</v>
      </c>
      <c r="O657" s="1" t="s">
        <v>154</v>
      </c>
    </row>
    <row r="658" spans="1:15" ht="105" x14ac:dyDescent="0.25">
      <c r="A658" s="1" t="s">
        <v>155</v>
      </c>
      <c r="B658" s="1"/>
      <c r="C658" s="1" t="s">
        <v>1025</v>
      </c>
      <c r="D658" s="1">
        <v>87148</v>
      </c>
      <c r="E658" s="1">
        <v>335</v>
      </c>
      <c r="F658" s="1" t="s">
        <v>156</v>
      </c>
      <c r="G658" s="1" t="s">
        <v>1032</v>
      </c>
      <c r="H658" s="1" t="s">
        <v>141</v>
      </c>
      <c r="I658" s="1" t="s">
        <v>65</v>
      </c>
      <c r="J658" s="1">
        <v>3</v>
      </c>
      <c r="K658" s="1" t="s">
        <v>142</v>
      </c>
      <c r="L658" s="1" t="s">
        <v>153</v>
      </c>
      <c r="M658" s="1" t="s">
        <v>28</v>
      </c>
      <c r="N658" s="1" t="str">
        <f>HYPERLINK("https://klocwork.india.ti.com:443/review/insight-review.html#issuedetails_goto:problemid=87148,project=MCU_PLUS_SDK_AM263X,searchquery=taxonomy:'C and C++' build:Build_Apr_13_2023_11_11_AM grouping:off ","KW Issue Link")</f>
        <v>KW Issue Link</v>
      </c>
      <c r="O658" s="1" t="s">
        <v>154</v>
      </c>
    </row>
    <row r="659" spans="1:15" ht="90" x14ac:dyDescent="0.25">
      <c r="A659" s="1" t="s">
        <v>149</v>
      </c>
      <c r="B659" s="1"/>
      <c r="C659" s="1" t="s">
        <v>240</v>
      </c>
      <c r="D659" s="1">
        <v>87158</v>
      </c>
      <c r="E659" s="1">
        <v>646</v>
      </c>
      <c r="F659" s="1" t="s">
        <v>1033</v>
      </c>
      <c r="G659" s="1" t="s">
        <v>1034</v>
      </c>
      <c r="H659" s="1" t="s">
        <v>141</v>
      </c>
      <c r="I659" s="1" t="s">
        <v>65</v>
      </c>
      <c r="J659" s="1">
        <v>3</v>
      </c>
      <c r="K659" s="1" t="s">
        <v>142</v>
      </c>
      <c r="L659" s="1" t="s">
        <v>153</v>
      </c>
      <c r="M659" s="1" t="s">
        <v>28</v>
      </c>
      <c r="N659" s="1" t="str">
        <f>HYPERLINK("https://klocwork.india.ti.com:443/review/insight-review.html#issuedetails_goto:problemid=87158,project=MCU_PLUS_SDK_AM263X,searchquery=taxonomy:'C and C++' build:Build_Apr_13_2023_11_11_AM grouping:off ","KW Issue Link")</f>
        <v>KW Issue Link</v>
      </c>
      <c r="O659" s="1" t="s">
        <v>242</v>
      </c>
    </row>
    <row r="660" spans="1:15" ht="75" x14ac:dyDescent="0.25">
      <c r="A660" s="1" t="s">
        <v>149</v>
      </c>
      <c r="B660" s="1"/>
      <c r="C660" s="1" t="s">
        <v>240</v>
      </c>
      <c r="D660" s="1">
        <v>87159</v>
      </c>
      <c r="E660" s="1">
        <v>1324</v>
      </c>
      <c r="F660" s="1" t="s">
        <v>1035</v>
      </c>
      <c r="G660" s="1" t="s">
        <v>1036</v>
      </c>
      <c r="H660" s="1" t="s">
        <v>141</v>
      </c>
      <c r="I660" s="1" t="s">
        <v>65</v>
      </c>
      <c r="J660" s="1">
        <v>3</v>
      </c>
      <c r="K660" s="1" t="s">
        <v>142</v>
      </c>
      <c r="L660" s="1" t="s">
        <v>153</v>
      </c>
      <c r="M660" s="1" t="s">
        <v>28</v>
      </c>
      <c r="N660" s="1" t="str">
        <f>HYPERLINK("https://klocwork.india.ti.com:443/review/insight-review.html#issuedetails_goto:problemid=87159,project=MCU_PLUS_SDK_AM263X,searchquery=taxonomy:'C and C++' build:Build_Apr_13_2023_11_11_AM grouping:off ","KW Issue Link")</f>
        <v>KW Issue Link</v>
      </c>
      <c r="O660" s="1" t="s">
        <v>242</v>
      </c>
    </row>
    <row r="661" spans="1:15" ht="45" x14ac:dyDescent="0.25">
      <c r="A661" s="1" t="s">
        <v>155</v>
      </c>
      <c r="B661" s="1"/>
      <c r="C661" s="1" t="s">
        <v>240</v>
      </c>
      <c r="D661" s="1">
        <v>87160</v>
      </c>
      <c r="E661" s="1">
        <v>649</v>
      </c>
      <c r="F661" s="1" t="s">
        <v>156</v>
      </c>
      <c r="G661" s="1" t="s">
        <v>1034</v>
      </c>
      <c r="H661" s="1" t="s">
        <v>141</v>
      </c>
      <c r="I661" s="1" t="s">
        <v>65</v>
      </c>
      <c r="J661" s="1">
        <v>3</v>
      </c>
      <c r="K661" s="1" t="s">
        <v>142</v>
      </c>
      <c r="L661" s="1" t="s">
        <v>153</v>
      </c>
      <c r="M661" s="1" t="s">
        <v>28</v>
      </c>
      <c r="N661" s="1" t="str">
        <f>HYPERLINK("https://klocwork.india.ti.com:443/review/insight-review.html#issuedetails_goto:problemid=87160,project=MCU_PLUS_SDK_AM263X,searchquery=taxonomy:'C and C++' build:Build_Apr_13_2023_11_11_AM grouping:off ","KW Issue Link")</f>
        <v>KW Issue Link</v>
      </c>
      <c r="O661" s="1" t="s">
        <v>242</v>
      </c>
    </row>
    <row r="662" spans="1:15" ht="45" x14ac:dyDescent="0.25">
      <c r="A662" s="1" t="s">
        <v>155</v>
      </c>
      <c r="B662" s="1"/>
      <c r="C662" s="1" t="s">
        <v>240</v>
      </c>
      <c r="D662" s="1">
        <v>87161</v>
      </c>
      <c r="E662" s="1">
        <v>1326</v>
      </c>
      <c r="F662" s="1" t="s">
        <v>156</v>
      </c>
      <c r="G662" s="1" t="s">
        <v>1036</v>
      </c>
      <c r="H662" s="1" t="s">
        <v>141</v>
      </c>
      <c r="I662" s="1" t="s">
        <v>65</v>
      </c>
      <c r="J662" s="1">
        <v>3</v>
      </c>
      <c r="K662" s="1" t="s">
        <v>142</v>
      </c>
      <c r="L662" s="1" t="s">
        <v>153</v>
      </c>
      <c r="M662" s="1" t="s">
        <v>28</v>
      </c>
      <c r="N662" s="1" t="str">
        <f>HYPERLINK("https://klocwork.india.ti.com:443/review/insight-review.html#issuedetails_goto:problemid=87161,project=MCU_PLUS_SDK_AM263X,searchquery=taxonomy:'C and C++' build:Build_Apr_13_2023_11_11_AM grouping:off ","KW Issue Link")</f>
        <v>KW Issue Link</v>
      </c>
      <c r="O662" s="1" t="s">
        <v>242</v>
      </c>
    </row>
    <row r="663" spans="1:15" ht="45" x14ac:dyDescent="0.25">
      <c r="A663" s="1" t="s">
        <v>136</v>
      </c>
      <c r="B663" s="1"/>
      <c r="C663" s="1" t="s">
        <v>240</v>
      </c>
      <c r="D663" s="1">
        <v>87162</v>
      </c>
      <c r="E663" s="1">
        <v>924</v>
      </c>
      <c r="F663" s="1" t="s">
        <v>1037</v>
      </c>
      <c r="G663" s="1" t="s">
        <v>1038</v>
      </c>
      <c r="H663" s="1" t="s">
        <v>141</v>
      </c>
      <c r="I663" s="1" t="s">
        <v>66</v>
      </c>
      <c r="J663" s="1">
        <v>4</v>
      </c>
      <c r="K663" s="1" t="s">
        <v>142</v>
      </c>
      <c r="L663" s="1" t="s">
        <v>153</v>
      </c>
      <c r="M663" s="1" t="s">
        <v>28</v>
      </c>
      <c r="N663" s="1" t="str">
        <f>HYPERLINK("https://klocwork.india.ti.com:443/review/insight-review.html#issuedetails_goto:problemid=87162,project=MCU_PLUS_SDK_AM263X,searchquery=taxonomy:'C and C++' build:Build_Apr_13_2023_11_11_AM grouping:off ","KW Issue Link")</f>
        <v>KW Issue Link</v>
      </c>
      <c r="O663" s="1" t="s">
        <v>242</v>
      </c>
    </row>
    <row r="664" spans="1:15" ht="75" x14ac:dyDescent="0.25">
      <c r="A664" s="1" t="s">
        <v>298</v>
      </c>
      <c r="B664" s="1" t="s">
        <v>299</v>
      </c>
      <c r="C664" s="1" t="s">
        <v>494</v>
      </c>
      <c r="D664" s="1">
        <v>87233</v>
      </c>
      <c r="E664" s="1">
        <v>720</v>
      </c>
      <c r="F664" s="1" t="s">
        <v>1039</v>
      </c>
      <c r="G664" s="1" t="s">
        <v>1040</v>
      </c>
      <c r="H664" s="1" t="s">
        <v>141</v>
      </c>
      <c r="I664" s="1" t="s">
        <v>63</v>
      </c>
      <c r="J664" s="1">
        <v>1</v>
      </c>
      <c r="K664" s="1" t="s">
        <v>142</v>
      </c>
      <c r="L664" s="1" t="s">
        <v>177</v>
      </c>
      <c r="M664" s="1" t="s">
        <v>28</v>
      </c>
      <c r="N664" s="1" t="str">
        <f>HYPERLINK("https://klocwork.india.ti.com:443/review/insight-review.html#issuedetails_goto:problemid=87233,project=MCU_PLUS_SDK_AM263X,searchquery=taxonomy:'C and C++' build:Build_Apr_13_2023_11_11_AM grouping:off ","KW Issue Link")</f>
        <v>KW Issue Link</v>
      </c>
      <c r="O664" s="1" t="s">
        <v>291</v>
      </c>
    </row>
    <row r="665" spans="1:15" ht="60" x14ac:dyDescent="0.25">
      <c r="A665" s="1" t="s">
        <v>157</v>
      </c>
      <c r="B665" s="1"/>
      <c r="C665" s="1" t="s">
        <v>252</v>
      </c>
      <c r="D665" s="1">
        <v>87330</v>
      </c>
      <c r="E665" s="1">
        <v>564</v>
      </c>
      <c r="F665" s="1" t="s">
        <v>262</v>
      </c>
      <c r="G665" s="1" t="s">
        <v>1041</v>
      </c>
      <c r="H665" s="1" t="s">
        <v>141</v>
      </c>
      <c r="I665" s="1" t="s">
        <v>65</v>
      </c>
      <c r="J665" s="1">
        <v>3</v>
      </c>
      <c r="K665" s="1" t="s">
        <v>142</v>
      </c>
      <c r="L665" s="1" t="s">
        <v>153</v>
      </c>
      <c r="M665" s="1" t="s">
        <v>28</v>
      </c>
      <c r="N665" s="1" t="str">
        <f>HYPERLINK("https://klocwork.india.ti.com:443/review/insight-review.html#issuedetails_goto:problemid=87330,project=MCU_PLUS_SDK_AM263X,searchquery=taxonomy:'C and C++' build:Build_Apr_13_2023_11_11_AM grouping:off ","KW Issue Link")</f>
        <v>KW Issue Link</v>
      </c>
      <c r="O665" s="1" t="s">
        <v>254</v>
      </c>
    </row>
    <row r="666" spans="1:15" ht="60" x14ac:dyDescent="0.25">
      <c r="A666" s="1" t="s">
        <v>157</v>
      </c>
      <c r="B666" s="1"/>
      <c r="C666" s="1" t="s">
        <v>252</v>
      </c>
      <c r="D666" s="1">
        <v>87331</v>
      </c>
      <c r="E666" s="1">
        <v>620</v>
      </c>
      <c r="F666" s="1" t="s">
        <v>262</v>
      </c>
      <c r="G666" s="1" t="s">
        <v>1041</v>
      </c>
      <c r="H666" s="1" t="s">
        <v>141</v>
      </c>
      <c r="I666" s="1" t="s">
        <v>65</v>
      </c>
      <c r="J666" s="1">
        <v>3</v>
      </c>
      <c r="K666" s="1" t="s">
        <v>142</v>
      </c>
      <c r="L666" s="1" t="s">
        <v>153</v>
      </c>
      <c r="M666" s="1" t="s">
        <v>28</v>
      </c>
      <c r="N666" s="1" t="str">
        <f>HYPERLINK("https://klocwork.india.ti.com:443/review/insight-review.html#issuedetails_goto:problemid=87331,project=MCU_PLUS_SDK_AM263X,searchquery=taxonomy:'C and C++' build:Build_Apr_13_2023_11_11_AM grouping:off ","KW Issue Link")</f>
        <v>KW Issue Link</v>
      </c>
      <c r="O666" s="1" t="s">
        <v>254</v>
      </c>
    </row>
    <row r="667" spans="1:15" ht="75" x14ac:dyDescent="0.25">
      <c r="A667" s="1" t="s">
        <v>1042</v>
      </c>
      <c r="B667" s="1" t="s">
        <v>299</v>
      </c>
      <c r="C667" s="1" t="s">
        <v>555</v>
      </c>
      <c r="D667" s="1">
        <v>87377</v>
      </c>
      <c r="E667" s="1">
        <v>188</v>
      </c>
      <c r="F667" s="1" t="s">
        <v>1043</v>
      </c>
      <c r="G667" s="1" t="s">
        <v>1044</v>
      </c>
      <c r="H667" s="1" t="s">
        <v>141</v>
      </c>
      <c r="I667" s="1" t="s">
        <v>63</v>
      </c>
      <c r="J667" s="1">
        <v>1</v>
      </c>
      <c r="K667" s="1" t="s">
        <v>142</v>
      </c>
      <c r="L667" s="1" t="s">
        <v>177</v>
      </c>
      <c r="M667" s="1" t="s">
        <v>28</v>
      </c>
      <c r="N667" s="1" t="str">
        <f>HYPERLINK("https://klocwork.india.ti.com:443/review/insight-review.html#issuedetails_goto:problemid=87377,project=MCU_PLUS_SDK_AM263X,searchquery=taxonomy:'C and C++' build:Build_Apr_13_2023_11_11_AM grouping:off ","KW Issue Link")</f>
        <v>KW Issue Link</v>
      </c>
      <c r="O667" s="1" t="s">
        <v>291</v>
      </c>
    </row>
    <row r="668" spans="1:15" ht="90" x14ac:dyDescent="0.25">
      <c r="A668" s="1" t="s">
        <v>298</v>
      </c>
      <c r="B668" s="1" t="s">
        <v>299</v>
      </c>
      <c r="C668" s="1" t="s">
        <v>607</v>
      </c>
      <c r="D668" s="1">
        <v>87434</v>
      </c>
      <c r="E668" s="1">
        <v>768</v>
      </c>
      <c r="F668" s="1" t="s">
        <v>1045</v>
      </c>
      <c r="G668" s="1" t="s">
        <v>1046</v>
      </c>
      <c r="H668" s="1" t="s">
        <v>141</v>
      </c>
      <c r="I668" s="1" t="s">
        <v>63</v>
      </c>
      <c r="J668" s="1">
        <v>1</v>
      </c>
      <c r="K668" s="1" t="s">
        <v>142</v>
      </c>
      <c r="L668" s="1" t="s">
        <v>177</v>
      </c>
      <c r="M668" s="1" t="s">
        <v>28</v>
      </c>
      <c r="N668" s="1" t="str">
        <f>HYPERLINK("https://klocwork.india.ti.com:443/review/insight-review.html#issuedetails_goto:problemid=87434,project=MCU_PLUS_SDK_AM263X,searchquery=taxonomy:'C and C++' build:Build_Apr_13_2023_11_11_AM grouping:off ","KW Issue Link")</f>
        <v>KW Issue Link</v>
      </c>
      <c r="O668" s="1" t="s">
        <v>291</v>
      </c>
    </row>
    <row r="669" spans="1:15" ht="75" x14ac:dyDescent="0.25">
      <c r="A669" s="1" t="s">
        <v>157</v>
      </c>
      <c r="B669" s="1" t="s">
        <v>204</v>
      </c>
      <c r="C669" s="1" t="s">
        <v>201</v>
      </c>
      <c r="D669" s="1">
        <v>87448</v>
      </c>
      <c r="E669" s="1">
        <v>667</v>
      </c>
      <c r="F669" s="1" t="s">
        <v>1047</v>
      </c>
      <c r="G669" s="1" t="s">
        <v>206</v>
      </c>
      <c r="H669" s="1" t="s">
        <v>141</v>
      </c>
      <c r="I669" s="1" t="s">
        <v>65</v>
      </c>
      <c r="J669" s="1">
        <v>3</v>
      </c>
      <c r="K669" s="1" t="s">
        <v>142</v>
      </c>
      <c r="L669" s="1" t="s">
        <v>143</v>
      </c>
      <c r="M669" s="1" t="s">
        <v>28</v>
      </c>
      <c r="N669" s="1" t="str">
        <f>HYPERLINK("https://klocwork.india.ti.com:443/review/insight-review.html#issuedetails_goto:problemid=87448,project=MCU_PLUS_SDK_AM263X,searchquery=taxonomy:'C and C++' build:Build_Apr_13_2023_11_11_AM grouping:off ","KW Issue Link")</f>
        <v>KW Issue Link</v>
      </c>
      <c r="O669" s="1" t="s">
        <v>144</v>
      </c>
    </row>
    <row r="670" spans="1:15" ht="75" x14ac:dyDescent="0.25">
      <c r="A670" s="1" t="s">
        <v>157</v>
      </c>
      <c r="B670" s="1" t="s">
        <v>204</v>
      </c>
      <c r="C670" s="1" t="s">
        <v>201</v>
      </c>
      <c r="D670" s="1">
        <v>87449</v>
      </c>
      <c r="E670" s="1">
        <v>676</v>
      </c>
      <c r="F670" s="1" t="s">
        <v>1048</v>
      </c>
      <c r="G670" s="1" t="s">
        <v>206</v>
      </c>
      <c r="H670" s="1" t="s">
        <v>141</v>
      </c>
      <c r="I670" s="1" t="s">
        <v>65</v>
      </c>
      <c r="J670" s="1">
        <v>3</v>
      </c>
      <c r="K670" s="1" t="s">
        <v>142</v>
      </c>
      <c r="L670" s="1" t="s">
        <v>143</v>
      </c>
      <c r="M670" s="1" t="s">
        <v>28</v>
      </c>
      <c r="N670" s="1" t="str">
        <f>HYPERLINK("https://klocwork.india.ti.com:443/review/insight-review.html#issuedetails_goto:problemid=87449,project=MCU_PLUS_SDK_AM263X,searchquery=taxonomy:'C and C++' build:Build_Apr_13_2023_11_11_AM grouping:off ","KW Issue Link")</f>
        <v>KW Issue Link</v>
      </c>
      <c r="O670" s="1" t="s">
        <v>144</v>
      </c>
    </row>
    <row r="671" spans="1:15" ht="150" x14ac:dyDescent="0.25">
      <c r="A671" s="1" t="s">
        <v>461</v>
      </c>
      <c r="B671" s="1" t="s">
        <v>299</v>
      </c>
      <c r="C671" s="1" t="s">
        <v>214</v>
      </c>
      <c r="D671" s="1">
        <v>87615</v>
      </c>
      <c r="E671" s="1">
        <v>866</v>
      </c>
      <c r="F671" s="1" t="s">
        <v>1049</v>
      </c>
      <c r="G671" s="1" t="s">
        <v>1050</v>
      </c>
      <c r="H671" s="1" t="s">
        <v>141</v>
      </c>
      <c r="I671" s="1" t="s">
        <v>63</v>
      </c>
      <c r="J671" s="1">
        <v>1</v>
      </c>
      <c r="K671" s="1" t="s">
        <v>142</v>
      </c>
      <c r="L671" s="1" t="s">
        <v>177</v>
      </c>
      <c r="M671" s="1" t="s">
        <v>28</v>
      </c>
      <c r="N671" s="1" t="str">
        <f>HYPERLINK("https://klocwork.india.ti.com:443/review/insight-review.html#issuedetails_goto:problemid=87615,project=MCU_PLUS_SDK_AM263X,searchquery=taxonomy:'C and C++' build:Build_Apr_13_2023_11_11_AM grouping:off ","KW Issue Link")</f>
        <v>KW Issue Link</v>
      </c>
      <c r="O671" s="1" t="s">
        <v>217</v>
      </c>
    </row>
    <row r="672" spans="1:15" ht="150" x14ac:dyDescent="0.25">
      <c r="A672" s="1" t="s">
        <v>461</v>
      </c>
      <c r="B672" s="1" t="s">
        <v>299</v>
      </c>
      <c r="C672" s="1" t="s">
        <v>214</v>
      </c>
      <c r="D672" s="1">
        <v>87616</v>
      </c>
      <c r="E672" s="1">
        <v>1031</v>
      </c>
      <c r="F672" s="1" t="s">
        <v>1051</v>
      </c>
      <c r="G672" s="1" t="s">
        <v>1052</v>
      </c>
      <c r="H672" s="1" t="s">
        <v>141</v>
      </c>
      <c r="I672" s="1" t="s">
        <v>63</v>
      </c>
      <c r="J672" s="1">
        <v>1</v>
      </c>
      <c r="K672" s="1" t="s">
        <v>142</v>
      </c>
      <c r="L672" s="1" t="s">
        <v>177</v>
      </c>
      <c r="M672" s="1" t="s">
        <v>28</v>
      </c>
      <c r="N672" s="1" t="str">
        <f>HYPERLINK("https://klocwork.india.ti.com:443/review/insight-review.html#issuedetails_goto:problemid=87616,project=MCU_PLUS_SDK_AM263X,searchquery=taxonomy:'C and C++' build:Build_Apr_13_2023_11_11_AM grouping:off ","KW Issue Link")</f>
        <v>KW Issue Link</v>
      </c>
      <c r="O672" s="1" t="s">
        <v>217</v>
      </c>
    </row>
    <row r="673" spans="1:15" ht="135" x14ac:dyDescent="0.25">
      <c r="A673" s="1" t="s">
        <v>461</v>
      </c>
      <c r="B673" s="1" t="s">
        <v>299</v>
      </c>
      <c r="C673" s="1" t="s">
        <v>214</v>
      </c>
      <c r="D673" s="1">
        <v>87617</v>
      </c>
      <c r="E673" s="1">
        <v>1354</v>
      </c>
      <c r="F673" s="1" t="s">
        <v>1053</v>
      </c>
      <c r="G673" s="1" t="s">
        <v>1054</v>
      </c>
      <c r="H673" s="1" t="s">
        <v>141</v>
      </c>
      <c r="I673" s="1" t="s">
        <v>63</v>
      </c>
      <c r="J673" s="1">
        <v>1</v>
      </c>
      <c r="K673" s="1" t="s">
        <v>142</v>
      </c>
      <c r="L673" s="1" t="s">
        <v>177</v>
      </c>
      <c r="M673" s="1" t="s">
        <v>28</v>
      </c>
      <c r="N673" s="1" t="str">
        <f>HYPERLINK("https://klocwork.india.ti.com:443/review/insight-review.html#issuedetails_goto:problemid=87617,project=MCU_PLUS_SDK_AM263X,searchquery=taxonomy:'C and C++' build:Build_Apr_13_2023_11_11_AM grouping:off ","KW Issue Link")</f>
        <v>KW Issue Link</v>
      </c>
      <c r="O673" s="1" t="s">
        <v>217</v>
      </c>
    </row>
    <row r="674" spans="1:15" ht="135" x14ac:dyDescent="0.25">
      <c r="A674" s="1" t="s">
        <v>461</v>
      </c>
      <c r="B674" s="1" t="s">
        <v>299</v>
      </c>
      <c r="C674" s="1" t="s">
        <v>214</v>
      </c>
      <c r="D674" s="1">
        <v>87618</v>
      </c>
      <c r="E674" s="1">
        <v>1721</v>
      </c>
      <c r="F674" s="1" t="s">
        <v>1055</v>
      </c>
      <c r="G674" s="1" t="s">
        <v>1056</v>
      </c>
      <c r="H674" s="1" t="s">
        <v>141</v>
      </c>
      <c r="I674" s="1" t="s">
        <v>63</v>
      </c>
      <c r="J674" s="1">
        <v>1</v>
      </c>
      <c r="K674" s="1" t="s">
        <v>142</v>
      </c>
      <c r="L674" s="1" t="s">
        <v>177</v>
      </c>
      <c r="M674" s="1" t="s">
        <v>28</v>
      </c>
      <c r="N674" s="1" t="str">
        <f>HYPERLINK("https://klocwork.india.ti.com:443/review/insight-review.html#issuedetails_goto:problemid=87618,project=MCU_PLUS_SDK_AM263X,searchquery=taxonomy:'C and C++' build:Build_Apr_13_2023_11_11_AM grouping:off ","KW Issue Link")</f>
        <v>KW Issue Link</v>
      </c>
      <c r="O674" s="1" t="s">
        <v>217</v>
      </c>
    </row>
    <row r="675" spans="1:15" ht="135" x14ac:dyDescent="0.25">
      <c r="A675" s="1" t="s">
        <v>461</v>
      </c>
      <c r="B675" s="1" t="s">
        <v>299</v>
      </c>
      <c r="C675" s="1" t="s">
        <v>214</v>
      </c>
      <c r="D675" s="1">
        <v>87619</v>
      </c>
      <c r="E675" s="1">
        <v>1869</v>
      </c>
      <c r="F675" s="1" t="s">
        <v>1057</v>
      </c>
      <c r="G675" s="1" t="s">
        <v>1058</v>
      </c>
      <c r="H675" s="1" t="s">
        <v>141</v>
      </c>
      <c r="I675" s="1" t="s">
        <v>63</v>
      </c>
      <c r="J675" s="1">
        <v>1</v>
      </c>
      <c r="K675" s="1" t="s">
        <v>142</v>
      </c>
      <c r="L675" s="1" t="s">
        <v>177</v>
      </c>
      <c r="M675" s="1" t="s">
        <v>28</v>
      </c>
      <c r="N675" s="1" t="str">
        <f>HYPERLINK("https://klocwork.india.ti.com:443/review/insight-review.html#issuedetails_goto:problemid=87619,project=MCU_PLUS_SDK_AM263X,searchquery=taxonomy:'C and C++' build:Build_Apr_13_2023_11_11_AM grouping:off ","KW Issue Link")</f>
        <v>KW Issue Link</v>
      </c>
      <c r="O675" s="1" t="s">
        <v>217</v>
      </c>
    </row>
    <row r="676" spans="1:15" ht="135" x14ac:dyDescent="0.25">
      <c r="A676" s="1" t="s">
        <v>461</v>
      </c>
      <c r="B676" s="1" t="s">
        <v>299</v>
      </c>
      <c r="C676" s="1" t="s">
        <v>214</v>
      </c>
      <c r="D676" s="1">
        <v>87620</v>
      </c>
      <c r="E676" s="1">
        <v>1964</v>
      </c>
      <c r="F676" s="1" t="s">
        <v>1059</v>
      </c>
      <c r="G676" s="1" t="s">
        <v>1060</v>
      </c>
      <c r="H676" s="1" t="s">
        <v>141</v>
      </c>
      <c r="I676" s="1" t="s">
        <v>63</v>
      </c>
      <c r="J676" s="1">
        <v>1</v>
      </c>
      <c r="K676" s="1" t="s">
        <v>142</v>
      </c>
      <c r="L676" s="1" t="s">
        <v>177</v>
      </c>
      <c r="M676" s="1" t="s">
        <v>28</v>
      </c>
      <c r="N676" s="1" t="str">
        <f>HYPERLINK("https://klocwork.india.ti.com:443/review/insight-review.html#issuedetails_goto:problemid=87620,project=MCU_PLUS_SDK_AM263X,searchquery=taxonomy:'C and C++' build:Build_Apr_13_2023_11_11_AM grouping:off ","KW Issue Link")</f>
        <v>KW Issue Link</v>
      </c>
      <c r="O676" s="1" t="s">
        <v>217</v>
      </c>
    </row>
    <row r="677" spans="1:15" ht="60" x14ac:dyDescent="0.25">
      <c r="A677" s="1" t="s">
        <v>157</v>
      </c>
      <c r="B677" s="1"/>
      <c r="C677" s="1" t="s">
        <v>961</v>
      </c>
      <c r="D677" s="1">
        <v>87676</v>
      </c>
      <c r="E677" s="1">
        <v>742</v>
      </c>
      <c r="F677" s="1" t="s">
        <v>1061</v>
      </c>
      <c r="G677" s="1" t="s">
        <v>962</v>
      </c>
      <c r="H677" s="1" t="s">
        <v>141</v>
      </c>
      <c r="I677" s="1" t="s">
        <v>65</v>
      </c>
      <c r="J677" s="1">
        <v>3</v>
      </c>
      <c r="K677" s="1" t="s">
        <v>142</v>
      </c>
      <c r="L677" s="1" t="s">
        <v>153</v>
      </c>
      <c r="M677" s="1" t="s">
        <v>28</v>
      </c>
      <c r="N677" s="1" t="str">
        <f>HYPERLINK("https://klocwork.india.ti.com:443/review/insight-review.html#issuedetails_goto:problemid=87676,project=MCU_PLUS_SDK_AM263X,searchquery=taxonomy:'C and C++' build:Build_Apr_13_2023_11_11_AM grouping:off ","KW Issue Link")</f>
        <v>KW Issue Link</v>
      </c>
      <c r="O677" s="1" t="s">
        <v>251</v>
      </c>
    </row>
    <row r="678" spans="1:15" ht="60" x14ac:dyDescent="0.25">
      <c r="A678" s="1" t="s">
        <v>157</v>
      </c>
      <c r="B678" s="1"/>
      <c r="C678" s="1" t="s">
        <v>961</v>
      </c>
      <c r="D678" s="1">
        <v>87677</v>
      </c>
      <c r="E678" s="1">
        <v>760</v>
      </c>
      <c r="F678" s="1" t="s">
        <v>1061</v>
      </c>
      <c r="G678" s="1" t="s">
        <v>962</v>
      </c>
      <c r="H678" s="1" t="s">
        <v>141</v>
      </c>
      <c r="I678" s="1" t="s">
        <v>65</v>
      </c>
      <c r="J678" s="1">
        <v>3</v>
      </c>
      <c r="K678" s="1" t="s">
        <v>142</v>
      </c>
      <c r="L678" s="1" t="s">
        <v>153</v>
      </c>
      <c r="M678" s="1" t="s">
        <v>28</v>
      </c>
      <c r="N678" s="1" t="str">
        <f>HYPERLINK("https://klocwork.india.ti.com:443/review/insight-review.html#issuedetails_goto:problemid=87677,project=MCU_PLUS_SDK_AM263X,searchquery=taxonomy:'C and C++' build:Build_Apr_13_2023_11_11_AM grouping:off ","KW Issue Link")</f>
        <v>KW Issue Link</v>
      </c>
      <c r="O678" s="1" t="s">
        <v>251</v>
      </c>
    </row>
    <row r="679" spans="1:15" ht="60" x14ac:dyDescent="0.25">
      <c r="A679" s="1" t="s">
        <v>157</v>
      </c>
      <c r="B679" s="1"/>
      <c r="C679" s="1" t="s">
        <v>961</v>
      </c>
      <c r="D679" s="1">
        <v>87678</v>
      </c>
      <c r="E679" s="1">
        <v>782</v>
      </c>
      <c r="F679" s="1" t="s">
        <v>1061</v>
      </c>
      <c r="G679" s="1" t="s">
        <v>962</v>
      </c>
      <c r="H679" s="1" t="s">
        <v>141</v>
      </c>
      <c r="I679" s="1" t="s">
        <v>65</v>
      </c>
      <c r="J679" s="1">
        <v>3</v>
      </c>
      <c r="K679" s="1" t="s">
        <v>142</v>
      </c>
      <c r="L679" s="1" t="s">
        <v>153</v>
      </c>
      <c r="M679" s="1" t="s">
        <v>28</v>
      </c>
      <c r="N679" s="1" t="str">
        <f>HYPERLINK("https://klocwork.india.ti.com:443/review/insight-review.html#issuedetails_goto:problemid=87678,project=MCU_PLUS_SDK_AM263X,searchquery=taxonomy:'C and C++' build:Build_Apr_13_2023_11_11_AM grouping:off ","KW Issue Link")</f>
        <v>KW Issue Link</v>
      </c>
      <c r="O679" s="1" t="s">
        <v>251</v>
      </c>
    </row>
    <row r="680" spans="1:15" ht="60" x14ac:dyDescent="0.25">
      <c r="A680" s="1" t="s">
        <v>157</v>
      </c>
      <c r="B680" s="1"/>
      <c r="C680" s="1" t="s">
        <v>961</v>
      </c>
      <c r="D680" s="1">
        <v>87679</v>
      </c>
      <c r="E680" s="1">
        <v>800</v>
      </c>
      <c r="F680" s="1" t="s">
        <v>1061</v>
      </c>
      <c r="G680" s="1" t="s">
        <v>962</v>
      </c>
      <c r="H680" s="1" t="s">
        <v>141</v>
      </c>
      <c r="I680" s="1" t="s">
        <v>65</v>
      </c>
      <c r="J680" s="1">
        <v>3</v>
      </c>
      <c r="K680" s="1" t="s">
        <v>142</v>
      </c>
      <c r="L680" s="1" t="s">
        <v>153</v>
      </c>
      <c r="M680" s="1" t="s">
        <v>28</v>
      </c>
      <c r="N680" s="1" t="str">
        <f>HYPERLINK("https://klocwork.india.ti.com:443/review/insight-review.html#issuedetails_goto:problemid=87679,project=MCU_PLUS_SDK_AM263X,searchquery=taxonomy:'C and C++' build:Build_Apr_13_2023_11_11_AM grouping:off ","KW Issue Link")</f>
        <v>KW Issue Link</v>
      </c>
      <c r="O680" s="1" t="s">
        <v>251</v>
      </c>
    </row>
    <row r="681" spans="1:15" ht="60" x14ac:dyDescent="0.25">
      <c r="A681" s="1" t="s">
        <v>283</v>
      </c>
      <c r="B681" s="1"/>
      <c r="C681" s="1" t="s">
        <v>961</v>
      </c>
      <c r="D681" s="1">
        <v>87680</v>
      </c>
      <c r="E681" s="1">
        <v>760</v>
      </c>
      <c r="F681" s="1" t="s">
        <v>285</v>
      </c>
      <c r="G681" s="1" t="s">
        <v>962</v>
      </c>
      <c r="H681" s="1" t="s">
        <v>141</v>
      </c>
      <c r="I681" s="1" t="s">
        <v>66</v>
      </c>
      <c r="J681" s="1">
        <v>4</v>
      </c>
      <c r="K681" s="1" t="s">
        <v>142</v>
      </c>
      <c r="L681" s="1" t="s">
        <v>153</v>
      </c>
      <c r="M681" s="1" t="s">
        <v>28</v>
      </c>
      <c r="N681" s="1" t="str">
        <f>HYPERLINK("https://klocwork.india.ti.com:443/review/insight-review.html#issuedetails_goto:problemid=87680,project=MCU_PLUS_SDK_AM263X,searchquery=taxonomy:'C and C++' build:Build_Apr_13_2023_11_11_AM grouping:off ","KW Issue Link")</f>
        <v>KW Issue Link</v>
      </c>
      <c r="O681" s="1" t="s">
        <v>251</v>
      </c>
    </row>
    <row r="682" spans="1:15" ht="60" x14ac:dyDescent="0.25">
      <c r="A682" s="1" t="s">
        <v>283</v>
      </c>
      <c r="B682" s="1"/>
      <c r="C682" s="1" t="s">
        <v>961</v>
      </c>
      <c r="D682" s="1">
        <v>87681</v>
      </c>
      <c r="E682" s="1">
        <v>782</v>
      </c>
      <c r="F682" s="1" t="s">
        <v>285</v>
      </c>
      <c r="G682" s="1" t="s">
        <v>962</v>
      </c>
      <c r="H682" s="1" t="s">
        <v>141</v>
      </c>
      <c r="I682" s="1" t="s">
        <v>66</v>
      </c>
      <c r="J682" s="1">
        <v>4</v>
      </c>
      <c r="K682" s="1" t="s">
        <v>142</v>
      </c>
      <c r="L682" s="1" t="s">
        <v>153</v>
      </c>
      <c r="M682" s="1" t="s">
        <v>28</v>
      </c>
      <c r="N682" s="1" t="str">
        <f>HYPERLINK("https://klocwork.india.ti.com:443/review/insight-review.html#issuedetails_goto:problemid=87681,project=MCU_PLUS_SDK_AM263X,searchquery=taxonomy:'C and C++' build:Build_Apr_13_2023_11_11_AM grouping:off ","KW Issue Link")</f>
        <v>KW Issue Link</v>
      </c>
      <c r="O682" s="1" t="s">
        <v>251</v>
      </c>
    </row>
    <row r="683" spans="1:15" ht="60" x14ac:dyDescent="0.25">
      <c r="A683" s="1" t="s">
        <v>283</v>
      </c>
      <c r="B683" s="1"/>
      <c r="C683" s="1" t="s">
        <v>961</v>
      </c>
      <c r="D683" s="1">
        <v>87682</v>
      </c>
      <c r="E683" s="1">
        <v>800</v>
      </c>
      <c r="F683" s="1" t="s">
        <v>285</v>
      </c>
      <c r="G683" s="1" t="s">
        <v>962</v>
      </c>
      <c r="H683" s="1" t="s">
        <v>141</v>
      </c>
      <c r="I683" s="1" t="s">
        <v>66</v>
      </c>
      <c r="J683" s="1">
        <v>4</v>
      </c>
      <c r="K683" s="1" t="s">
        <v>142</v>
      </c>
      <c r="L683" s="1" t="s">
        <v>153</v>
      </c>
      <c r="M683" s="1" t="s">
        <v>28</v>
      </c>
      <c r="N683" s="1" t="str">
        <f>HYPERLINK("https://klocwork.india.ti.com:443/review/insight-review.html#issuedetails_goto:problemid=87682,project=MCU_PLUS_SDK_AM263X,searchquery=taxonomy:'C and C++' build:Build_Apr_13_2023_11_11_AM grouping:off ","KW Issue Link")</f>
        <v>KW Issue Link</v>
      </c>
      <c r="O683" s="1" t="s">
        <v>251</v>
      </c>
    </row>
    <row r="684" spans="1:15" ht="60" x14ac:dyDescent="0.25">
      <c r="A684" s="1" t="s">
        <v>157</v>
      </c>
      <c r="B684" s="1"/>
      <c r="C684" s="1" t="s">
        <v>248</v>
      </c>
      <c r="D684" s="1">
        <v>87719</v>
      </c>
      <c r="E684" s="1">
        <v>2050</v>
      </c>
      <c r="F684" s="1" t="s">
        <v>249</v>
      </c>
      <c r="G684" s="1" t="s">
        <v>250</v>
      </c>
      <c r="H684" s="1" t="s">
        <v>141</v>
      </c>
      <c r="I684" s="1" t="s">
        <v>65</v>
      </c>
      <c r="J684" s="1">
        <v>3</v>
      </c>
      <c r="K684" s="1" t="s">
        <v>142</v>
      </c>
      <c r="L684" s="1" t="s">
        <v>153</v>
      </c>
      <c r="M684" s="1" t="s">
        <v>28</v>
      </c>
      <c r="N684" s="1" t="str">
        <f>HYPERLINK("https://klocwork.india.ti.com:443/review/insight-review.html#issuedetails_goto:problemid=87719,project=MCU_PLUS_SDK_AM263X,searchquery=taxonomy:'C and C++' build:Build_Apr_13_2023_11_11_AM grouping:off ","KW Issue Link")</f>
        <v>KW Issue Link</v>
      </c>
      <c r="O684" s="1" t="s">
        <v>251</v>
      </c>
    </row>
    <row r="685" spans="1:15" ht="135" x14ac:dyDescent="0.25">
      <c r="A685" s="1" t="s">
        <v>1062</v>
      </c>
      <c r="B685" s="1"/>
      <c r="C685" s="1" t="s">
        <v>248</v>
      </c>
      <c r="D685" s="1">
        <v>87726</v>
      </c>
      <c r="E685" s="1">
        <v>2885</v>
      </c>
      <c r="F685" s="1" t="s">
        <v>1063</v>
      </c>
      <c r="G685" s="1" t="s">
        <v>1064</v>
      </c>
      <c r="H685" s="1" t="s">
        <v>141</v>
      </c>
      <c r="I685" s="1" t="s">
        <v>65</v>
      </c>
      <c r="J685" s="1">
        <v>3</v>
      </c>
      <c r="K685" s="1" t="s">
        <v>142</v>
      </c>
      <c r="L685" s="1" t="s">
        <v>153</v>
      </c>
      <c r="M685" s="1" t="s">
        <v>28</v>
      </c>
      <c r="N685" s="1" t="str">
        <f>HYPERLINK("https://klocwork.india.ti.com:443/review/insight-review.html#issuedetails_goto:problemid=87726,project=MCU_PLUS_SDK_AM263X,searchquery=taxonomy:'C and C++' build:Build_Apr_13_2023_11_11_AM grouping:off ","KW Issue Link")</f>
        <v>KW Issue Link</v>
      </c>
      <c r="O685" s="1" t="s">
        <v>251</v>
      </c>
    </row>
    <row r="686" spans="1:15" ht="60" x14ac:dyDescent="0.25">
      <c r="A686" s="1" t="s">
        <v>302</v>
      </c>
      <c r="B686" s="1" t="s">
        <v>299</v>
      </c>
      <c r="C686" s="1" t="s">
        <v>867</v>
      </c>
      <c r="D686" s="1">
        <v>88240</v>
      </c>
      <c r="E686" s="1">
        <v>255</v>
      </c>
      <c r="F686" s="1" t="s">
        <v>1065</v>
      </c>
      <c r="G686" s="1" t="s">
        <v>872</v>
      </c>
      <c r="H686" s="1" t="s">
        <v>141</v>
      </c>
      <c r="I686" s="1" t="s">
        <v>63</v>
      </c>
      <c r="J686" s="1">
        <v>1</v>
      </c>
      <c r="K686" s="1" t="s">
        <v>142</v>
      </c>
      <c r="L686" s="1" t="s">
        <v>177</v>
      </c>
      <c r="M686" s="1" t="s">
        <v>28</v>
      </c>
      <c r="N686" s="1" t="str">
        <f>HYPERLINK("https://klocwork.india.ti.com:443/review/insight-review.html#issuedetails_goto:problemid=88240,project=MCU_PLUS_SDK_AM263X,searchquery=taxonomy:'C and C++' build:Build_Apr_13_2023_11_11_AM grouping:off ","KW Issue Link")</f>
        <v>KW Issue Link</v>
      </c>
      <c r="O686" s="1" t="s">
        <v>291</v>
      </c>
    </row>
    <row r="687" spans="1:15" ht="60" x14ac:dyDescent="0.25">
      <c r="A687" s="1" t="s">
        <v>298</v>
      </c>
      <c r="B687" s="1" t="s">
        <v>299</v>
      </c>
      <c r="C687" s="1" t="s">
        <v>867</v>
      </c>
      <c r="D687" s="1">
        <v>88241</v>
      </c>
      <c r="E687" s="1">
        <v>744</v>
      </c>
      <c r="F687" s="1" t="s">
        <v>1066</v>
      </c>
      <c r="G687" s="1" t="s">
        <v>1067</v>
      </c>
      <c r="H687" s="1" t="s">
        <v>141</v>
      </c>
      <c r="I687" s="1" t="s">
        <v>63</v>
      </c>
      <c r="J687" s="1">
        <v>1</v>
      </c>
      <c r="K687" s="1" t="s">
        <v>142</v>
      </c>
      <c r="L687" s="1" t="s">
        <v>177</v>
      </c>
      <c r="M687" s="1" t="s">
        <v>28</v>
      </c>
      <c r="N687" s="1" t="str">
        <f>HYPERLINK("https://klocwork.india.ti.com:443/review/insight-review.html#issuedetails_goto:problemid=88241,project=MCU_PLUS_SDK_AM263X,searchquery=taxonomy:'C and C++' build:Build_Apr_13_2023_11_11_AM grouping:off ","KW Issue Link")</f>
        <v>KW Issue Link</v>
      </c>
      <c r="O687" s="1" t="s">
        <v>291</v>
      </c>
    </row>
    <row r="688" spans="1:15" ht="75" x14ac:dyDescent="0.25">
      <c r="A688" s="1" t="s">
        <v>157</v>
      </c>
      <c r="B688" s="1"/>
      <c r="C688" s="1" t="s">
        <v>1068</v>
      </c>
      <c r="D688" s="1">
        <v>88545</v>
      </c>
      <c r="E688" s="1">
        <v>254</v>
      </c>
      <c r="F688" s="1" t="s">
        <v>1069</v>
      </c>
      <c r="G688" s="1" t="s">
        <v>1070</v>
      </c>
      <c r="H688" s="1" t="s">
        <v>141</v>
      </c>
      <c r="I688" s="1" t="s">
        <v>65</v>
      </c>
      <c r="J688" s="1">
        <v>3</v>
      </c>
      <c r="K688" s="1" t="s">
        <v>142</v>
      </c>
      <c r="L688" s="1" t="s">
        <v>153</v>
      </c>
      <c r="M688" s="1" t="s">
        <v>28</v>
      </c>
      <c r="N688" s="1" t="str">
        <f>HYPERLINK("https://klocwork.india.ti.com:443/review/insight-review.html#issuedetails_goto:problemid=88545,project=MCU_PLUS_SDK_AM263X,searchquery=taxonomy:'C and C++' build:Build_Apr_13_2023_11_11_AM grouping:off ","KW Issue Link")</f>
        <v>KW Issue Link</v>
      </c>
      <c r="O688" s="1" t="s">
        <v>356</v>
      </c>
    </row>
    <row r="689" spans="1:15" ht="90" x14ac:dyDescent="0.25">
      <c r="A689" s="1" t="s">
        <v>163</v>
      </c>
      <c r="B689" s="1"/>
      <c r="C689" s="1" t="s">
        <v>1071</v>
      </c>
      <c r="D689" s="1">
        <v>88635</v>
      </c>
      <c r="E689" s="1">
        <v>655</v>
      </c>
      <c r="F689" s="1" t="s">
        <v>1072</v>
      </c>
      <c r="G689" s="1" t="s">
        <v>1073</v>
      </c>
      <c r="H689" s="1" t="s">
        <v>141</v>
      </c>
      <c r="I689" s="1" t="s">
        <v>65</v>
      </c>
      <c r="J689" s="1">
        <v>3</v>
      </c>
      <c r="K689" s="1" t="s">
        <v>142</v>
      </c>
      <c r="L689" s="1" t="s">
        <v>153</v>
      </c>
      <c r="M689" s="1" t="s">
        <v>28</v>
      </c>
      <c r="N689" s="1" t="str">
        <f>HYPERLINK("https://klocwork.india.ti.com:443/review/insight-review.html#issuedetails_goto:problemid=88635,project=MCU_PLUS_SDK_AM263X,searchquery=taxonomy:'C and C++' build:Build_Apr_13_2023_11_11_AM grouping:off ","KW Issue Link")</f>
        <v>KW Issue Link</v>
      </c>
      <c r="O689" s="1" t="s">
        <v>217</v>
      </c>
    </row>
    <row r="690" spans="1:15" ht="60" x14ac:dyDescent="0.25">
      <c r="A690" s="1" t="s">
        <v>136</v>
      </c>
      <c r="B690" s="1"/>
      <c r="C690" s="1" t="s">
        <v>1074</v>
      </c>
      <c r="D690" s="1">
        <v>92778</v>
      </c>
      <c r="E690" s="1">
        <v>509</v>
      </c>
      <c r="F690" s="1" t="s">
        <v>1075</v>
      </c>
      <c r="G690" s="1" t="s">
        <v>1076</v>
      </c>
      <c r="H690" s="1" t="s">
        <v>141</v>
      </c>
      <c r="I690" s="1" t="s">
        <v>66</v>
      </c>
      <c r="J690" s="1">
        <v>4</v>
      </c>
      <c r="K690" s="1" t="s">
        <v>142</v>
      </c>
      <c r="L690" s="1" t="s">
        <v>153</v>
      </c>
      <c r="M690" s="1" t="s">
        <v>28</v>
      </c>
      <c r="N690" s="1" t="str">
        <f>HYPERLINK("https://klocwork.india.ti.com:443/review/insight-review.html#issuedetails_goto:problemid=92778,project=MCU_PLUS_SDK_AM263X,searchquery=taxonomy:'C and C++' build:Build_Apr_13_2023_11_11_AM grouping:off ","KW Issue Link")</f>
        <v>KW Issue Link</v>
      </c>
      <c r="O690" s="1" t="s">
        <v>236</v>
      </c>
    </row>
    <row r="691" spans="1:15" ht="60" x14ac:dyDescent="0.25">
      <c r="A691" s="1" t="s">
        <v>157</v>
      </c>
      <c r="B691" s="1"/>
      <c r="C691" s="1" t="s">
        <v>354</v>
      </c>
      <c r="D691" s="1">
        <v>93006</v>
      </c>
      <c r="E691" s="1">
        <v>1391</v>
      </c>
      <c r="F691" s="1" t="s">
        <v>262</v>
      </c>
      <c r="G691" s="1" t="s">
        <v>1077</v>
      </c>
      <c r="H691" s="1" t="s">
        <v>141</v>
      </c>
      <c r="I691" s="1" t="s">
        <v>65</v>
      </c>
      <c r="J691" s="1">
        <v>3</v>
      </c>
      <c r="K691" s="1" t="s">
        <v>142</v>
      </c>
      <c r="L691" s="1" t="s">
        <v>153</v>
      </c>
      <c r="M691" s="1" t="s">
        <v>28</v>
      </c>
      <c r="N691" s="1" t="str">
        <f>HYPERLINK("https://klocwork.india.ti.com:443/review/insight-review.html#issuedetails_goto:problemid=93006,project=MCU_PLUS_SDK_AM263X,searchquery=taxonomy:'C and C++' build:Build_Apr_13_2023_11_11_AM grouping:off ","KW Issue Link")</f>
        <v>KW Issue Link</v>
      </c>
      <c r="O691" s="1" t="s">
        <v>356</v>
      </c>
    </row>
    <row r="692" spans="1:15" ht="60" x14ac:dyDescent="0.25">
      <c r="A692" s="1" t="s">
        <v>157</v>
      </c>
      <c r="B692" s="1"/>
      <c r="C692" s="1" t="s">
        <v>362</v>
      </c>
      <c r="D692" s="1">
        <v>93009</v>
      </c>
      <c r="E692" s="1">
        <v>944</v>
      </c>
      <c r="F692" s="1" t="s">
        <v>1078</v>
      </c>
      <c r="G692" s="1" t="s">
        <v>1079</v>
      </c>
      <c r="H692" s="1" t="s">
        <v>141</v>
      </c>
      <c r="I692" s="1" t="s">
        <v>65</v>
      </c>
      <c r="J692" s="1">
        <v>3</v>
      </c>
      <c r="K692" s="1" t="s">
        <v>142</v>
      </c>
      <c r="L692" s="1" t="s">
        <v>153</v>
      </c>
      <c r="M692" s="1" t="s">
        <v>28</v>
      </c>
      <c r="N692" s="1" t="str">
        <f>HYPERLINK("https://klocwork.india.ti.com:443/review/insight-review.html#issuedetails_goto:problemid=93009,project=MCU_PLUS_SDK_AM263X,searchquery=taxonomy:'C and C++' build:Build_Apr_13_2023_11_11_AM grouping:off ","KW Issue Link")</f>
        <v>KW Issue Link</v>
      </c>
      <c r="O692" s="1" t="s">
        <v>356</v>
      </c>
    </row>
    <row r="693" spans="1:15" ht="90" x14ac:dyDescent="0.25">
      <c r="A693" s="1" t="s">
        <v>149</v>
      </c>
      <c r="B693" s="1"/>
      <c r="C693" s="1" t="s">
        <v>1080</v>
      </c>
      <c r="D693" s="1">
        <v>93147</v>
      </c>
      <c r="E693" s="1">
        <v>111</v>
      </c>
      <c r="F693" s="1" t="s">
        <v>1081</v>
      </c>
      <c r="G693" s="1" t="s">
        <v>1082</v>
      </c>
      <c r="H693" s="1" t="s">
        <v>141</v>
      </c>
      <c r="I693" s="1" t="s">
        <v>65</v>
      </c>
      <c r="J693" s="1">
        <v>3</v>
      </c>
      <c r="K693" s="1" t="s">
        <v>142</v>
      </c>
      <c r="L693" s="1" t="s">
        <v>153</v>
      </c>
      <c r="M693" s="1" t="s">
        <v>28</v>
      </c>
      <c r="N693" s="1" t="str">
        <f>HYPERLINK("https://klocwork.india.ti.com:443/review/insight-review.html#issuedetails_goto:problemid=93147,project=MCU_PLUS_SDK_AM263X,searchquery=taxonomy:'C and C++' build:Build_Apr_13_2023_11_11_AM grouping:off ","KW Issue Link")</f>
        <v>KW Issue Link</v>
      </c>
      <c r="O693" s="1" t="s">
        <v>1083</v>
      </c>
    </row>
    <row r="694" spans="1:15" ht="75" x14ac:dyDescent="0.25">
      <c r="A694" s="1" t="s">
        <v>149</v>
      </c>
      <c r="B694" s="1"/>
      <c r="C694" s="1" t="s">
        <v>1080</v>
      </c>
      <c r="D694" s="1">
        <v>93148</v>
      </c>
      <c r="E694" s="1">
        <v>180</v>
      </c>
      <c r="F694" s="1" t="s">
        <v>429</v>
      </c>
      <c r="G694" s="1" t="s">
        <v>1084</v>
      </c>
      <c r="H694" s="1" t="s">
        <v>141</v>
      </c>
      <c r="I694" s="1" t="s">
        <v>65</v>
      </c>
      <c r="J694" s="1">
        <v>3</v>
      </c>
      <c r="K694" s="1" t="s">
        <v>142</v>
      </c>
      <c r="L694" s="1" t="s">
        <v>153</v>
      </c>
      <c r="M694" s="1" t="s">
        <v>28</v>
      </c>
      <c r="N694" s="1" t="str">
        <f>HYPERLINK("https://klocwork.india.ti.com:443/review/insight-review.html#issuedetails_goto:problemid=93148,project=MCU_PLUS_SDK_AM263X,searchquery=taxonomy:'C and C++' build:Build_Apr_13_2023_11_11_AM grouping:off ","KW Issue Link")</f>
        <v>KW Issue Link</v>
      </c>
      <c r="O694" s="1" t="s">
        <v>1083</v>
      </c>
    </row>
    <row r="695" spans="1:15" ht="60" x14ac:dyDescent="0.25">
      <c r="A695" s="1" t="s">
        <v>157</v>
      </c>
      <c r="B695" s="1"/>
      <c r="C695" s="1" t="s">
        <v>1080</v>
      </c>
      <c r="D695" s="1">
        <v>93160</v>
      </c>
      <c r="E695" s="1">
        <v>724</v>
      </c>
      <c r="F695" s="1" t="s">
        <v>1085</v>
      </c>
      <c r="G695" s="1" t="s">
        <v>1086</v>
      </c>
      <c r="H695" s="1" t="s">
        <v>141</v>
      </c>
      <c r="I695" s="1" t="s">
        <v>65</v>
      </c>
      <c r="J695" s="1">
        <v>3</v>
      </c>
      <c r="K695" s="1" t="s">
        <v>142</v>
      </c>
      <c r="L695" s="1" t="s">
        <v>153</v>
      </c>
      <c r="M695" s="1" t="s">
        <v>28</v>
      </c>
      <c r="N695" s="1" t="str">
        <f>HYPERLINK("https://klocwork.india.ti.com:443/review/insight-review.html#issuedetails_goto:problemid=93160,project=MCU_PLUS_SDK_AM263X,searchquery=taxonomy:'C and C++' build:Build_Apr_13_2023_11_11_AM grouping:off ","KW Issue Link")</f>
        <v>KW Issue Link</v>
      </c>
      <c r="O695" s="1" t="s">
        <v>1083</v>
      </c>
    </row>
    <row r="696" spans="1:15" ht="60" x14ac:dyDescent="0.25">
      <c r="A696" s="1" t="s">
        <v>136</v>
      </c>
      <c r="B696" s="1"/>
      <c r="C696" s="1" t="s">
        <v>1080</v>
      </c>
      <c r="D696" s="1">
        <v>93161</v>
      </c>
      <c r="E696" s="1">
        <v>173</v>
      </c>
      <c r="F696" s="1" t="s">
        <v>257</v>
      </c>
      <c r="G696" s="1" t="s">
        <v>1084</v>
      </c>
      <c r="H696" s="1" t="s">
        <v>141</v>
      </c>
      <c r="I696" s="1" t="s">
        <v>66</v>
      </c>
      <c r="J696" s="1">
        <v>4</v>
      </c>
      <c r="K696" s="1" t="s">
        <v>142</v>
      </c>
      <c r="L696" s="1" t="s">
        <v>153</v>
      </c>
      <c r="M696" s="1" t="s">
        <v>28</v>
      </c>
      <c r="N696" s="1" t="str">
        <f>HYPERLINK("https://klocwork.india.ti.com:443/review/insight-review.html#issuedetails_goto:problemid=93161,project=MCU_PLUS_SDK_AM263X,searchquery=taxonomy:'C and C++' build:Build_Apr_13_2023_11_11_AM grouping:off ","KW Issue Link")</f>
        <v>KW Issue Link</v>
      </c>
      <c r="O696" s="1" t="s">
        <v>1083</v>
      </c>
    </row>
    <row r="697" spans="1:15" ht="60" x14ac:dyDescent="0.25">
      <c r="A697" s="1" t="s">
        <v>155</v>
      </c>
      <c r="B697" s="1"/>
      <c r="C697" s="1" t="s">
        <v>1080</v>
      </c>
      <c r="D697" s="1">
        <v>93162</v>
      </c>
      <c r="E697" s="1">
        <v>186</v>
      </c>
      <c r="F697" s="1" t="s">
        <v>156</v>
      </c>
      <c r="G697" s="1" t="s">
        <v>1084</v>
      </c>
      <c r="H697" s="1" t="s">
        <v>141</v>
      </c>
      <c r="I697" s="1" t="s">
        <v>65</v>
      </c>
      <c r="J697" s="1">
        <v>3</v>
      </c>
      <c r="K697" s="1" t="s">
        <v>142</v>
      </c>
      <c r="L697" s="1" t="s">
        <v>153</v>
      </c>
      <c r="M697" s="1" t="s">
        <v>28</v>
      </c>
      <c r="N697" s="1" t="str">
        <f>HYPERLINK("https://klocwork.india.ti.com:443/review/insight-review.html#issuedetails_goto:problemid=93162,project=MCU_PLUS_SDK_AM263X,searchquery=taxonomy:'C and C++' build:Build_Apr_13_2023_11_11_AM grouping:off ","KW Issue Link")</f>
        <v>KW Issue Link</v>
      </c>
      <c r="O697" s="1" t="s">
        <v>1083</v>
      </c>
    </row>
    <row r="698" spans="1:15" ht="60" x14ac:dyDescent="0.25">
      <c r="A698" s="1" t="s">
        <v>136</v>
      </c>
      <c r="B698" s="1"/>
      <c r="C698" s="1" t="s">
        <v>252</v>
      </c>
      <c r="D698" s="1">
        <v>93189</v>
      </c>
      <c r="E698" s="1">
        <v>955</v>
      </c>
      <c r="F698" s="1" t="s">
        <v>1087</v>
      </c>
      <c r="G698" s="1" t="s">
        <v>1088</v>
      </c>
      <c r="H698" s="1" t="s">
        <v>141</v>
      </c>
      <c r="I698" s="1" t="s">
        <v>66</v>
      </c>
      <c r="J698" s="1">
        <v>4</v>
      </c>
      <c r="K698" s="1" t="s">
        <v>142</v>
      </c>
      <c r="L698" s="1" t="s">
        <v>153</v>
      </c>
      <c r="M698" s="1" t="s">
        <v>28</v>
      </c>
      <c r="N698" s="1" t="str">
        <f>HYPERLINK("https://klocwork.india.ti.com:443/review/insight-review.html#issuedetails_goto:problemid=93189,project=MCU_PLUS_SDK_AM263X,searchquery=taxonomy:'C and C++' build:Build_Apr_13_2023_11_11_AM grouping:off ","KW Issue Link")</f>
        <v>KW Issue Link</v>
      </c>
      <c r="O698" s="1" t="s">
        <v>254</v>
      </c>
    </row>
    <row r="699" spans="1:15" ht="75" x14ac:dyDescent="0.25">
      <c r="A699" s="1" t="s">
        <v>136</v>
      </c>
      <c r="B699" s="1"/>
      <c r="C699" s="1" t="s">
        <v>1089</v>
      </c>
      <c r="D699" s="1">
        <v>93209</v>
      </c>
      <c r="E699" s="1">
        <v>280</v>
      </c>
      <c r="F699" s="1" t="s">
        <v>257</v>
      </c>
      <c r="G699" s="1" t="s">
        <v>1090</v>
      </c>
      <c r="H699" s="1" t="s">
        <v>141</v>
      </c>
      <c r="I699" s="1" t="s">
        <v>66</v>
      </c>
      <c r="J699" s="1">
        <v>4</v>
      </c>
      <c r="K699" s="1" t="s">
        <v>142</v>
      </c>
      <c r="L699" s="1" t="s">
        <v>153</v>
      </c>
      <c r="M699" s="1" t="s">
        <v>28</v>
      </c>
      <c r="N699" s="1" t="str">
        <f>HYPERLINK("https://klocwork.india.ti.com:443/review/insight-review.html#issuedetails_goto:problemid=93209,project=MCU_PLUS_SDK_AM263X,searchquery=taxonomy:'C and C++' build:Build_Apr_13_2023_11_11_AM grouping:off ","KW Issue Link")</f>
        <v>KW Issue Link</v>
      </c>
      <c r="O699" s="1" t="s">
        <v>1083</v>
      </c>
    </row>
    <row r="700" spans="1:15" ht="90" x14ac:dyDescent="0.25">
      <c r="A700" s="1" t="s">
        <v>157</v>
      </c>
      <c r="B700" s="1"/>
      <c r="C700" s="1" t="s">
        <v>1089</v>
      </c>
      <c r="D700" s="1">
        <v>93214</v>
      </c>
      <c r="E700" s="1">
        <v>308</v>
      </c>
      <c r="F700" s="1" t="s">
        <v>1091</v>
      </c>
      <c r="G700" s="1" t="s">
        <v>1090</v>
      </c>
      <c r="H700" s="1" t="s">
        <v>141</v>
      </c>
      <c r="I700" s="1" t="s">
        <v>65</v>
      </c>
      <c r="J700" s="1">
        <v>3</v>
      </c>
      <c r="K700" s="1" t="s">
        <v>142</v>
      </c>
      <c r="L700" s="1" t="s">
        <v>153</v>
      </c>
      <c r="M700" s="1" t="s">
        <v>28</v>
      </c>
      <c r="N700" s="1" t="str">
        <f>HYPERLINK("https://klocwork.india.ti.com:443/review/insight-review.html#issuedetails_goto:problemid=93214,project=MCU_PLUS_SDK_AM263X,searchquery=taxonomy:'C and C++' build:Build_Apr_13_2023_11_11_AM grouping:off ","KW Issue Link")</f>
        <v>KW Issue Link</v>
      </c>
      <c r="O700" s="1" t="s">
        <v>1083</v>
      </c>
    </row>
    <row r="701" spans="1:15" ht="90" x14ac:dyDescent="0.25">
      <c r="A701" s="1" t="s">
        <v>157</v>
      </c>
      <c r="B701" s="1" t="s">
        <v>1092</v>
      </c>
      <c r="C701" s="1" t="s">
        <v>1093</v>
      </c>
      <c r="D701" s="1">
        <v>94027</v>
      </c>
      <c r="E701" s="1">
        <v>160</v>
      </c>
      <c r="F701" s="1" t="s">
        <v>1094</v>
      </c>
      <c r="G701" s="1" t="s">
        <v>1095</v>
      </c>
      <c r="H701" s="1" t="s">
        <v>141</v>
      </c>
      <c r="I701" s="1" t="s">
        <v>65</v>
      </c>
      <c r="J701" s="1">
        <v>3</v>
      </c>
      <c r="K701" s="1" t="s">
        <v>142</v>
      </c>
      <c r="L701" s="1" t="s">
        <v>195</v>
      </c>
      <c r="M701" s="1" t="s">
        <v>28</v>
      </c>
      <c r="N701" s="1" t="str">
        <f>HYPERLINK("https://klocwork.india.ti.com:443/review/insight-review.html#issuedetails_goto:problemid=94027,project=MCU_PLUS_SDK_AM263X,searchquery=taxonomy:'C and C++' build:Build_Apr_13_2023_11_11_AM grouping:off ","KW Issue Link")</f>
        <v>KW Issue Link</v>
      </c>
      <c r="O701" s="1" t="s">
        <v>1083</v>
      </c>
    </row>
    <row r="702" spans="1:15" ht="75" x14ac:dyDescent="0.25">
      <c r="A702" s="1" t="s">
        <v>157</v>
      </c>
      <c r="B702" s="1" t="s">
        <v>1092</v>
      </c>
      <c r="C702" s="1" t="s">
        <v>1093</v>
      </c>
      <c r="D702" s="1">
        <v>94028</v>
      </c>
      <c r="E702" s="1">
        <v>172</v>
      </c>
      <c r="F702" s="1" t="s">
        <v>1096</v>
      </c>
      <c r="G702" s="1" t="s">
        <v>1095</v>
      </c>
      <c r="H702" s="1" t="s">
        <v>141</v>
      </c>
      <c r="I702" s="1" t="s">
        <v>65</v>
      </c>
      <c r="J702" s="1">
        <v>3</v>
      </c>
      <c r="K702" s="1" t="s">
        <v>142</v>
      </c>
      <c r="L702" s="1" t="s">
        <v>195</v>
      </c>
      <c r="M702" s="1" t="s">
        <v>28</v>
      </c>
      <c r="N702" s="1" t="str">
        <f>HYPERLINK("https://klocwork.india.ti.com:443/review/insight-review.html#issuedetails_goto:problemid=94028,project=MCU_PLUS_SDK_AM263X,searchquery=taxonomy:'C and C++' build:Build_Apr_13_2023_11_11_AM grouping:off ","KW Issue Link")</f>
        <v>KW Issue Link</v>
      </c>
      <c r="O702" s="1" t="s">
        <v>1083</v>
      </c>
    </row>
    <row r="703" spans="1:15" ht="60" x14ac:dyDescent="0.25">
      <c r="A703" s="1" t="s">
        <v>298</v>
      </c>
      <c r="B703" s="1" t="s">
        <v>1097</v>
      </c>
      <c r="C703" s="1" t="s">
        <v>1098</v>
      </c>
      <c r="D703" s="1">
        <v>94041</v>
      </c>
      <c r="E703" s="1">
        <v>85</v>
      </c>
      <c r="F703" s="1" t="s">
        <v>1099</v>
      </c>
      <c r="G703" s="1" t="s">
        <v>1100</v>
      </c>
      <c r="H703" s="1" t="s">
        <v>141</v>
      </c>
      <c r="I703" s="1" t="s">
        <v>63</v>
      </c>
      <c r="J703" s="1">
        <v>1</v>
      </c>
      <c r="K703" s="1" t="s">
        <v>142</v>
      </c>
      <c r="L703" s="1" t="s">
        <v>195</v>
      </c>
      <c r="M703" s="1" t="s">
        <v>28</v>
      </c>
      <c r="N703" s="1" t="str">
        <f>HYPERLINK("https://klocwork.india.ti.com:443/review/insight-review.html#issuedetails_goto:problemid=94041,project=MCU_PLUS_SDK_AM263X,searchquery=taxonomy:'C and C++' build:Build_Apr_13_2023_11_11_AM grouping:off ","KW Issue Link")</f>
        <v>KW Issue Link</v>
      </c>
      <c r="O703" s="1" t="s">
        <v>1083</v>
      </c>
    </row>
    <row r="704" spans="1:15" ht="75" x14ac:dyDescent="0.25">
      <c r="A704" s="1" t="s">
        <v>136</v>
      </c>
      <c r="B704" s="1"/>
      <c r="C704" s="1" t="s">
        <v>1101</v>
      </c>
      <c r="D704" s="1">
        <v>94272</v>
      </c>
      <c r="E704" s="1">
        <v>172</v>
      </c>
      <c r="F704" s="1" t="s">
        <v>1102</v>
      </c>
      <c r="G704" s="1" t="s">
        <v>1103</v>
      </c>
      <c r="H704" s="1" t="s">
        <v>141</v>
      </c>
      <c r="I704" s="1" t="s">
        <v>66</v>
      </c>
      <c r="J704" s="1">
        <v>4</v>
      </c>
      <c r="K704" s="1" t="s">
        <v>142</v>
      </c>
      <c r="L704" s="1" t="s">
        <v>153</v>
      </c>
      <c r="M704" s="1" t="s">
        <v>28</v>
      </c>
      <c r="N704" s="1" t="str">
        <f>HYPERLINK("https://klocwork.india.ti.com:443/review/insight-review.html#issuedetails_goto:problemid=94272,project=MCU_PLUS_SDK_AM263X,searchquery=taxonomy:'C and C++' build:Build_Apr_13_2023_11_11_AM grouping:off ","KW Issue Link")</f>
        <v>KW Issue Link</v>
      </c>
      <c r="O704" s="1" t="s">
        <v>356</v>
      </c>
    </row>
    <row r="705" spans="1:15" ht="75" x14ac:dyDescent="0.25">
      <c r="A705" s="1" t="s">
        <v>149</v>
      </c>
      <c r="B705" s="1" t="s">
        <v>1104</v>
      </c>
      <c r="C705" s="1" t="s">
        <v>201</v>
      </c>
      <c r="D705" s="1">
        <v>94696</v>
      </c>
      <c r="E705" s="1">
        <v>828</v>
      </c>
      <c r="F705" s="1" t="s">
        <v>1105</v>
      </c>
      <c r="G705" s="1" t="s">
        <v>206</v>
      </c>
      <c r="H705" s="1" t="s">
        <v>141</v>
      </c>
      <c r="I705" s="1" t="s">
        <v>65</v>
      </c>
      <c r="J705" s="1">
        <v>3</v>
      </c>
      <c r="K705" s="1" t="s">
        <v>142</v>
      </c>
      <c r="L705" s="1" t="s">
        <v>143</v>
      </c>
      <c r="M705" s="1" t="s">
        <v>28</v>
      </c>
      <c r="N705" s="1" t="str">
        <f>HYPERLINK("https://klocwork.india.ti.com:443/review/insight-review.html#issuedetails_goto:problemid=94696,project=MCU_PLUS_SDK_AM263X,searchquery=taxonomy:'C and C++' build:Build_Apr_13_2023_11_11_AM grouping:off ","KW Issue Link")</f>
        <v>KW Issue Link</v>
      </c>
      <c r="O705" s="1" t="s">
        <v>144</v>
      </c>
    </row>
    <row r="706" spans="1:15" ht="60" x14ac:dyDescent="0.25">
      <c r="A706" s="1" t="s">
        <v>157</v>
      </c>
      <c r="B706" s="1"/>
      <c r="C706" s="1" t="s">
        <v>949</v>
      </c>
      <c r="D706" s="1">
        <v>96172</v>
      </c>
      <c r="E706" s="1">
        <v>900</v>
      </c>
      <c r="F706" s="1" t="s">
        <v>262</v>
      </c>
      <c r="G706" s="1" t="s">
        <v>1106</v>
      </c>
      <c r="H706" s="1" t="s">
        <v>141</v>
      </c>
      <c r="I706" s="1" t="s">
        <v>65</v>
      </c>
      <c r="J706" s="1">
        <v>3</v>
      </c>
      <c r="K706" s="1" t="s">
        <v>142</v>
      </c>
      <c r="L706" s="1" t="s">
        <v>153</v>
      </c>
      <c r="M706" s="1" t="s">
        <v>28</v>
      </c>
      <c r="N706" s="1" t="str">
        <f>HYPERLINK("https://klocwork.india.ti.com:443/review/insight-review.html#issuedetails_goto:problemid=96172,project=MCU_PLUS_SDK_AM263X,searchquery=taxonomy:'C and C++' build:Build_Apr_13_2023_11_11_AM grouping:off ","KW Issue Link")</f>
        <v>KW Issue Link</v>
      </c>
      <c r="O706" s="1" t="s">
        <v>356</v>
      </c>
    </row>
    <row r="707" spans="1:15" ht="60" x14ac:dyDescent="0.25">
      <c r="A707" s="1" t="s">
        <v>136</v>
      </c>
      <c r="B707" s="1"/>
      <c r="C707" s="1" t="s">
        <v>1107</v>
      </c>
      <c r="D707" s="1">
        <v>96642</v>
      </c>
      <c r="E707" s="1">
        <v>195</v>
      </c>
      <c r="F707" s="1" t="s">
        <v>257</v>
      </c>
      <c r="G707" s="1" t="s">
        <v>1108</v>
      </c>
      <c r="H707" s="1" t="s">
        <v>141</v>
      </c>
      <c r="I707" s="1" t="s">
        <v>66</v>
      </c>
      <c r="J707" s="1">
        <v>4</v>
      </c>
      <c r="K707" s="1" t="s">
        <v>142</v>
      </c>
      <c r="L707" s="1" t="s">
        <v>153</v>
      </c>
      <c r="M707" s="1" t="s">
        <v>28</v>
      </c>
      <c r="N707" s="1" t="str">
        <f>HYPERLINK("https://klocwork.india.ti.com:443/review/insight-review.html#issuedetails_goto:problemid=96642,project=MCU_PLUS_SDK_AM263X,searchquery=taxonomy:'C and C++' build:Build_Apr_13_2023_11_11_AM grouping:off ","KW Issue Link")</f>
        <v>KW Issue Link</v>
      </c>
      <c r="O707" s="1" t="s">
        <v>271</v>
      </c>
    </row>
    <row r="708" spans="1:15" ht="75" x14ac:dyDescent="0.25">
      <c r="A708" s="1" t="s">
        <v>136</v>
      </c>
      <c r="B708" s="1"/>
      <c r="C708" s="1" t="s">
        <v>1101</v>
      </c>
      <c r="D708" s="1">
        <v>96731</v>
      </c>
      <c r="E708" s="1">
        <v>318</v>
      </c>
      <c r="F708" s="1" t="s">
        <v>1102</v>
      </c>
      <c r="G708" s="1" t="s">
        <v>1109</v>
      </c>
      <c r="H708" s="1" t="s">
        <v>141</v>
      </c>
      <c r="I708" s="1" t="s">
        <v>66</v>
      </c>
      <c r="J708" s="1">
        <v>4</v>
      </c>
      <c r="K708" s="1" t="s">
        <v>142</v>
      </c>
      <c r="L708" s="1" t="s">
        <v>153</v>
      </c>
      <c r="M708" s="1" t="s">
        <v>28</v>
      </c>
      <c r="N708" s="1" t="str">
        <f>HYPERLINK("https://klocwork.india.ti.com:443/review/insight-review.html#issuedetails_goto:problemid=96731,project=MCU_PLUS_SDK_AM263X,searchquery=taxonomy:'C and C++' build:Build_Apr_13_2023_11_11_AM grouping:off ","KW Issue Link")</f>
        <v>KW Issue Link</v>
      </c>
      <c r="O708" s="1" t="s">
        <v>356</v>
      </c>
    </row>
    <row r="709" spans="1:15" ht="90" x14ac:dyDescent="0.25">
      <c r="A709" s="1" t="s">
        <v>149</v>
      </c>
      <c r="B709" s="1"/>
      <c r="C709" s="1" t="s">
        <v>1110</v>
      </c>
      <c r="D709" s="1">
        <v>97043</v>
      </c>
      <c r="E709" s="1">
        <v>822</v>
      </c>
      <c r="F709" s="1" t="s">
        <v>509</v>
      </c>
      <c r="G709" s="1" t="s">
        <v>1111</v>
      </c>
      <c r="H709" s="1" t="s">
        <v>141</v>
      </c>
      <c r="I709" s="1" t="s">
        <v>65</v>
      </c>
      <c r="J709" s="1">
        <v>3</v>
      </c>
      <c r="K709" s="1" t="s">
        <v>142</v>
      </c>
      <c r="L709" s="1" t="s">
        <v>153</v>
      </c>
      <c r="M709" s="1" t="s">
        <v>28</v>
      </c>
      <c r="N709" s="1" t="str">
        <f>HYPERLINK("https://klocwork.india.ti.com:443/review/insight-review.html#issuedetails_goto:problemid=97043,project=MCU_PLUS_SDK_AM263X,searchquery=taxonomy:'C and C++' build:Build_Apr_13_2023_11_11_AM grouping:off ","KW Issue Link")</f>
        <v>KW Issue Link</v>
      </c>
      <c r="O709" s="1" t="s">
        <v>356</v>
      </c>
    </row>
    <row r="710" spans="1:15" ht="90" x14ac:dyDescent="0.25">
      <c r="A710" s="1" t="s">
        <v>149</v>
      </c>
      <c r="B710" s="1"/>
      <c r="C710" s="1" t="s">
        <v>1110</v>
      </c>
      <c r="D710" s="1">
        <v>97044</v>
      </c>
      <c r="E710" s="1">
        <v>868</v>
      </c>
      <c r="F710" s="1" t="s">
        <v>509</v>
      </c>
      <c r="G710" s="1" t="s">
        <v>1111</v>
      </c>
      <c r="H710" s="1" t="s">
        <v>141</v>
      </c>
      <c r="I710" s="1" t="s">
        <v>65</v>
      </c>
      <c r="J710" s="1">
        <v>3</v>
      </c>
      <c r="K710" s="1" t="s">
        <v>142</v>
      </c>
      <c r="L710" s="1" t="s">
        <v>153</v>
      </c>
      <c r="M710" s="1" t="s">
        <v>28</v>
      </c>
      <c r="N710" s="1" t="str">
        <f>HYPERLINK("https://klocwork.india.ti.com:443/review/insight-review.html#issuedetails_goto:problemid=97044,project=MCU_PLUS_SDK_AM263X,searchquery=taxonomy:'C and C++' build:Build_Apr_13_2023_11_11_AM grouping:off ","KW Issue Link")</f>
        <v>KW Issue Link</v>
      </c>
      <c r="O710" s="1" t="s">
        <v>356</v>
      </c>
    </row>
    <row r="711" spans="1:15" ht="90" x14ac:dyDescent="0.25">
      <c r="A711" s="1" t="s">
        <v>149</v>
      </c>
      <c r="B711" s="1"/>
      <c r="C711" s="1" t="s">
        <v>1110</v>
      </c>
      <c r="D711" s="1">
        <v>97045</v>
      </c>
      <c r="E711" s="1">
        <v>4405</v>
      </c>
      <c r="F711" s="1" t="s">
        <v>1112</v>
      </c>
      <c r="G711" s="1" t="s">
        <v>1113</v>
      </c>
      <c r="H711" s="1" t="s">
        <v>141</v>
      </c>
      <c r="I711" s="1" t="s">
        <v>65</v>
      </c>
      <c r="J711" s="1">
        <v>3</v>
      </c>
      <c r="K711" s="1" t="s">
        <v>142</v>
      </c>
      <c r="L711" s="1" t="s">
        <v>153</v>
      </c>
      <c r="M711" s="1" t="s">
        <v>28</v>
      </c>
      <c r="N711" s="1" t="str">
        <f>HYPERLINK("https://klocwork.india.ti.com:443/review/insight-review.html#issuedetails_goto:problemid=97045,project=MCU_PLUS_SDK_AM263X,searchquery=taxonomy:'C and C++' build:Build_Apr_13_2023_11_11_AM grouping:off ","KW Issue Link")</f>
        <v>KW Issue Link</v>
      </c>
      <c r="O711" s="1" t="s">
        <v>356</v>
      </c>
    </row>
    <row r="712" spans="1:15" ht="90" x14ac:dyDescent="0.25">
      <c r="A712" s="1" t="s">
        <v>149</v>
      </c>
      <c r="B712" s="1"/>
      <c r="C712" s="1" t="s">
        <v>1110</v>
      </c>
      <c r="D712" s="1">
        <v>97046</v>
      </c>
      <c r="E712" s="1">
        <v>4443</v>
      </c>
      <c r="F712" s="1" t="s">
        <v>1112</v>
      </c>
      <c r="G712" s="1" t="s">
        <v>1114</v>
      </c>
      <c r="H712" s="1" t="s">
        <v>141</v>
      </c>
      <c r="I712" s="1" t="s">
        <v>65</v>
      </c>
      <c r="J712" s="1">
        <v>3</v>
      </c>
      <c r="K712" s="1" t="s">
        <v>142</v>
      </c>
      <c r="L712" s="1" t="s">
        <v>153</v>
      </c>
      <c r="M712" s="1" t="s">
        <v>28</v>
      </c>
      <c r="N712" s="1" t="str">
        <f>HYPERLINK("https://klocwork.india.ti.com:443/review/insight-review.html#issuedetails_goto:problemid=97046,project=MCU_PLUS_SDK_AM263X,searchquery=taxonomy:'C and C++' build:Build_Apr_13_2023_11_11_AM grouping:off ","KW Issue Link")</f>
        <v>KW Issue Link</v>
      </c>
      <c r="O712" s="1" t="s">
        <v>356</v>
      </c>
    </row>
    <row r="713" spans="1:15" ht="105" x14ac:dyDescent="0.25">
      <c r="A713" s="1" t="s">
        <v>149</v>
      </c>
      <c r="B713" s="1"/>
      <c r="C713" s="1" t="s">
        <v>1110</v>
      </c>
      <c r="D713" s="1">
        <v>97047</v>
      </c>
      <c r="E713" s="1">
        <v>5623</v>
      </c>
      <c r="F713" s="1" t="s">
        <v>429</v>
      </c>
      <c r="G713" s="1" t="s">
        <v>1115</v>
      </c>
      <c r="H713" s="1" t="s">
        <v>141</v>
      </c>
      <c r="I713" s="1" t="s">
        <v>65</v>
      </c>
      <c r="J713" s="1">
        <v>3</v>
      </c>
      <c r="K713" s="1" t="s">
        <v>142</v>
      </c>
      <c r="L713" s="1" t="s">
        <v>153</v>
      </c>
      <c r="M713" s="1" t="s">
        <v>28</v>
      </c>
      <c r="N713" s="1" t="str">
        <f>HYPERLINK("https://klocwork.india.ti.com:443/review/insight-review.html#issuedetails_goto:problemid=97047,project=MCU_PLUS_SDK_AM263X,searchquery=taxonomy:'C and C++' build:Build_Apr_13_2023_11_11_AM grouping:off ","KW Issue Link")</f>
        <v>KW Issue Link</v>
      </c>
      <c r="O713" s="1" t="s">
        <v>356</v>
      </c>
    </row>
    <row r="714" spans="1:15" ht="75" x14ac:dyDescent="0.25">
      <c r="A714" s="1" t="s">
        <v>157</v>
      </c>
      <c r="B714" s="1"/>
      <c r="C714" s="1" t="s">
        <v>1110</v>
      </c>
      <c r="D714" s="1">
        <v>97696</v>
      </c>
      <c r="E714" s="1">
        <v>1772</v>
      </c>
      <c r="F714" s="1" t="s">
        <v>262</v>
      </c>
      <c r="G714" s="1" t="s">
        <v>1116</v>
      </c>
      <c r="H714" s="1" t="s">
        <v>141</v>
      </c>
      <c r="I714" s="1" t="s">
        <v>65</v>
      </c>
      <c r="J714" s="1">
        <v>3</v>
      </c>
      <c r="K714" s="1" t="s">
        <v>142</v>
      </c>
      <c r="L714" s="1" t="s">
        <v>153</v>
      </c>
      <c r="M714" s="1" t="s">
        <v>28</v>
      </c>
      <c r="N714" s="1" t="str">
        <f>HYPERLINK("https://klocwork.india.ti.com:443/review/insight-review.html#issuedetails_goto:problemid=97696,project=MCU_PLUS_SDK_AM263X,searchquery=taxonomy:'C and C++' build:Build_Apr_13_2023_11_11_AM grouping:off ","KW Issue Link")</f>
        <v>KW Issue Link</v>
      </c>
      <c r="O714" s="1" t="s">
        <v>356</v>
      </c>
    </row>
    <row r="715" spans="1:15" ht="75" x14ac:dyDescent="0.25">
      <c r="A715" s="1" t="s">
        <v>157</v>
      </c>
      <c r="B715" s="1"/>
      <c r="C715" s="1" t="s">
        <v>1110</v>
      </c>
      <c r="D715" s="1">
        <v>97697</v>
      </c>
      <c r="E715" s="1">
        <v>1938</v>
      </c>
      <c r="F715" s="1" t="s">
        <v>262</v>
      </c>
      <c r="G715" s="1" t="s">
        <v>1117</v>
      </c>
      <c r="H715" s="1" t="s">
        <v>141</v>
      </c>
      <c r="I715" s="1" t="s">
        <v>65</v>
      </c>
      <c r="J715" s="1">
        <v>3</v>
      </c>
      <c r="K715" s="1" t="s">
        <v>142</v>
      </c>
      <c r="L715" s="1" t="s">
        <v>153</v>
      </c>
      <c r="M715" s="1" t="s">
        <v>28</v>
      </c>
      <c r="N715" s="1" t="str">
        <f>HYPERLINK("https://klocwork.india.ti.com:443/review/insight-review.html#issuedetails_goto:problemid=97697,project=MCU_PLUS_SDK_AM263X,searchquery=taxonomy:'C and C++' build:Build_Apr_13_2023_11_11_AM grouping:off ","KW Issue Link")</f>
        <v>KW Issue Link</v>
      </c>
      <c r="O715" s="1" t="s">
        <v>356</v>
      </c>
    </row>
    <row r="716" spans="1:15" ht="75" x14ac:dyDescent="0.25">
      <c r="A716" s="1" t="s">
        <v>157</v>
      </c>
      <c r="B716" s="1"/>
      <c r="C716" s="1" t="s">
        <v>1110</v>
      </c>
      <c r="D716" s="1">
        <v>97698</v>
      </c>
      <c r="E716" s="1">
        <v>2107</v>
      </c>
      <c r="F716" s="1" t="s">
        <v>262</v>
      </c>
      <c r="G716" s="1" t="s">
        <v>1118</v>
      </c>
      <c r="H716" s="1" t="s">
        <v>141</v>
      </c>
      <c r="I716" s="1" t="s">
        <v>65</v>
      </c>
      <c r="J716" s="1">
        <v>3</v>
      </c>
      <c r="K716" s="1" t="s">
        <v>142</v>
      </c>
      <c r="L716" s="1" t="s">
        <v>153</v>
      </c>
      <c r="M716" s="1" t="s">
        <v>28</v>
      </c>
      <c r="N716" s="1" t="str">
        <f>HYPERLINK("https://klocwork.india.ti.com:443/review/insight-review.html#issuedetails_goto:problemid=97698,project=MCU_PLUS_SDK_AM263X,searchquery=taxonomy:'C and C++' build:Build_Apr_13_2023_11_11_AM grouping:off ","KW Issue Link")</f>
        <v>KW Issue Link</v>
      </c>
      <c r="O716" s="1" t="s">
        <v>356</v>
      </c>
    </row>
    <row r="717" spans="1:15" ht="75" x14ac:dyDescent="0.25">
      <c r="A717" s="1" t="s">
        <v>157</v>
      </c>
      <c r="B717" s="1"/>
      <c r="C717" s="1" t="s">
        <v>1110</v>
      </c>
      <c r="D717" s="1">
        <v>97699</v>
      </c>
      <c r="E717" s="1">
        <v>2280</v>
      </c>
      <c r="F717" s="1" t="s">
        <v>262</v>
      </c>
      <c r="G717" s="1" t="s">
        <v>1119</v>
      </c>
      <c r="H717" s="1" t="s">
        <v>141</v>
      </c>
      <c r="I717" s="1" t="s">
        <v>65</v>
      </c>
      <c r="J717" s="1">
        <v>3</v>
      </c>
      <c r="K717" s="1" t="s">
        <v>142</v>
      </c>
      <c r="L717" s="1" t="s">
        <v>153</v>
      </c>
      <c r="M717" s="1" t="s">
        <v>28</v>
      </c>
      <c r="N717" s="1" t="str">
        <f>HYPERLINK("https://klocwork.india.ti.com:443/review/insight-review.html#issuedetails_goto:problemid=97699,project=MCU_PLUS_SDK_AM263X,searchquery=taxonomy:'C and C++' build:Build_Apr_13_2023_11_11_AM grouping:off ","KW Issue Link")</f>
        <v>KW Issue Link</v>
      </c>
      <c r="O717" s="1" t="s">
        <v>356</v>
      </c>
    </row>
    <row r="718" spans="1:15" ht="75" x14ac:dyDescent="0.25">
      <c r="A718" s="1" t="s">
        <v>157</v>
      </c>
      <c r="B718" s="1"/>
      <c r="C718" s="1" t="s">
        <v>1110</v>
      </c>
      <c r="D718" s="1">
        <v>97700</v>
      </c>
      <c r="E718" s="1">
        <v>2329</v>
      </c>
      <c r="F718" s="1" t="s">
        <v>262</v>
      </c>
      <c r="G718" s="1" t="s">
        <v>1120</v>
      </c>
      <c r="H718" s="1" t="s">
        <v>141</v>
      </c>
      <c r="I718" s="1" t="s">
        <v>65</v>
      </c>
      <c r="J718" s="1">
        <v>3</v>
      </c>
      <c r="K718" s="1" t="s">
        <v>142</v>
      </c>
      <c r="L718" s="1" t="s">
        <v>153</v>
      </c>
      <c r="M718" s="1" t="s">
        <v>28</v>
      </c>
      <c r="N718" s="1" t="str">
        <f>HYPERLINK("https://klocwork.india.ti.com:443/review/insight-review.html#issuedetails_goto:problemid=97700,project=MCU_PLUS_SDK_AM263X,searchquery=taxonomy:'C and C++' build:Build_Apr_13_2023_11_11_AM grouping:off ","KW Issue Link")</f>
        <v>KW Issue Link</v>
      </c>
      <c r="O718" s="1" t="s">
        <v>356</v>
      </c>
    </row>
    <row r="719" spans="1:15" ht="75" x14ac:dyDescent="0.25">
      <c r="A719" s="1" t="s">
        <v>1121</v>
      </c>
      <c r="B719" s="1" t="s">
        <v>1122</v>
      </c>
      <c r="C719" s="1" t="s">
        <v>1110</v>
      </c>
      <c r="D719" s="1">
        <v>97711</v>
      </c>
      <c r="E719" s="1">
        <v>2903</v>
      </c>
      <c r="F719" s="1" t="s">
        <v>1123</v>
      </c>
      <c r="G719" s="1" t="s">
        <v>1124</v>
      </c>
      <c r="H719" s="1" t="s">
        <v>141</v>
      </c>
      <c r="I719" s="1" t="s">
        <v>63</v>
      </c>
      <c r="J719" s="1">
        <v>1</v>
      </c>
      <c r="K719" s="1" t="s">
        <v>142</v>
      </c>
      <c r="L719" s="1" t="s">
        <v>195</v>
      </c>
      <c r="M719" s="1" t="s">
        <v>28</v>
      </c>
      <c r="N719" s="1" t="str">
        <f>HYPERLINK("https://klocwork.india.ti.com:443/review/insight-review.html#issuedetails_goto:problemid=97711,project=MCU_PLUS_SDK_AM263X,searchquery=taxonomy:'C and C++' build:Build_Apr_13_2023_11_11_AM grouping:off ","KW Issue Link")</f>
        <v>KW Issue Link</v>
      </c>
      <c r="O719" s="1" t="s">
        <v>356</v>
      </c>
    </row>
    <row r="720" spans="1:15" ht="75" x14ac:dyDescent="0.25">
      <c r="A720" s="1" t="s">
        <v>1121</v>
      </c>
      <c r="B720" s="1" t="s">
        <v>1122</v>
      </c>
      <c r="C720" s="1" t="s">
        <v>1110</v>
      </c>
      <c r="D720" s="1">
        <v>97712</v>
      </c>
      <c r="E720" s="1">
        <v>2916</v>
      </c>
      <c r="F720" s="1" t="s">
        <v>1125</v>
      </c>
      <c r="G720" s="1" t="s">
        <v>1124</v>
      </c>
      <c r="H720" s="1" t="s">
        <v>141</v>
      </c>
      <c r="I720" s="1" t="s">
        <v>63</v>
      </c>
      <c r="J720" s="1">
        <v>1</v>
      </c>
      <c r="K720" s="1" t="s">
        <v>142</v>
      </c>
      <c r="L720" s="1" t="s">
        <v>195</v>
      </c>
      <c r="M720" s="1" t="s">
        <v>28</v>
      </c>
      <c r="N720" s="1" t="str">
        <f>HYPERLINK("https://klocwork.india.ti.com:443/review/insight-review.html#issuedetails_goto:problemid=97712,project=MCU_PLUS_SDK_AM263X,searchquery=taxonomy:'C and C++' build:Build_Apr_13_2023_11_11_AM grouping:off ","KW Issue Link")</f>
        <v>KW Issue Link</v>
      </c>
      <c r="O720" s="1" t="s">
        <v>356</v>
      </c>
    </row>
    <row r="721" spans="1:15" ht="75" x14ac:dyDescent="0.25">
      <c r="A721" s="1" t="s">
        <v>1121</v>
      </c>
      <c r="B721" s="1" t="s">
        <v>1122</v>
      </c>
      <c r="C721" s="1" t="s">
        <v>1110</v>
      </c>
      <c r="D721" s="1">
        <v>97713</v>
      </c>
      <c r="E721" s="1">
        <v>4688</v>
      </c>
      <c r="F721" s="1" t="s">
        <v>1126</v>
      </c>
      <c r="G721" s="1" t="s">
        <v>1127</v>
      </c>
      <c r="H721" s="1" t="s">
        <v>141</v>
      </c>
      <c r="I721" s="1" t="s">
        <v>63</v>
      </c>
      <c r="J721" s="1">
        <v>1</v>
      </c>
      <c r="K721" s="1" t="s">
        <v>142</v>
      </c>
      <c r="L721" s="1" t="s">
        <v>195</v>
      </c>
      <c r="M721" s="1" t="s">
        <v>28</v>
      </c>
      <c r="N721" s="1" t="str">
        <f>HYPERLINK("https://klocwork.india.ti.com:443/review/insight-review.html#issuedetails_goto:problemid=97713,project=MCU_PLUS_SDK_AM263X,searchquery=taxonomy:'C and C++' build:Build_Apr_13_2023_11_11_AM grouping:off ","KW Issue Link")</f>
        <v>KW Issue Link</v>
      </c>
      <c r="O721" s="1" t="s">
        <v>356</v>
      </c>
    </row>
    <row r="722" spans="1:15" ht="75" x14ac:dyDescent="0.25">
      <c r="A722" s="1" t="s">
        <v>1121</v>
      </c>
      <c r="B722" s="1" t="s">
        <v>1122</v>
      </c>
      <c r="C722" s="1" t="s">
        <v>1110</v>
      </c>
      <c r="D722" s="1">
        <v>97714</v>
      </c>
      <c r="E722" s="1">
        <v>4689</v>
      </c>
      <c r="F722" s="1" t="s">
        <v>1128</v>
      </c>
      <c r="G722" s="1" t="s">
        <v>1127</v>
      </c>
      <c r="H722" s="1" t="s">
        <v>141</v>
      </c>
      <c r="I722" s="1" t="s">
        <v>63</v>
      </c>
      <c r="J722" s="1">
        <v>1</v>
      </c>
      <c r="K722" s="1" t="s">
        <v>142</v>
      </c>
      <c r="L722" s="1" t="s">
        <v>195</v>
      </c>
      <c r="M722" s="1" t="s">
        <v>28</v>
      </c>
      <c r="N722" s="1" t="str">
        <f>HYPERLINK("https://klocwork.india.ti.com:443/review/insight-review.html#issuedetails_goto:problemid=97714,project=MCU_PLUS_SDK_AM263X,searchquery=taxonomy:'C and C++' build:Build_Apr_13_2023_11_11_AM grouping:off ","KW Issue Link")</f>
        <v>KW Issue Link</v>
      </c>
      <c r="O722" s="1" t="s">
        <v>356</v>
      </c>
    </row>
    <row r="723" spans="1:15" ht="75" x14ac:dyDescent="0.25">
      <c r="A723" s="1" t="s">
        <v>1121</v>
      </c>
      <c r="B723" s="1" t="s">
        <v>1122</v>
      </c>
      <c r="C723" s="1" t="s">
        <v>1110</v>
      </c>
      <c r="D723" s="1">
        <v>97715</v>
      </c>
      <c r="E723" s="1">
        <v>4690</v>
      </c>
      <c r="F723" s="1" t="s">
        <v>1129</v>
      </c>
      <c r="G723" s="1" t="s">
        <v>1127</v>
      </c>
      <c r="H723" s="1" t="s">
        <v>141</v>
      </c>
      <c r="I723" s="1" t="s">
        <v>63</v>
      </c>
      <c r="J723" s="1">
        <v>1</v>
      </c>
      <c r="K723" s="1" t="s">
        <v>142</v>
      </c>
      <c r="L723" s="1" t="s">
        <v>195</v>
      </c>
      <c r="M723" s="1" t="s">
        <v>28</v>
      </c>
      <c r="N723" s="1" t="str">
        <f>HYPERLINK("https://klocwork.india.ti.com:443/review/insight-review.html#issuedetails_goto:problemid=97715,project=MCU_PLUS_SDK_AM263X,searchquery=taxonomy:'C and C++' build:Build_Apr_13_2023_11_11_AM grouping:off ","KW Issue Link")</f>
        <v>KW Issue Link</v>
      </c>
      <c r="O723" s="1" t="s">
        <v>356</v>
      </c>
    </row>
    <row r="724" spans="1:15" ht="75" x14ac:dyDescent="0.25">
      <c r="A724" s="1" t="s">
        <v>1121</v>
      </c>
      <c r="B724" s="1" t="s">
        <v>1122</v>
      </c>
      <c r="C724" s="1" t="s">
        <v>1110</v>
      </c>
      <c r="D724" s="1">
        <v>97716</v>
      </c>
      <c r="E724" s="1">
        <v>4706</v>
      </c>
      <c r="F724" s="1" t="s">
        <v>1130</v>
      </c>
      <c r="G724" s="1" t="s">
        <v>1127</v>
      </c>
      <c r="H724" s="1" t="s">
        <v>141</v>
      </c>
      <c r="I724" s="1" t="s">
        <v>63</v>
      </c>
      <c r="J724" s="1">
        <v>1</v>
      </c>
      <c r="K724" s="1" t="s">
        <v>142</v>
      </c>
      <c r="L724" s="1" t="s">
        <v>195</v>
      </c>
      <c r="M724" s="1" t="s">
        <v>28</v>
      </c>
      <c r="N724" s="1" t="str">
        <f>HYPERLINK("https://klocwork.india.ti.com:443/review/insight-review.html#issuedetails_goto:problemid=97716,project=MCU_PLUS_SDK_AM263X,searchquery=taxonomy:'C and C++' build:Build_Apr_13_2023_11_11_AM grouping:off ","KW Issue Link")</f>
        <v>KW Issue Link</v>
      </c>
      <c r="O724" s="1" t="s">
        <v>356</v>
      </c>
    </row>
    <row r="725" spans="1:15" ht="75" x14ac:dyDescent="0.25">
      <c r="A725" s="1" t="s">
        <v>1121</v>
      </c>
      <c r="B725" s="1" t="s">
        <v>1122</v>
      </c>
      <c r="C725" s="1" t="s">
        <v>1110</v>
      </c>
      <c r="D725" s="1">
        <v>97717</v>
      </c>
      <c r="E725" s="1">
        <v>4714</v>
      </c>
      <c r="F725" s="1" t="s">
        <v>1131</v>
      </c>
      <c r="G725" s="1" t="s">
        <v>1127</v>
      </c>
      <c r="H725" s="1" t="s">
        <v>141</v>
      </c>
      <c r="I725" s="1" t="s">
        <v>63</v>
      </c>
      <c r="J725" s="1">
        <v>1</v>
      </c>
      <c r="K725" s="1" t="s">
        <v>142</v>
      </c>
      <c r="L725" s="1" t="s">
        <v>195</v>
      </c>
      <c r="M725" s="1" t="s">
        <v>28</v>
      </c>
      <c r="N725" s="1" t="str">
        <f>HYPERLINK("https://klocwork.india.ti.com:443/review/insight-review.html#issuedetails_goto:problemid=97717,project=MCU_PLUS_SDK_AM263X,searchquery=taxonomy:'C and C++' build:Build_Apr_13_2023_11_11_AM grouping:off ","KW Issue Link")</f>
        <v>KW Issue Link</v>
      </c>
      <c r="O725" s="1" t="s">
        <v>356</v>
      </c>
    </row>
    <row r="726" spans="1:15" ht="105" x14ac:dyDescent="0.25">
      <c r="A726" s="1" t="s">
        <v>155</v>
      </c>
      <c r="B726" s="1"/>
      <c r="C726" s="1" t="s">
        <v>1110</v>
      </c>
      <c r="D726" s="1">
        <v>97809</v>
      </c>
      <c r="E726" s="1">
        <v>5625</v>
      </c>
      <c r="F726" s="1" t="s">
        <v>156</v>
      </c>
      <c r="G726" s="1" t="s">
        <v>1115</v>
      </c>
      <c r="H726" s="1" t="s">
        <v>141</v>
      </c>
      <c r="I726" s="1" t="s">
        <v>65</v>
      </c>
      <c r="J726" s="1">
        <v>3</v>
      </c>
      <c r="K726" s="1" t="s">
        <v>142</v>
      </c>
      <c r="L726" s="1" t="s">
        <v>153</v>
      </c>
      <c r="M726" s="1" t="s">
        <v>28</v>
      </c>
      <c r="N726" s="1" t="str">
        <f>HYPERLINK("https://klocwork.india.ti.com:443/review/insight-review.html#issuedetails_goto:problemid=97809,project=MCU_PLUS_SDK_AM263X,searchquery=taxonomy:'C and C++' build:Build_Apr_13_2023_11_11_AM grouping:off ","KW Issue Link")</f>
        <v>KW Issue Link</v>
      </c>
      <c r="O726" s="1" t="s">
        <v>356</v>
      </c>
    </row>
    <row r="727" spans="1:15" ht="120" x14ac:dyDescent="0.25">
      <c r="A727" s="1" t="s">
        <v>149</v>
      </c>
      <c r="B727" s="1"/>
      <c r="C727" s="1" t="s">
        <v>1132</v>
      </c>
      <c r="D727" s="1">
        <v>98117</v>
      </c>
      <c r="E727" s="1">
        <v>290</v>
      </c>
      <c r="F727" s="1" t="s">
        <v>1133</v>
      </c>
      <c r="G727" s="1" t="s">
        <v>1134</v>
      </c>
      <c r="H727" s="1" t="s">
        <v>141</v>
      </c>
      <c r="I727" s="1" t="s">
        <v>65</v>
      </c>
      <c r="J727" s="1">
        <v>3</v>
      </c>
      <c r="K727" s="1" t="s">
        <v>142</v>
      </c>
      <c r="L727" s="1" t="s">
        <v>153</v>
      </c>
      <c r="M727" s="1" t="s">
        <v>28</v>
      </c>
      <c r="N727" s="1" t="str">
        <f>HYPERLINK("https://klocwork.india.ti.com:443/review/insight-review.html#issuedetails_goto:problemid=98117,project=MCU_PLUS_SDK_AM263X,searchquery=taxonomy:'C and C++' build:Build_Apr_13_2023_11_11_AM grouping:off ","KW Issue Link")</f>
        <v>KW Issue Link</v>
      </c>
      <c r="O727" s="1" t="s">
        <v>356</v>
      </c>
    </row>
    <row r="728" spans="1:15" ht="120" x14ac:dyDescent="0.25">
      <c r="A728" s="1" t="s">
        <v>149</v>
      </c>
      <c r="B728" s="1"/>
      <c r="C728" s="1" t="s">
        <v>1132</v>
      </c>
      <c r="D728" s="1">
        <v>98118</v>
      </c>
      <c r="E728" s="1">
        <v>326</v>
      </c>
      <c r="F728" s="1" t="s">
        <v>1133</v>
      </c>
      <c r="G728" s="1" t="s">
        <v>1135</v>
      </c>
      <c r="H728" s="1" t="s">
        <v>141</v>
      </c>
      <c r="I728" s="1" t="s">
        <v>65</v>
      </c>
      <c r="J728" s="1">
        <v>3</v>
      </c>
      <c r="K728" s="1" t="s">
        <v>142</v>
      </c>
      <c r="L728" s="1" t="s">
        <v>153</v>
      </c>
      <c r="M728" s="1" t="s">
        <v>28</v>
      </c>
      <c r="N728" s="1" t="str">
        <f>HYPERLINK("https://klocwork.india.ti.com:443/review/insight-review.html#issuedetails_goto:problemid=98118,project=MCU_PLUS_SDK_AM263X,searchquery=taxonomy:'C and C++' build:Build_Apr_13_2023_11_11_AM grouping:off ","KW Issue Link")</f>
        <v>KW Issue Link</v>
      </c>
      <c r="O728" s="1" t="s">
        <v>356</v>
      </c>
    </row>
    <row r="729" spans="1:15" ht="120" x14ac:dyDescent="0.25">
      <c r="A729" s="1" t="s">
        <v>155</v>
      </c>
      <c r="B729" s="1"/>
      <c r="C729" s="1" t="s">
        <v>1132</v>
      </c>
      <c r="D729" s="1">
        <v>98119</v>
      </c>
      <c r="E729" s="1">
        <v>300</v>
      </c>
      <c r="F729" s="1" t="s">
        <v>156</v>
      </c>
      <c r="G729" s="1" t="s">
        <v>1134</v>
      </c>
      <c r="H729" s="1" t="s">
        <v>141</v>
      </c>
      <c r="I729" s="1" t="s">
        <v>65</v>
      </c>
      <c r="J729" s="1">
        <v>3</v>
      </c>
      <c r="K729" s="1" t="s">
        <v>142</v>
      </c>
      <c r="L729" s="1" t="s">
        <v>153</v>
      </c>
      <c r="M729" s="1" t="s">
        <v>28</v>
      </c>
      <c r="N729" s="1" t="str">
        <f>HYPERLINK("https://klocwork.india.ti.com:443/review/insight-review.html#issuedetails_goto:problemid=98119,project=MCU_PLUS_SDK_AM263X,searchquery=taxonomy:'C and C++' build:Build_Apr_13_2023_11_11_AM grouping:off ","KW Issue Link")</f>
        <v>KW Issue Link</v>
      </c>
      <c r="O729" s="1" t="s">
        <v>356</v>
      </c>
    </row>
    <row r="730" spans="1:15" ht="120" x14ac:dyDescent="0.25">
      <c r="A730" s="1" t="s">
        <v>155</v>
      </c>
      <c r="B730" s="1"/>
      <c r="C730" s="1" t="s">
        <v>1132</v>
      </c>
      <c r="D730" s="1">
        <v>98120</v>
      </c>
      <c r="E730" s="1">
        <v>336</v>
      </c>
      <c r="F730" s="1" t="s">
        <v>156</v>
      </c>
      <c r="G730" s="1" t="s">
        <v>1135</v>
      </c>
      <c r="H730" s="1" t="s">
        <v>141</v>
      </c>
      <c r="I730" s="1" t="s">
        <v>65</v>
      </c>
      <c r="J730" s="1">
        <v>3</v>
      </c>
      <c r="K730" s="1" t="s">
        <v>142</v>
      </c>
      <c r="L730" s="1" t="s">
        <v>153</v>
      </c>
      <c r="M730" s="1" t="s">
        <v>28</v>
      </c>
      <c r="N730" s="1" t="str">
        <f>HYPERLINK("https://klocwork.india.ti.com:443/review/insight-review.html#issuedetails_goto:problemid=98120,project=MCU_PLUS_SDK_AM263X,searchquery=taxonomy:'C and C++' build:Build_Apr_13_2023_11_11_AM grouping:off ","KW Issue Link")</f>
        <v>KW Issue Link</v>
      </c>
      <c r="O730" s="1" t="s">
        <v>356</v>
      </c>
    </row>
    <row r="731" spans="1:15" ht="120" x14ac:dyDescent="0.25">
      <c r="A731" s="1" t="s">
        <v>157</v>
      </c>
      <c r="B731" s="1"/>
      <c r="C731" s="1" t="s">
        <v>1132</v>
      </c>
      <c r="D731" s="1">
        <v>98125</v>
      </c>
      <c r="E731" s="1">
        <v>403</v>
      </c>
      <c r="F731" s="1" t="s">
        <v>1136</v>
      </c>
      <c r="G731" s="1" t="s">
        <v>1137</v>
      </c>
      <c r="H731" s="1" t="s">
        <v>141</v>
      </c>
      <c r="I731" s="1" t="s">
        <v>65</v>
      </c>
      <c r="J731" s="1">
        <v>3</v>
      </c>
      <c r="K731" s="1" t="s">
        <v>142</v>
      </c>
      <c r="L731" s="1" t="s">
        <v>153</v>
      </c>
      <c r="M731" s="1" t="s">
        <v>28</v>
      </c>
      <c r="N731" s="1" t="str">
        <f>HYPERLINK("https://klocwork.india.ti.com:443/review/insight-review.html#issuedetails_goto:problemid=98125,project=MCU_PLUS_SDK_AM263X,searchquery=taxonomy:'C and C++' build:Build_Apr_13_2023_11_11_AM grouping:off ","KW Issue Link")</f>
        <v>KW Issue Link</v>
      </c>
      <c r="O731" s="1" t="s">
        <v>356</v>
      </c>
    </row>
    <row r="732" spans="1:15" ht="135" x14ac:dyDescent="0.25">
      <c r="A732" s="1" t="s">
        <v>157</v>
      </c>
      <c r="B732" s="1"/>
      <c r="C732" s="1" t="s">
        <v>1132</v>
      </c>
      <c r="D732" s="1">
        <v>98126</v>
      </c>
      <c r="E732" s="1">
        <v>444</v>
      </c>
      <c r="F732" s="1" t="s">
        <v>1136</v>
      </c>
      <c r="G732" s="1" t="s">
        <v>1138</v>
      </c>
      <c r="H732" s="1" t="s">
        <v>141</v>
      </c>
      <c r="I732" s="1" t="s">
        <v>65</v>
      </c>
      <c r="J732" s="1">
        <v>3</v>
      </c>
      <c r="K732" s="1" t="s">
        <v>142</v>
      </c>
      <c r="L732" s="1" t="s">
        <v>153</v>
      </c>
      <c r="M732" s="1" t="s">
        <v>28</v>
      </c>
      <c r="N732" s="1" t="str">
        <f>HYPERLINK("https://klocwork.india.ti.com:443/review/insight-review.html#issuedetails_goto:problemid=98126,project=MCU_PLUS_SDK_AM263X,searchquery=taxonomy:'C and C++' build:Build_Apr_13_2023_11_11_AM grouping:off ","KW Issue Link")</f>
        <v>KW Issue Link</v>
      </c>
      <c r="O732" s="1" t="s">
        <v>356</v>
      </c>
    </row>
    <row r="733" spans="1:15" ht="105" x14ac:dyDescent="0.25">
      <c r="A733" s="1" t="s">
        <v>157</v>
      </c>
      <c r="B733" s="1"/>
      <c r="C733" s="1" t="s">
        <v>1132</v>
      </c>
      <c r="D733" s="1">
        <v>98127</v>
      </c>
      <c r="E733" s="1">
        <v>689</v>
      </c>
      <c r="F733" s="1" t="s">
        <v>1139</v>
      </c>
      <c r="G733" s="1" t="s">
        <v>1140</v>
      </c>
      <c r="H733" s="1" t="s">
        <v>141</v>
      </c>
      <c r="I733" s="1" t="s">
        <v>65</v>
      </c>
      <c r="J733" s="1">
        <v>3</v>
      </c>
      <c r="K733" s="1" t="s">
        <v>142</v>
      </c>
      <c r="L733" s="1" t="s">
        <v>153</v>
      </c>
      <c r="M733" s="1" t="s">
        <v>28</v>
      </c>
      <c r="N733" s="1" t="str">
        <f>HYPERLINK("https://klocwork.india.ti.com:443/review/insight-review.html#issuedetails_goto:problemid=98127,project=MCU_PLUS_SDK_AM263X,searchquery=taxonomy:'C and C++' build:Build_Apr_13_2023_11_11_AM grouping:off ","KW Issue Link")</f>
        <v>KW Issue Link</v>
      </c>
      <c r="O733" s="1" t="s">
        <v>356</v>
      </c>
    </row>
    <row r="734" spans="1:15" ht="75" x14ac:dyDescent="0.25">
      <c r="A734" s="1" t="s">
        <v>136</v>
      </c>
      <c r="B734" s="1"/>
      <c r="C734" s="1" t="s">
        <v>1132</v>
      </c>
      <c r="D734" s="1">
        <v>98149</v>
      </c>
      <c r="E734" s="1">
        <v>871</v>
      </c>
      <c r="F734" s="1" t="s">
        <v>257</v>
      </c>
      <c r="G734" s="1" t="s">
        <v>1141</v>
      </c>
      <c r="H734" s="1" t="s">
        <v>141</v>
      </c>
      <c r="I734" s="1" t="s">
        <v>66</v>
      </c>
      <c r="J734" s="1">
        <v>4</v>
      </c>
      <c r="K734" s="1" t="s">
        <v>142</v>
      </c>
      <c r="L734" s="1" t="s">
        <v>153</v>
      </c>
      <c r="M734" s="1" t="s">
        <v>28</v>
      </c>
      <c r="N734" s="1" t="str">
        <f>HYPERLINK("https://klocwork.india.ti.com:443/review/insight-review.html#issuedetails_goto:problemid=98149,project=MCU_PLUS_SDK_AM263X,searchquery=taxonomy:'C and C++' build:Build_Apr_13_2023_11_11_AM grouping:off ","KW Issue Link")</f>
        <v>KW Issue Link</v>
      </c>
      <c r="O734" s="1" t="s">
        <v>356</v>
      </c>
    </row>
    <row r="735" spans="1:15" ht="75" x14ac:dyDescent="0.25">
      <c r="A735" s="1" t="s">
        <v>157</v>
      </c>
      <c r="B735" s="1"/>
      <c r="C735" s="1" t="s">
        <v>1142</v>
      </c>
      <c r="D735" s="1">
        <v>98947</v>
      </c>
      <c r="E735" s="1">
        <v>517</v>
      </c>
      <c r="F735" s="1" t="s">
        <v>262</v>
      </c>
      <c r="G735" s="1" t="s">
        <v>1143</v>
      </c>
      <c r="H735" s="1" t="s">
        <v>141</v>
      </c>
      <c r="I735" s="1" t="s">
        <v>65</v>
      </c>
      <c r="J735" s="1">
        <v>3</v>
      </c>
      <c r="K735" s="1" t="s">
        <v>142</v>
      </c>
      <c r="L735" s="1" t="s">
        <v>153</v>
      </c>
      <c r="M735" s="1" t="s">
        <v>28</v>
      </c>
      <c r="N735" s="1" t="str">
        <f>HYPERLINK("https://klocwork.india.ti.com:443/review/insight-review.html#issuedetails_goto:problemid=98947,project=MCU_PLUS_SDK_AM263X,searchquery=taxonomy:'C and C++' build:Build_Apr_13_2023_11_11_AM grouping:off ","KW Issue Link")</f>
        <v>KW Issue Link</v>
      </c>
      <c r="O735" s="1" t="s">
        <v>356</v>
      </c>
    </row>
    <row r="736" spans="1:15" ht="75" x14ac:dyDescent="0.25">
      <c r="A736" s="1" t="s">
        <v>149</v>
      </c>
      <c r="B736" s="1"/>
      <c r="C736" s="1" t="s">
        <v>1142</v>
      </c>
      <c r="D736" s="1">
        <v>98948</v>
      </c>
      <c r="E736" s="1">
        <v>679</v>
      </c>
      <c r="F736" s="1" t="s">
        <v>1144</v>
      </c>
      <c r="G736" s="1" t="s">
        <v>1145</v>
      </c>
      <c r="H736" s="1" t="s">
        <v>141</v>
      </c>
      <c r="I736" s="1" t="s">
        <v>65</v>
      </c>
      <c r="J736" s="1">
        <v>3</v>
      </c>
      <c r="K736" s="1" t="s">
        <v>142</v>
      </c>
      <c r="L736" s="1" t="s">
        <v>153</v>
      </c>
      <c r="M736" s="1" t="s">
        <v>28</v>
      </c>
      <c r="N736" s="1" t="str">
        <f>HYPERLINK("https://klocwork.india.ti.com:443/review/insight-review.html#issuedetails_goto:problemid=98948,project=MCU_PLUS_SDK_AM263X,searchquery=taxonomy:'C and C++' build:Build_Apr_13_2023_11_11_AM grouping:off ","KW Issue Link")</f>
        <v>KW Issue Link</v>
      </c>
      <c r="O736" s="1" t="s">
        <v>356</v>
      </c>
    </row>
    <row r="737" spans="1:15" ht="75" x14ac:dyDescent="0.25">
      <c r="A737" s="1" t="s">
        <v>155</v>
      </c>
      <c r="B737" s="1"/>
      <c r="C737" s="1" t="s">
        <v>1142</v>
      </c>
      <c r="D737" s="1">
        <v>98949</v>
      </c>
      <c r="E737" s="1">
        <v>681</v>
      </c>
      <c r="F737" s="1" t="s">
        <v>156</v>
      </c>
      <c r="G737" s="1" t="s">
        <v>1145</v>
      </c>
      <c r="H737" s="1" t="s">
        <v>141</v>
      </c>
      <c r="I737" s="1" t="s">
        <v>65</v>
      </c>
      <c r="J737" s="1">
        <v>3</v>
      </c>
      <c r="K737" s="1" t="s">
        <v>142</v>
      </c>
      <c r="L737" s="1" t="s">
        <v>153</v>
      </c>
      <c r="M737" s="1" t="s">
        <v>28</v>
      </c>
      <c r="N737" s="1" t="str">
        <f>HYPERLINK("https://klocwork.india.ti.com:443/review/insight-review.html#issuedetails_goto:problemid=98949,project=MCU_PLUS_SDK_AM263X,searchquery=taxonomy:'C and C++' build:Build_Apr_13_2023_11_11_AM grouping:off ","KW Issue Link")</f>
        <v>KW Issue Link</v>
      </c>
      <c r="O737" s="1" t="s">
        <v>356</v>
      </c>
    </row>
    <row r="738" spans="1:15" ht="60" x14ac:dyDescent="0.25">
      <c r="A738" s="1" t="s">
        <v>157</v>
      </c>
      <c r="B738" s="1"/>
      <c r="C738" s="1" t="s">
        <v>1146</v>
      </c>
      <c r="D738" s="1">
        <v>99725</v>
      </c>
      <c r="E738" s="1">
        <v>583</v>
      </c>
      <c r="F738" s="1" t="s">
        <v>1147</v>
      </c>
      <c r="G738" s="1" t="s">
        <v>1148</v>
      </c>
      <c r="H738" s="1" t="s">
        <v>141</v>
      </c>
      <c r="I738" s="1" t="s">
        <v>65</v>
      </c>
      <c r="J738" s="1">
        <v>3</v>
      </c>
      <c r="K738" s="1" t="s">
        <v>142</v>
      </c>
      <c r="L738" s="1" t="s">
        <v>153</v>
      </c>
      <c r="M738" s="1" t="s">
        <v>28</v>
      </c>
      <c r="N738" s="1" t="str">
        <f>HYPERLINK("https://klocwork.india.ti.com:443/review/insight-review.html#issuedetails_goto:problemid=99725,project=MCU_PLUS_SDK_AM263X,searchquery=taxonomy:'C and C++' build:Build_Apr_13_2023_11_11_AM grouping:off ","KW Issue Link")</f>
        <v>KW Issue Link</v>
      </c>
      <c r="O738" s="1" t="s">
        <v>356</v>
      </c>
    </row>
    <row r="739" spans="1:15" ht="120" x14ac:dyDescent="0.25">
      <c r="A739" s="1" t="s">
        <v>157</v>
      </c>
      <c r="B739" s="1"/>
      <c r="C739" s="1" t="s">
        <v>1149</v>
      </c>
      <c r="D739" s="1">
        <v>99923</v>
      </c>
      <c r="E739" s="1">
        <v>485</v>
      </c>
      <c r="F739" s="1" t="s">
        <v>262</v>
      </c>
      <c r="G739" s="1" t="s">
        <v>1150</v>
      </c>
      <c r="H739" s="1" t="s">
        <v>141</v>
      </c>
      <c r="I739" s="1" t="s">
        <v>65</v>
      </c>
      <c r="J739" s="1">
        <v>3</v>
      </c>
      <c r="K739" s="1" t="s">
        <v>142</v>
      </c>
      <c r="L739" s="1" t="s">
        <v>153</v>
      </c>
      <c r="M739" s="1" t="s">
        <v>28</v>
      </c>
      <c r="N739" s="1" t="str">
        <f>HYPERLINK("https://klocwork.india.ti.com:443/review/insight-review.html#issuedetails_goto:problemid=99923,project=MCU_PLUS_SDK_AM263X,searchquery=taxonomy:'C and C++' build:Build_Apr_13_2023_11_11_AM grouping:off ","KW Issue Link")</f>
        <v>KW Issue Link</v>
      </c>
      <c r="O739" s="1" t="s">
        <v>356</v>
      </c>
    </row>
    <row r="740" spans="1:15" ht="135" x14ac:dyDescent="0.25">
      <c r="A740" s="1" t="s">
        <v>149</v>
      </c>
      <c r="B740" s="1"/>
      <c r="C740" s="1" t="s">
        <v>1149</v>
      </c>
      <c r="D740" s="1">
        <v>99924</v>
      </c>
      <c r="E740" s="1">
        <v>597</v>
      </c>
      <c r="F740" s="1" t="s">
        <v>1151</v>
      </c>
      <c r="G740" s="1" t="s">
        <v>1152</v>
      </c>
      <c r="H740" s="1" t="s">
        <v>141</v>
      </c>
      <c r="I740" s="1" t="s">
        <v>65</v>
      </c>
      <c r="J740" s="1">
        <v>3</v>
      </c>
      <c r="K740" s="1" t="s">
        <v>142</v>
      </c>
      <c r="L740" s="1" t="s">
        <v>153</v>
      </c>
      <c r="M740" s="1" t="s">
        <v>28</v>
      </c>
      <c r="N740" s="1" t="str">
        <f>HYPERLINK("https://klocwork.india.ti.com:443/review/insight-review.html#issuedetails_goto:problemid=99924,project=MCU_PLUS_SDK_AM263X,searchquery=taxonomy:'C and C++' build:Build_Apr_13_2023_11_11_AM grouping:off ","KW Issue Link")</f>
        <v>KW Issue Link</v>
      </c>
      <c r="O740" s="1" t="s">
        <v>356</v>
      </c>
    </row>
    <row r="741" spans="1:15" ht="135" x14ac:dyDescent="0.25">
      <c r="A741" s="1" t="s">
        <v>155</v>
      </c>
      <c r="B741" s="1"/>
      <c r="C741" s="1" t="s">
        <v>1149</v>
      </c>
      <c r="D741" s="1">
        <v>99925</v>
      </c>
      <c r="E741" s="1">
        <v>599</v>
      </c>
      <c r="F741" s="1" t="s">
        <v>156</v>
      </c>
      <c r="G741" s="1" t="s">
        <v>1152</v>
      </c>
      <c r="H741" s="1" t="s">
        <v>141</v>
      </c>
      <c r="I741" s="1" t="s">
        <v>65</v>
      </c>
      <c r="J741" s="1">
        <v>3</v>
      </c>
      <c r="K741" s="1" t="s">
        <v>142</v>
      </c>
      <c r="L741" s="1" t="s">
        <v>153</v>
      </c>
      <c r="M741" s="1" t="s">
        <v>28</v>
      </c>
      <c r="N741" s="1" t="str">
        <f>HYPERLINK("https://klocwork.india.ti.com:443/review/insight-review.html#issuedetails_goto:problemid=99925,project=MCU_PLUS_SDK_AM263X,searchquery=taxonomy:'C and C++' build:Build_Apr_13_2023_11_11_AM grouping:off ","KW Issue Link")</f>
        <v>KW Issue Link</v>
      </c>
      <c r="O741" s="1" t="s">
        <v>356</v>
      </c>
    </row>
    <row r="742" spans="1:15" ht="90" x14ac:dyDescent="0.25">
      <c r="A742" s="1" t="s">
        <v>157</v>
      </c>
      <c r="B742" s="1"/>
      <c r="C742" s="1" t="s">
        <v>411</v>
      </c>
      <c r="D742" s="1">
        <v>103855</v>
      </c>
      <c r="E742" s="1">
        <v>637</v>
      </c>
      <c r="F742" s="1" t="s">
        <v>1153</v>
      </c>
      <c r="G742" s="1" t="s">
        <v>1154</v>
      </c>
      <c r="H742" s="1" t="s">
        <v>141</v>
      </c>
      <c r="I742" s="1" t="s">
        <v>65</v>
      </c>
      <c r="J742" s="1">
        <v>3</v>
      </c>
      <c r="K742" s="1" t="s">
        <v>142</v>
      </c>
      <c r="L742" s="1" t="s">
        <v>153</v>
      </c>
      <c r="M742" s="1" t="s">
        <v>28</v>
      </c>
      <c r="N742" s="1" t="str">
        <f>HYPERLINK("https://klocwork.india.ti.com:443/review/insight-review.html#issuedetails_goto:problemid=103855,project=MCU_PLUS_SDK_AM263X,searchquery=taxonomy:'C and C++' build:Build_Apr_13_2023_11_11_AM grouping:off ","KW Issue Link")</f>
        <v>KW Issue Link</v>
      </c>
      <c r="O742" s="1" t="s">
        <v>356</v>
      </c>
    </row>
    <row r="743" spans="1:15" ht="75" x14ac:dyDescent="0.25">
      <c r="A743" s="1" t="s">
        <v>157</v>
      </c>
      <c r="B743" s="1"/>
      <c r="C743" s="1" t="s">
        <v>1155</v>
      </c>
      <c r="D743" s="1">
        <v>103873</v>
      </c>
      <c r="E743" s="1">
        <v>147</v>
      </c>
      <c r="F743" s="1" t="s">
        <v>1156</v>
      </c>
      <c r="G743" s="1" t="s">
        <v>1157</v>
      </c>
      <c r="H743" s="1" t="s">
        <v>141</v>
      </c>
      <c r="I743" s="1" t="s">
        <v>65</v>
      </c>
      <c r="J743" s="1">
        <v>3</v>
      </c>
      <c r="K743" s="1" t="s">
        <v>142</v>
      </c>
      <c r="L743" s="1" t="s">
        <v>153</v>
      </c>
      <c r="M743" s="1" t="s">
        <v>28</v>
      </c>
      <c r="N743" s="1" t="str">
        <f>HYPERLINK("https://klocwork.india.ti.com:443/review/insight-review.html#issuedetails_goto:problemid=103873,project=MCU_PLUS_SDK_AM263X,searchquery=taxonomy:'C and C++' build:Build_Apr_13_2023_11_11_AM grouping:off ","KW Issue Link")</f>
        <v>KW Issue Link</v>
      </c>
      <c r="O743" s="1" t="s">
        <v>291</v>
      </c>
    </row>
    <row r="744" spans="1:15" ht="75" x14ac:dyDescent="0.25">
      <c r="A744" s="1" t="s">
        <v>157</v>
      </c>
      <c r="B744" s="1"/>
      <c r="C744" s="1" t="s">
        <v>1158</v>
      </c>
      <c r="D744" s="1">
        <v>103879</v>
      </c>
      <c r="E744" s="1">
        <v>500</v>
      </c>
      <c r="F744" s="1" t="s">
        <v>1159</v>
      </c>
      <c r="G744" s="1" t="s">
        <v>1160</v>
      </c>
      <c r="H744" s="1" t="s">
        <v>141</v>
      </c>
      <c r="I744" s="1" t="s">
        <v>65</v>
      </c>
      <c r="J744" s="1">
        <v>3</v>
      </c>
      <c r="K744" s="1" t="s">
        <v>142</v>
      </c>
      <c r="L744" s="1" t="s">
        <v>153</v>
      </c>
      <c r="M744" s="1" t="s">
        <v>28</v>
      </c>
      <c r="N744" s="1" t="str">
        <f>HYPERLINK("https://klocwork.india.ti.com:443/review/insight-review.html#issuedetails_goto:problemid=103879,project=MCU_PLUS_SDK_AM263X,searchquery=taxonomy:'C and C++' build:Build_Apr_13_2023_11_11_AM grouping:off ","KW Issue Link")</f>
        <v>KW Issue Link</v>
      </c>
      <c r="O744" s="1" t="s">
        <v>291</v>
      </c>
    </row>
    <row r="745" spans="1:15" ht="60" x14ac:dyDescent="0.25">
      <c r="A745" s="1" t="s">
        <v>136</v>
      </c>
      <c r="B745" s="1"/>
      <c r="C745" s="1" t="s">
        <v>517</v>
      </c>
      <c r="D745" s="1">
        <v>103953</v>
      </c>
      <c r="E745" s="1">
        <v>177</v>
      </c>
      <c r="F745" s="1" t="s">
        <v>1161</v>
      </c>
      <c r="G745" s="1" t="s">
        <v>1162</v>
      </c>
      <c r="H745" s="1" t="s">
        <v>141</v>
      </c>
      <c r="I745" s="1" t="s">
        <v>66</v>
      </c>
      <c r="J745" s="1">
        <v>4</v>
      </c>
      <c r="K745" s="1" t="s">
        <v>142</v>
      </c>
      <c r="L745" s="1" t="s">
        <v>153</v>
      </c>
      <c r="M745" s="1" t="s">
        <v>28</v>
      </c>
      <c r="N745" s="1" t="str">
        <f>HYPERLINK("https://klocwork.india.ti.com:443/review/insight-review.html#issuedetails_goto:problemid=103953,project=MCU_PLUS_SDK_AM263X,searchquery=taxonomy:'C and C++' build:Build_Apr_13_2023_11_11_AM grouping:off ","KW Issue Link")</f>
        <v>KW Issue Link</v>
      </c>
      <c r="O745" s="1" t="s">
        <v>356</v>
      </c>
    </row>
    <row r="746" spans="1:15" ht="105" x14ac:dyDescent="0.25">
      <c r="A746" s="1" t="s">
        <v>149</v>
      </c>
      <c r="B746" s="1"/>
      <c r="C746" s="1" t="s">
        <v>517</v>
      </c>
      <c r="D746" s="1">
        <v>103956</v>
      </c>
      <c r="E746" s="1">
        <v>181</v>
      </c>
      <c r="F746" s="1" t="s">
        <v>1163</v>
      </c>
      <c r="G746" s="1" t="s">
        <v>1162</v>
      </c>
      <c r="H746" s="1" t="s">
        <v>141</v>
      </c>
      <c r="I746" s="1" t="s">
        <v>65</v>
      </c>
      <c r="J746" s="1">
        <v>3</v>
      </c>
      <c r="K746" s="1" t="s">
        <v>142</v>
      </c>
      <c r="L746" s="1" t="s">
        <v>153</v>
      </c>
      <c r="M746" s="1" t="s">
        <v>28</v>
      </c>
      <c r="N746" s="1" t="str">
        <f>HYPERLINK("https://klocwork.india.ti.com:443/review/insight-review.html#issuedetails_goto:problemid=103956,project=MCU_PLUS_SDK_AM263X,searchquery=taxonomy:'C and C++' build:Build_Apr_13_2023_11_11_AM grouping:off ","KW Issue Link")</f>
        <v>KW Issue Link</v>
      </c>
      <c r="O746" s="1" t="s">
        <v>356</v>
      </c>
    </row>
    <row r="747" spans="1:15" ht="90" x14ac:dyDescent="0.25">
      <c r="A747" s="1" t="s">
        <v>149</v>
      </c>
      <c r="B747" s="1"/>
      <c r="C747" s="1" t="s">
        <v>517</v>
      </c>
      <c r="D747" s="1">
        <v>103957</v>
      </c>
      <c r="E747" s="1">
        <v>257</v>
      </c>
      <c r="F747" s="1" t="s">
        <v>1164</v>
      </c>
      <c r="G747" s="1" t="s">
        <v>1165</v>
      </c>
      <c r="H747" s="1" t="s">
        <v>141</v>
      </c>
      <c r="I747" s="1" t="s">
        <v>65</v>
      </c>
      <c r="J747" s="1">
        <v>3</v>
      </c>
      <c r="K747" s="1" t="s">
        <v>142</v>
      </c>
      <c r="L747" s="1" t="s">
        <v>153</v>
      </c>
      <c r="M747" s="1" t="s">
        <v>28</v>
      </c>
      <c r="N747" s="1" t="str">
        <f>HYPERLINK("https://klocwork.india.ti.com:443/review/insight-review.html#issuedetails_goto:problemid=103957,project=MCU_PLUS_SDK_AM263X,searchquery=taxonomy:'C and C++' build:Build_Apr_13_2023_11_11_AM grouping:off ","KW Issue Link")</f>
        <v>KW Issue Link</v>
      </c>
      <c r="O747" s="1" t="s">
        <v>356</v>
      </c>
    </row>
    <row r="748" spans="1:15" ht="60" x14ac:dyDescent="0.25">
      <c r="A748" s="1" t="s">
        <v>155</v>
      </c>
      <c r="B748" s="1"/>
      <c r="C748" s="1" t="s">
        <v>517</v>
      </c>
      <c r="D748" s="1">
        <v>103958</v>
      </c>
      <c r="E748" s="1">
        <v>183</v>
      </c>
      <c r="F748" s="1" t="s">
        <v>156</v>
      </c>
      <c r="G748" s="1" t="s">
        <v>1162</v>
      </c>
      <c r="H748" s="1" t="s">
        <v>141</v>
      </c>
      <c r="I748" s="1" t="s">
        <v>65</v>
      </c>
      <c r="J748" s="1">
        <v>3</v>
      </c>
      <c r="K748" s="1" t="s">
        <v>142</v>
      </c>
      <c r="L748" s="1" t="s">
        <v>153</v>
      </c>
      <c r="M748" s="1" t="s">
        <v>28</v>
      </c>
      <c r="N748" s="1" t="str">
        <f>HYPERLINK("https://klocwork.india.ti.com:443/review/insight-review.html#issuedetails_goto:problemid=103958,project=MCU_PLUS_SDK_AM263X,searchquery=taxonomy:'C and C++' build:Build_Apr_13_2023_11_11_AM grouping:off ","KW Issue Link")</f>
        <v>KW Issue Link</v>
      </c>
      <c r="O748" s="1" t="s">
        <v>356</v>
      </c>
    </row>
    <row r="749" spans="1:15" ht="75" x14ac:dyDescent="0.25">
      <c r="A749" s="1" t="s">
        <v>298</v>
      </c>
      <c r="B749" s="1" t="s">
        <v>1166</v>
      </c>
      <c r="C749" s="1" t="s">
        <v>844</v>
      </c>
      <c r="D749" s="1">
        <v>103970</v>
      </c>
      <c r="E749" s="1">
        <v>208</v>
      </c>
      <c r="F749" s="1" t="s">
        <v>1167</v>
      </c>
      <c r="G749" s="1" t="s">
        <v>846</v>
      </c>
      <c r="H749" s="1" t="s">
        <v>1168</v>
      </c>
      <c r="I749" s="1" t="s">
        <v>63</v>
      </c>
      <c r="J749" s="1">
        <v>1</v>
      </c>
      <c r="K749" s="1" t="s">
        <v>142</v>
      </c>
      <c r="L749" s="1" t="s">
        <v>177</v>
      </c>
      <c r="M749" s="1" t="s">
        <v>28</v>
      </c>
      <c r="N749" s="1" t="str">
        <f>HYPERLINK("https://klocwork.india.ti.com:443/review/insight-review.html#issuedetails_goto:problemid=103970,project=MCU_PLUS_SDK_AM263X,searchquery=taxonomy:'C and C++' build:Build_Apr_13_2023_11_11_AM grouping:off ","KW Issue Link")</f>
        <v>KW Issue Link</v>
      </c>
      <c r="O749" s="1" t="s">
        <v>291</v>
      </c>
    </row>
    <row r="750" spans="1:15" ht="60" x14ac:dyDescent="0.25">
      <c r="A750" s="1" t="s">
        <v>1169</v>
      </c>
      <c r="B750" s="1" t="s">
        <v>1166</v>
      </c>
      <c r="C750" s="1" t="s">
        <v>844</v>
      </c>
      <c r="D750" s="1">
        <v>103971</v>
      </c>
      <c r="E750" s="1">
        <v>138</v>
      </c>
      <c r="F750" s="1" t="s">
        <v>1170</v>
      </c>
      <c r="G750" s="1" t="s">
        <v>846</v>
      </c>
      <c r="H750" s="1" t="s">
        <v>1168</v>
      </c>
      <c r="I750" s="1" t="s">
        <v>63</v>
      </c>
      <c r="J750" s="1">
        <v>1</v>
      </c>
      <c r="K750" s="1" t="s">
        <v>142</v>
      </c>
      <c r="L750" s="1" t="s">
        <v>177</v>
      </c>
      <c r="M750" s="1" t="s">
        <v>28</v>
      </c>
      <c r="N750" s="1" t="str">
        <f>HYPERLINK("https://klocwork.india.ti.com:443/review/insight-review.html#issuedetails_goto:problemid=103971,project=MCU_PLUS_SDK_AM263X,searchquery=taxonomy:'C and C++' build:Build_Apr_13_2023_11_11_AM grouping:off ","KW Issue Link")</f>
        <v>KW Issue Link</v>
      </c>
      <c r="O750" s="1" t="s">
        <v>291</v>
      </c>
    </row>
    <row r="751" spans="1:15" ht="60" x14ac:dyDescent="0.25">
      <c r="A751" s="1" t="s">
        <v>155</v>
      </c>
      <c r="B751" s="1"/>
      <c r="C751" s="1" t="s">
        <v>844</v>
      </c>
      <c r="D751" s="1">
        <v>103972</v>
      </c>
      <c r="E751" s="1">
        <v>486</v>
      </c>
      <c r="F751" s="1" t="s">
        <v>156</v>
      </c>
      <c r="G751" s="1" t="s">
        <v>846</v>
      </c>
      <c r="H751" s="1" t="s">
        <v>141</v>
      </c>
      <c r="I751" s="1" t="s">
        <v>65</v>
      </c>
      <c r="J751" s="1">
        <v>3</v>
      </c>
      <c r="K751" s="1" t="s">
        <v>142</v>
      </c>
      <c r="L751" s="1" t="s">
        <v>153</v>
      </c>
      <c r="M751" s="1" t="s">
        <v>28</v>
      </c>
      <c r="N751" s="1" t="str">
        <f>HYPERLINK("https://klocwork.india.ti.com:443/review/insight-review.html#issuedetails_goto:problemid=103972,project=MCU_PLUS_SDK_AM263X,searchquery=taxonomy:'C and C++' build:Build_Apr_13_2023_11_11_AM grouping:off ","KW Issue Link")</f>
        <v>KW Issue Link</v>
      </c>
      <c r="O751" s="1" t="s">
        <v>291</v>
      </c>
    </row>
    <row r="752" spans="1:15" ht="60" x14ac:dyDescent="0.25">
      <c r="A752" s="1" t="s">
        <v>136</v>
      </c>
      <c r="B752" s="1"/>
      <c r="C752" s="1" t="s">
        <v>844</v>
      </c>
      <c r="D752" s="1">
        <v>103973</v>
      </c>
      <c r="E752" s="1">
        <v>451</v>
      </c>
      <c r="F752" s="1" t="s">
        <v>699</v>
      </c>
      <c r="G752" s="1" t="s">
        <v>846</v>
      </c>
      <c r="H752" s="1" t="s">
        <v>141</v>
      </c>
      <c r="I752" s="1" t="s">
        <v>66</v>
      </c>
      <c r="J752" s="1">
        <v>4</v>
      </c>
      <c r="K752" s="1" t="s">
        <v>142</v>
      </c>
      <c r="L752" s="1" t="s">
        <v>153</v>
      </c>
      <c r="M752" s="1" t="s">
        <v>28</v>
      </c>
      <c r="N752" s="1" t="str">
        <f>HYPERLINK("https://klocwork.india.ti.com:443/review/insight-review.html#issuedetails_goto:problemid=103973,project=MCU_PLUS_SDK_AM263X,searchquery=taxonomy:'C and C++' build:Build_Apr_13_2023_11_11_AM grouping:off ","KW Issue Link")</f>
        <v>KW Issue Link</v>
      </c>
      <c r="O752" s="1" t="s">
        <v>291</v>
      </c>
    </row>
    <row r="753" spans="1:15" ht="60" x14ac:dyDescent="0.25">
      <c r="A753" s="1" t="s">
        <v>157</v>
      </c>
      <c r="B753" s="1"/>
      <c r="C753" s="1" t="s">
        <v>844</v>
      </c>
      <c r="D753" s="1">
        <v>103974</v>
      </c>
      <c r="E753" s="1">
        <v>483</v>
      </c>
      <c r="F753" s="1" t="s">
        <v>1171</v>
      </c>
      <c r="G753" s="1" t="s">
        <v>846</v>
      </c>
      <c r="H753" s="1" t="s">
        <v>141</v>
      </c>
      <c r="I753" s="1" t="s">
        <v>65</v>
      </c>
      <c r="J753" s="1">
        <v>3</v>
      </c>
      <c r="K753" s="1" t="s">
        <v>142</v>
      </c>
      <c r="L753" s="1" t="s">
        <v>153</v>
      </c>
      <c r="M753" s="1" t="s">
        <v>28</v>
      </c>
      <c r="N753" s="1" t="str">
        <f>HYPERLINK("https://klocwork.india.ti.com:443/review/insight-review.html#issuedetails_goto:problemid=103974,project=MCU_PLUS_SDK_AM263X,searchquery=taxonomy:'C and C++' build:Build_Apr_13_2023_11_11_AM grouping:off ","KW Issue Link")</f>
        <v>KW Issue Link</v>
      </c>
      <c r="O753" s="1" t="s">
        <v>291</v>
      </c>
    </row>
    <row r="754" spans="1:15" ht="60" x14ac:dyDescent="0.25">
      <c r="A754" s="1" t="s">
        <v>302</v>
      </c>
      <c r="B754" s="1" t="s">
        <v>1166</v>
      </c>
      <c r="C754" s="1" t="s">
        <v>867</v>
      </c>
      <c r="D754" s="1">
        <v>103976</v>
      </c>
      <c r="E754" s="1">
        <v>1951</v>
      </c>
      <c r="F754" s="1" t="s">
        <v>1172</v>
      </c>
      <c r="G754" s="1" t="s">
        <v>876</v>
      </c>
      <c r="H754" s="1" t="s">
        <v>1168</v>
      </c>
      <c r="I754" s="1" t="s">
        <v>63</v>
      </c>
      <c r="J754" s="1">
        <v>1</v>
      </c>
      <c r="K754" s="1" t="s">
        <v>142</v>
      </c>
      <c r="L754" s="1" t="s">
        <v>177</v>
      </c>
      <c r="M754" s="1" t="s">
        <v>28</v>
      </c>
      <c r="N754" s="1" t="str">
        <f>HYPERLINK("https://klocwork.india.ti.com:443/review/insight-review.html#issuedetails_goto:problemid=103976,project=MCU_PLUS_SDK_AM263X,searchquery=taxonomy:'C and C++' build:Build_Apr_13_2023_11_11_AM grouping:off ","KW Issue Link")</f>
        <v>KW Issue Link</v>
      </c>
      <c r="O754" s="1" t="s">
        <v>291</v>
      </c>
    </row>
    <row r="755" spans="1:15" ht="75" x14ac:dyDescent="0.25">
      <c r="A755" s="1" t="s">
        <v>157</v>
      </c>
      <c r="B755" s="1"/>
      <c r="C755" s="1" t="s">
        <v>400</v>
      </c>
      <c r="D755" s="1">
        <v>104268</v>
      </c>
      <c r="E755" s="1">
        <v>1205</v>
      </c>
      <c r="F755" s="1" t="s">
        <v>262</v>
      </c>
      <c r="G755" s="1" t="s">
        <v>1173</v>
      </c>
      <c r="H755" s="1" t="s">
        <v>141</v>
      </c>
      <c r="I755" s="1" t="s">
        <v>65</v>
      </c>
      <c r="J755" s="1">
        <v>3</v>
      </c>
      <c r="K755" s="1" t="s">
        <v>142</v>
      </c>
      <c r="L755" s="1" t="s">
        <v>153</v>
      </c>
      <c r="M755" s="1" t="s">
        <v>28</v>
      </c>
      <c r="N755" s="1" t="str">
        <f>HYPERLINK("https://klocwork.india.ti.com:443/review/insight-review.html#issuedetails_goto:problemid=104268,project=MCU_PLUS_SDK_AM263X,searchquery=taxonomy:'C and C++' build:Build_Apr_13_2023_11_11_AM grouping:off ","KW Issue Link")</f>
        <v>KW Issue Link</v>
      </c>
      <c r="O755" s="1" t="s">
        <v>356</v>
      </c>
    </row>
    <row r="756" spans="1:15" ht="75" x14ac:dyDescent="0.25">
      <c r="A756" s="1" t="s">
        <v>157</v>
      </c>
      <c r="B756" s="1"/>
      <c r="C756" s="1" t="s">
        <v>400</v>
      </c>
      <c r="D756" s="1">
        <v>104269</v>
      </c>
      <c r="E756" s="1">
        <v>1216</v>
      </c>
      <c r="F756" s="1" t="s">
        <v>262</v>
      </c>
      <c r="G756" s="1" t="s">
        <v>1173</v>
      </c>
      <c r="H756" s="1" t="s">
        <v>141</v>
      </c>
      <c r="I756" s="1" t="s">
        <v>65</v>
      </c>
      <c r="J756" s="1">
        <v>3</v>
      </c>
      <c r="K756" s="1" t="s">
        <v>142</v>
      </c>
      <c r="L756" s="1" t="s">
        <v>153</v>
      </c>
      <c r="M756" s="1" t="s">
        <v>28</v>
      </c>
      <c r="N756" s="1" t="str">
        <f>HYPERLINK("https://klocwork.india.ti.com:443/review/insight-review.html#issuedetails_goto:problemid=104269,project=MCU_PLUS_SDK_AM263X,searchquery=taxonomy:'C and C++' build:Build_Apr_13_2023_11_11_AM grouping:off ","KW Issue Link")</f>
        <v>KW Issue Link</v>
      </c>
      <c r="O756" s="1" t="s">
        <v>356</v>
      </c>
    </row>
    <row r="757" spans="1:15" ht="75" x14ac:dyDescent="0.25">
      <c r="A757" s="1" t="s">
        <v>157</v>
      </c>
      <c r="B757" s="1"/>
      <c r="C757" s="1" t="s">
        <v>400</v>
      </c>
      <c r="D757" s="1">
        <v>104270</v>
      </c>
      <c r="E757" s="1">
        <v>1258</v>
      </c>
      <c r="F757" s="1" t="s">
        <v>262</v>
      </c>
      <c r="G757" s="1" t="s">
        <v>1174</v>
      </c>
      <c r="H757" s="1" t="s">
        <v>141</v>
      </c>
      <c r="I757" s="1" t="s">
        <v>65</v>
      </c>
      <c r="J757" s="1">
        <v>3</v>
      </c>
      <c r="K757" s="1" t="s">
        <v>142</v>
      </c>
      <c r="L757" s="1" t="s">
        <v>153</v>
      </c>
      <c r="M757" s="1" t="s">
        <v>28</v>
      </c>
      <c r="N757" s="1" t="str">
        <f>HYPERLINK("https://klocwork.india.ti.com:443/review/insight-review.html#issuedetails_goto:problemid=104270,project=MCU_PLUS_SDK_AM263X,searchquery=taxonomy:'C and C++' build:Build_Apr_13_2023_11_11_AM grouping:off ","KW Issue Link")</f>
        <v>KW Issue Link</v>
      </c>
      <c r="O757" s="1" t="s">
        <v>356</v>
      </c>
    </row>
    <row r="758" spans="1:15" ht="75" x14ac:dyDescent="0.25">
      <c r="A758" s="1" t="s">
        <v>157</v>
      </c>
      <c r="B758" s="1" t="s">
        <v>1175</v>
      </c>
      <c r="C758" s="1" t="s">
        <v>1176</v>
      </c>
      <c r="D758" s="1">
        <v>104465</v>
      </c>
      <c r="E758" s="1">
        <v>244</v>
      </c>
      <c r="F758" s="1" t="s">
        <v>1177</v>
      </c>
      <c r="G758" s="1" t="s">
        <v>1178</v>
      </c>
      <c r="H758" s="1" t="s">
        <v>141</v>
      </c>
      <c r="I758" s="1" t="s">
        <v>65</v>
      </c>
      <c r="J758" s="1">
        <v>3</v>
      </c>
      <c r="K758" s="1" t="s">
        <v>142</v>
      </c>
      <c r="L758" s="1" t="s">
        <v>143</v>
      </c>
      <c r="M758" s="1" t="s">
        <v>28</v>
      </c>
      <c r="N758" s="1" t="str">
        <f>HYPERLINK("https://klocwork.india.ti.com:443/review/insight-review.html#issuedetails_goto:problemid=104465,project=MCU_PLUS_SDK_AM263X,searchquery=taxonomy:'C and C++' build:Build_Apr_13_2023_11_11_AM grouping:off ","KW Issue Link")</f>
        <v>KW Issue Link</v>
      </c>
      <c r="O758" s="1" t="s">
        <v>1083</v>
      </c>
    </row>
    <row r="759" spans="1:15" ht="45" x14ac:dyDescent="0.25">
      <c r="A759" s="1" t="s">
        <v>157</v>
      </c>
      <c r="B759" s="1" t="s">
        <v>1175</v>
      </c>
      <c r="C759" s="1" t="s">
        <v>1176</v>
      </c>
      <c r="D759" s="1">
        <v>104466</v>
      </c>
      <c r="E759" s="1">
        <v>245</v>
      </c>
      <c r="F759" s="1" t="s">
        <v>1179</v>
      </c>
      <c r="G759" s="1" t="s">
        <v>1178</v>
      </c>
      <c r="H759" s="1" t="s">
        <v>141</v>
      </c>
      <c r="I759" s="1" t="s">
        <v>65</v>
      </c>
      <c r="J759" s="1">
        <v>3</v>
      </c>
      <c r="K759" s="1" t="s">
        <v>142</v>
      </c>
      <c r="L759" s="1" t="s">
        <v>143</v>
      </c>
      <c r="M759" s="1" t="s">
        <v>28</v>
      </c>
      <c r="N759" s="1" t="str">
        <f>HYPERLINK("https://klocwork.india.ti.com:443/review/insight-review.html#issuedetails_goto:problemid=104466,project=MCU_PLUS_SDK_AM263X,searchquery=taxonomy:'C and C++' build:Build_Apr_13_2023_11_11_AM grouping:off ","KW Issue Link")</f>
        <v>KW Issue Link</v>
      </c>
      <c r="O759" s="1" t="s">
        <v>1083</v>
      </c>
    </row>
    <row r="760" spans="1:15" ht="60" x14ac:dyDescent="0.25">
      <c r="A760" s="1" t="s">
        <v>157</v>
      </c>
      <c r="B760" s="1" t="s">
        <v>1175</v>
      </c>
      <c r="C760" s="1" t="s">
        <v>1180</v>
      </c>
      <c r="D760" s="1">
        <v>104469</v>
      </c>
      <c r="E760" s="1">
        <v>369</v>
      </c>
      <c r="F760" s="1" t="s">
        <v>1181</v>
      </c>
      <c r="G760" s="1" t="s">
        <v>1182</v>
      </c>
      <c r="H760" s="1" t="s">
        <v>141</v>
      </c>
      <c r="I760" s="1" t="s">
        <v>65</v>
      </c>
      <c r="J760" s="1">
        <v>3</v>
      </c>
      <c r="K760" s="1" t="s">
        <v>142</v>
      </c>
      <c r="L760" s="1" t="s">
        <v>143</v>
      </c>
      <c r="M760" s="1" t="s">
        <v>28</v>
      </c>
      <c r="N760" s="1" t="str">
        <f>HYPERLINK("https://klocwork.india.ti.com:443/review/insight-review.html#issuedetails_goto:problemid=104469,project=MCU_PLUS_SDK_AM263X,searchquery=taxonomy:'C and C++' build:Build_Apr_13_2023_11_11_AM grouping:off ","KW Issue Link")</f>
        <v>KW Issue Link</v>
      </c>
      <c r="O760" s="1" t="s">
        <v>1083</v>
      </c>
    </row>
    <row r="761" spans="1:15" ht="60" x14ac:dyDescent="0.25">
      <c r="A761" s="1" t="s">
        <v>199</v>
      </c>
      <c r="B761" s="1" t="s">
        <v>1183</v>
      </c>
      <c r="C761" s="1" t="s">
        <v>1184</v>
      </c>
      <c r="D761" s="1">
        <v>110434</v>
      </c>
      <c r="E761" s="1">
        <v>631</v>
      </c>
      <c r="F761" s="1" t="s">
        <v>1185</v>
      </c>
      <c r="G761" s="1" t="s">
        <v>1186</v>
      </c>
      <c r="H761" s="1" t="s">
        <v>141</v>
      </c>
      <c r="I761" s="1" t="s">
        <v>63</v>
      </c>
      <c r="J761" s="1">
        <v>1</v>
      </c>
      <c r="K761" s="1" t="s">
        <v>142</v>
      </c>
      <c r="L761" s="1" t="s">
        <v>143</v>
      </c>
      <c r="M761" s="1" t="s">
        <v>28</v>
      </c>
      <c r="N761" s="1" t="str">
        <f>HYPERLINK("https://klocwork.india.ti.com:443/review/insight-review.html#issuedetails_goto:problemid=110434,project=MCU_PLUS_SDK_AM263X,searchquery=taxonomy:'C and C++' build:Build_Apr_13_2023_11_11_AM grouping:off ","KW Issue Link")</f>
        <v>KW Issue Link</v>
      </c>
      <c r="O761" s="1" t="s">
        <v>1083</v>
      </c>
    </row>
    <row r="762" spans="1:15" ht="90" x14ac:dyDescent="0.25">
      <c r="A762" s="1" t="s">
        <v>149</v>
      </c>
      <c r="B762" s="1"/>
      <c r="C762" s="1" t="s">
        <v>517</v>
      </c>
      <c r="D762" s="1">
        <v>110634</v>
      </c>
      <c r="E762" s="1">
        <v>441</v>
      </c>
      <c r="F762" s="1" t="s">
        <v>1187</v>
      </c>
      <c r="G762" s="1" t="s">
        <v>518</v>
      </c>
      <c r="H762" s="1" t="s">
        <v>141</v>
      </c>
      <c r="I762" s="1" t="s">
        <v>65</v>
      </c>
      <c r="J762" s="1">
        <v>3</v>
      </c>
      <c r="K762" s="1" t="s">
        <v>142</v>
      </c>
      <c r="L762" s="1" t="s">
        <v>153</v>
      </c>
      <c r="M762" s="1" t="s">
        <v>28</v>
      </c>
      <c r="N762" s="1" t="str">
        <f>HYPERLINK("https://klocwork.india.ti.com:443/review/insight-review.html#issuedetails_goto:problemid=110634,project=MCU_PLUS_SDK_AM263X,searchquery=taxonomy:'C and C++' build:Build_Apr_13_2023_11_11_AM grouping:off ","KW Issue Link")</f>
        <v>KW Issue Link</v>
      </c>
      <c r="O762" s="1" t="s">
        <v>356</v>
      </c>
    </row>
    <row r="763" spans="1:15" ht="105" x14ac:dyDescent="0.25">
      <c r="A763" s="1" t="s">
        <v>149</v>
      </c>
      <c r="B763" s="1"/>
      <c r="C763" s="1" t="s">
        <v>444</v>
      </c>
      <c r="D763" s="1">
        <v>111529</v>
      </c>
      <c r="E763" s="1">
        <v>292</v>
      </c>
      <c r="F763" s="1" t="s">
        <v>1188</v>
      </c>
      <c r="G763" s="1" t="s">
        <v>445</v>
      </c>
      <c r="H763" s="1" t="s">
        <v>141</v>
      </c>
      <c r="I763" s="1" t="s">
        <v>65</v>
      </c>
      <c r="J763" s="1">
        <v>3</v>
      </c>
      <c r="K763" s="1" t="s">
        <v>142</v>
      </c>
      <c r="L763" s="1" t="s">
        <v>153</v>
      </c>
      <c r="M763" s="1" t="s">
        <v>28</v>
      </c>
      <c r="N763" s="1" t="str">
        <f>HYPERLINK("https://klocwork.india.ti.com:443/review/insight-review.html#issuedetails_goto:problemid=111529,project=MCU_PLUS_SDK_AM263X,searchquery=taxonomy:'C and C++' build:Build_Apr_13_2023_11_11_AM grouping:off ","KW Issue Link")</f>
        <v>KW Issue Link</v>
      </c>
      <c r="O763" s="1" t="s">
        <v>291</v>
      </c>
    </row>
    <row r="764" spans="1:15" ht="90" x14ac:dyDescent="0.25">
      <c r="A764" s="1" t="s">
        <v>149</v>
      </c>
      <c r="B764" s="1"/>
      <c r="C764" s="1" t="s">
        <v>476</v>
      </c>
      <c r="D764" s="1">
        <v>111703</v>
      </c>
      <c r="E764" s="1">
        <v>2565</v>
      </c>
      <c r="F764" s="1" t="s">
        <v>1189</v>
      </c>
      <c r="G764" s="1" t="s">
        <v>482</v>
      </c>
      <c r="H764" s="1" t="s">
        <v>141</v>
      </c>
      <c r="I764" s="1" t="s">
        <v>65</v>
      </c>
      <c r="J764" s="1">
        <v>3</v>
      </c>
      <c r="K764" s="1" t="s">
        <v>142</v>
      </c>
      <c r="L764" s="1" t="s">
        <v>153</v>
      </c>
      <c r="M764" s="1" t="s">
        <v>28</v>
      </c>
      <c r="N764" s="1" t="str">
        <f>HYPERLINK("https://klocwork.india.ti.com:443/review/insight-review.html#issuedetails_goto:problemid=111703,project=MCU_PLUS_SDK_AM263X,searchquery=taxonomy:'C and C++' build:Build_Apr_13_2023_11_11_AM grouping:off ","KW Issue Link")</f>
        <v>KW Issue Link</v>
      </c>
      <c r="O764" s="1" t="s">
        <v>291</v>
      </c>
    </row>
    <row r="765" spans="1:15" ht="75" x14ac:dyDescent="0.25">
      <c r="A765" s="1" t="s">
        <v>149</v>
      </c>
      <c r="B765" s="1"/>
      <c r="C765" s="1" t="s">
        <v>536</v>
      </c>
      <c r="D765" s="1">
        <v>112377</v>
      </c>
      <c r="E765" s="1">
        <v>2206</v>
      </c>
      <c r="F765" s="1" t="s">
        <v>1190</v>
      </c>
      <c r="G765" s="1" t="s">
        <v>546</v>
      </c>
      <c r="H765" s="1" t="s">
        <v>141</v>
      </c>
      <c r="I765" s="1" t="s">
        <v>65</v>
      </c>
      <c r="J765" s="1">
        <v>3</v>
      </c>
      <c r="K765" s="1" t="s">
        <v>142</v>
      </c>
      <c r="L765" s="1" t="s">
        <v>153</v>
      </c>
      <c r="M765" s="1" t="s">
        <v>28</v>
      </c>
      <c r="N765" s="1" t="str">
        <f>HYPERLINK("https://klocwork.india.ti.com:443/review/insight-review.html#issuedetails_goto:problemid=112377,project=MCU_PLUS_SDK_AM263X,searchquery=taxonomy:'C and C++' build:Build_Apr_13_2023_11_11_AM grouping:off ","KW Issue Link")</f>
        <v>KW Issue Link</v>
      </c>
      <c r="O765" s="1" t="s">
        <v>291</v>
      </c>
    </row>
    <row r="766" spans="1:15" ht="90" x14ac:dyDescent="0.25">
      <c r="A766" s="1" t="s">
        <v>149</v>
      </c>
      <c r="B766" s="1"/>
      <c r="C766" s="1" t="s">
        <v>867</v>
      </c>
      <c r="D766" s="1">
        <v>114469</v>
      </c>
      <c r="E766" s="1">
        <v>1126</v>
      </c>
      <c r="F766" s="1" t="s">
        <v>1191</v>
      </c>
      <c r="G766" s="1" t="s">
        <v>884</v>
      </c>
      <c r="H766" s="1" t="s">
        <v>141</v>
      </c>
      <c r="I766" s="1" t="s">
        <v>65</v>
      </c>
      <c r="J766" s="1">
        <v>3</v>
      </c>
      <c r="K766" s="1" t="s">
        <v>142</v>
      </c>
      <c r="L766" s="1" t="s">
        <v>153</v>
      </c>
      <c r="M766" s="1" t="s">
        <v>28</v>
      </c>
      <c r="N766" s="1" t="str">
        <f>HYPERLINK("https://klocwork.india.ti.com:443/review/insight-review.html#issuedetails_goto:problemid=114469,project=MCU_PLUS_SDK_AM263X,searchquery=taxonomy:'C and C++' build:Build_Apr_13_2023_11_11_AM grouping:off ","KW Issue Link")</f>
        <v>KW Issue Link</v>
      </c>
      <c r="O766" s="1" t="s">
        <v>291</v>
      </c>
    </row>
    <row r="767" spans="1:15" ht="60" x14ac:dyDescent="0.25">
      <c r="A767" s="1" t="s">
        <v>136</v>
      </c>
      <c r="B767" s="1"/>
      <c r="C767" s="1" t="s">
        <v>1192</v>
      </c>
      <c r="D767" s="1">
        <v>118075</v>
      </c>
      <c r="E767" s="1">
        <v>160</v>
      </c>
      <c r="F767" s="1" t="s">
        <v>1193</v>
      </c>
      <c r="G767" s="1" t="s">
        <v>1194</v>
      </c>
      <c r="H767" s="1" t="s">
        <v>141</v>
      </c>
      <c r="I767" s="1" t="s">
        <v>66</v>
      </c>
      <c r="J767" s="1">
        <v>4</v>
      </c>
      <c r="K767" s="1" t="s">
        <v>142</v>
      </c>
      <c r="L767" s="1" t="s">
        <v>153</v>
      </c>
      <c r="M767" s="1" t="s">
        <v>28</v>
      </c>
      <c r="N767" s="1" t="str">
        <f>HYPERLINK("https://klocwork.india.ti.com:443/review/insight-review.html#issuedetails_goto:problemid=118075,project=MCU_PLUS_SDK_AM263X,searchquery=taxonomy:'C and C++' build:Build_Apr_13_2023_11_11_AM grouping:off ","KW Issue Link")</f>
        <v>KW Issue Link</v>
      </c>
      <c r="O767" s="1" t="s">
        <v>1083</v>
      </c>
    </row>
    <row r="768" spans="1:15" ht="60" x14ac:dyDescent="0.25">
      <c r="A768" s="1" t="s">
        <v>136</v>
      </c>
      <c r="B768" s="1"/>
      <c r="C768" s="1" t="s">
        <v>1192</v>
      </c>
      <c r="D768" s="1">
        <v>118076</v>
      </c>
      <c r="E768" s="1">
        <v>167</v>
      </c>
      <c r="F768" s="1" t="s">
        <v>1193</v>
      </c>
      <c r="G768" s="1" t="s">
        <v>1194</v>
      </c>
      <c r="H768" s="1" t="s">
        <v>141</v>
      </c>
      <c r="I768" s="1" t="s">
        <v>66</v>
      </c>
      <c r="J768" s="1">
        <v>4</v>
      </c>
      <c r="K768" s="1" t="s">
        <v>142</v>
      </c>
      <c r="L768" s="1" t="s">
        <v>153</v>
      </c>
      <c r="M768" s="1" t="s">
        <v>28</v>
      </c>
      <c r="N768" s="1" t="str">
        <f>HYPERLINK("https://klocwork.india.ti.com:443/review/insight-review.html#issuedetails_goto:problemid=118076,project=MCU_PLUS_SDK_AM263X,searchquery=taxonomy:'C and C++' build:Build_Apr_13_2023_11_11_AM grouping:off ","KW Issue Link")</f>
        <v>KW Issue Link</v>
      </c>
      <c r="O768" s="1" t="s">
        <v>1083</v>
      </c>
    </row>
    <row r="769" spans="1:15" ht="60" x14ac:dyDescent="0.25">
      <c r="A769" s="1" t="s">
        <v>136</v>
      </c>
      <c r="B769" s="1"/>
      <c r="C769" s="1" t="s">
        <v>1192</v>
      </c>
      <c r="D769" s="1">
        <v>118077</v>
      </c>
      <c r="E769" s="1">
        <v>174</v>
      </c>
      <c r="F769" s="1" t="s">
        <v>1193</v>
      </c>
      <c r="G769" s="1" t="s">
        <v>1194</v>
      </c>
      <c r="H769" s="1" t="s">
        <v>141</v>
      </c>
      <c r="I769" s="1" t="s">
        <v>66</v>
      </c>
      <c r="J769" s="1">
        <v>4</v>
      </c>
      <c r="K769" s="1" t="s">
        <v>142</v>
      </c>
      <c r="L769" s="1" t="s">
        <v>153</v>
      </c>
      <c r="M769" s="1" t="s">
        <v>28</v>
      </c>
      <c r="N769" s="1" t="str">
        <f>HYPERLINK("https://klocwork.india.ti.com:443/review/insight-review.html#issuedetails_goto:problemid=118077,project=MCU_PLUS_SDK_AM263X,searchquery=taxonomy:'C and C++' build:Build_Apr_13_2023_11_11_AM grouping:off ","KW Issue Link")</f>
        <v>KW Issue Link</v>
      </c>
      <c r="O769" s="1" t="s">
        <v>1083</v>
      </c>
    </row>
    <row r="770" spans="1:15" ht="60" x14ac:dyDescent="0.25">
      <c r="A770" s="1" t="s">
        <v>136</v>
      </c>
      <c r="B770" s="1"/>
      <c r="C770" s="1" t="s">
        <v>1195</v>
      </c>
      <c r="D770" s="1">
        <v>118090</v>
      </c>
      <c r="E770" s="1">
        <v>129</v>
      </c>
      <c r="F770" s="1" t="s">
        <v>1196</v>
      </c>
      <c r="G770" s="1" t="s">
        <v>1197</v>
      </c>
      <c r="H770" s="1" t="s">
        <v>141</v>
      </c>
      <c r="I770" s="1" t="s">
        <v>66</v>
      </c>
      <c r="J770" s="1">
        <v>4</v>
      </c>
      <c r="K770" s="1" t="s">
        <v>142</v>
      </c>
      <c r="L770" s="1" t="s">
        <v>153</v>
      </c>
      <c r="M770" s="1" t="s">
        <v>28</v>
      </c>
      <c r="N770" s="1" t="str">
        <f>HYPERLINK("https://klocwork.india.ti.com:443/review/insight-review.html#issuedetails_goto:problemid=118090,project=MCU_PLUS_SDK_AM263X,searchquery=taxonomy:'C and C++' build:Build_Apr_13_2023_11_11_AM grouping:off ","KW Issue Link")</f>
        <v>KW Issue Link</v>
      </c>
      <c r="O770" s="1" t="s">
        <v>1083</v>
      </c>
    </row>
    <row r="771" spans="1:15" ht="90" x14ac:dyDescent="0.25">
      <c r="A771" s="1" t="s">
        <v>149</v>
      </c>
      <c r="B771" s="1"/>
      <c r="C771" s="1" t="s">
        <v>1198</v>
      </c>
      <c r="D771" s="1">
        <v>118097</v>
      </c>
      <c r="E771" s="1">
        <v>298</v>
      </c>
      <c r="F771" s="1" t="s">
        <v>1199</v>
      </c>
      <c r="G771" s="1" t="s">
        <v>1200</v>
      </c>
      <c r="H771" s="1" t="s">
        <v>141</v>
      </c>
      <c r="I771" s="1" t="s">
        <v>65</v>
      </c>
      <c r="J771" s="1">
        <v>3</v>
      </c>
      <c r="K771" s="1" t="s">
        <v>142</v>
      </c>
      <c r="L771" s="1" t="s">
        <v>153</v>
      </c>
      <c r="M771" s="1" t="s">
        <v>28</v>
      </c>
      <c r="N771" s="1" t="str">
        <f>HYPERLINK("https://klocwork.india.ti.com:443/review/insight-review.html#issuedetails_goto:problemid=118097,project=MCU_PLUS_SDK_AM263X,searchquery=taxonomy:'C and C++' build:Build_Apr_13_2023_11_11_AM grouping:off ","KW Issue Link")</f>
        <v>KW Issue Link</v>
      </c>
      <c r="O771" s="1" t="s">
        <v>1083</v>
      </c>
    </row>
    <row r="772" spans="1:15" ht="60" x14ac:dyDescent="0.25">
      <c r="A772" s="1" t="s">
        <v>136</v>
      </c>
      <c r="B772" s="1"/>
      <c r="C772" s="1" t="s">
        <v>1201</v>
      </c>
      <c r="D772" s="1">
        <v>118202</v>
      </c>
      <c r="E772" s="1">
        <v>295</v>
      </c>
      <c r="F772" s="1" t="s">
        <v>1196</v>
      </c>
      <c r="G772" s="1" t="s">
        <v>1202</v>
      </c>
      <c r="H772" s="1" t="s">
        <v>141</v>
      </c>
      <c r="I772" s="1" t="s">
        <v>66</v>
      </c>
      <c r="J772" s="1">
        <v>4</v>
      </c>
      <c r="K772" s="1" t="s">
        <v>142</v>
      </c>
      <c r="L772" s="1" t="s">
        <v>153</v>
      </c>
      <c r="M772" s="1" t="s">
        <v>28</v>
      </c>
      <c r="N772" s="1" t="str">
        <f>HYPERLINK("https://klocwork.india.ti.com:443/review/insight-review.html#issuedetails_goto:problemid=118202,project=MCU_PLUS_SDK_AM263X,searchquery=taxonomy:'C and C++' build:Build_Apr_13_2023_11_11_AM grouping:off ","KW Issue Link")</f>
        <v>KW Issue Link</v>
      </c>
      <c r="O772" s="1" t="s">
        <v>1083</v>
      </c>
    </row>
    <row r="773" spans="1:15" ht="60" x14ac:dyDescent="0.25">
      <c r="A773" s="1" t="s">
        <v>136</v>
      </c>
      <c r="B773" s="1"/>
      <c r="C773" s="1" t="s">
        <v>1201</v>
      </c>
      <c r="D773" s="1">
        <v>118203</v>
      </c>
      <c r="E773" s="1">
        <v>957</v>
      </c>
      <c r="F773" s="1" t="s">
        <v>1203</v>
      </c>
      <c r="G773" s="1" t="s">
        <v>1204</v>
      </c>
      <c r="H773" s="1" t="s">
        <v>141</v>
      </c>
      <c r="I773" s="1" t="s">
        <v>66</v>
      </c>
      <c r="J773" s="1">
        <v>4</v>
      </c>
      <c r="K773" s="1" t="s">
        <v>142</v>
      </c>
      <c r="L773" s="1" t="s">
        <v>153</v>
      </c>
      <c r="M773" s="1" t="s">
        <v>28</v>
      </c>
      <c r="N773" s="1" t="str">
        <f>HYPERLINK("https://klocwork.india.ti.com:443/review/insight-review.html#issuedetails_goto:problemid=118203,project=MCU_PLUS_SDK_AM263X,searchquery=taxonomy:'C and C++' build:Build_Apr_13_2023_11_11_AM grouping:off ","KW Issue Link")</f>
        <v>KW Issue Link</v>
      </c>
      <c r="O773" s="1" t="s">
        <v>1083</v>
      </c>
    </row>
    <row r="774" spans="1:15" ht="60" x14ac:dyDescent="0.25">
      <c r="A774" s="1" t="s">
        <v>136</v>
      </c>
      <c r="B774" s="1"/>
      <c r="C774" s="1" t="s">
        <v>1201</v>
      </c>
      <c r="D774" s="1">
        <v>118204</v>
      </c>
      <c r="E774" s="1">
        <v>962</v>
      </c>
      <c r="F774" s="1" t="s">
        <v>1203</v>
      </c>
      <c r="G774" s="1" t="s">
        <v>1204</v>
      </c>
      <c r="H774" s="1" t="s">
        <v>141</v>
      </c>
      <c r="I774" s="1" t="s">
        <v>66</v>
      </c>
      <c r="J774" s="1">
        <v>4</v>
      </c>
      <c r="K774" s="1" t="s">
        <v>142</v>
      </c>
      <c r="L774" s="1" t="s">
        <v>153</v>
      </c>
      <c r="M774" s="1" t="s">
        <v>28</v>
      </c>
      <c r="N774" s="1" t="str">
        <f>HYPERLINK("https://klocwork.india.ti.com:443/review/insight-review.html#issuedetails_goto:problemid=118204,project=MCU_PLUS_SDK_AM263X,searchquery=taxonomy:'C and C++' build:Build_Apr_13_2023_11_11_AM grouping:off ","KW Issue Link")</f>
        <v>KW Issue Link</v>
      </c>
      <c r="O774" s="1" t="s">
        <v>1083</v>
      </c>
    </row>
    <row r="775" spans="1:15" ht="105" x14ac:dyDescent="0.25">
      <c r="A775" s="1" t="s">
        <v>149</v>
      </c>
      <c r="B775" s="1"/>
      <c r="C775" s="1" t="s">
        <v>1201</v>
      </c>
      <c r="D775" s="1">
        <v>118212</v>
      </c>
      <c r="E775" s="1">
        <v>327</v>
      </c>
      <c r="F775" s="1" t="s">
        <v>1205</v>
      </c>
      <c r="G775" s="1" t="s">
        <v>1206</v>
      </c>
      <c r="H775" s="1" t="s">
        <v>141</v>
      </c>
      <c r="I775" s="1" t="s">
        <v>65</v>
      </c>
      <c r="J775" s="1">
        <v>3</v>
      </c>
      <c r="K775" s="1" t="s">
        <v>142</v>
      </c>
      <c r="L775" s="1" t="s">
        <v>153</v>
      </c>
      <c r="M775" s="1" t="s">
        <v>28</v>
      </c>
      <c r="N775" s="1" t="str">
        <f>HYPERLINK("https://klocwork.india.ti.com:443/review/insight-review.html#issuedetails_goto:problemid=118212,project=MCU_PLUS_SDK_AM263X,searchquery=taxonomy:'C and C++' build:Build_Apr_13_2023_11_11_AM grouping:off ","KW Issue Link")</f>
        <v>KW Issue Link</v>
      </c>
      <c r="O775" s="1" t="s">
        <v>1083</v>
      </c>
    </row>
    <row r="776" spans="1:15" ht="90" x14ac:dyDescent="0.25">
      <c r="A776" s="1" t="s">
        <v>149</v>
      </c>
      <c r="B776" s="1"/>
      <c r="C776" s="1" t="s">
        <v>1201</v>
      </c>
      <c r="D776" s="1">
        <v>118213</v>
      </c>
      <c r="E776" s="1">
        <v>501</v>
      </c>
      <c r="F776" s="1" t="s">
        <v>1207</v>
      </c>
      <c r="G776" s="1" t="s">
        <v>1208</v>
      </c>
      <c r="H776" s="1" t="s">
        <v>141</v>
      </c>
      <c r="I776" s="1" t="s">
        <v>65</v>
      </c>
      <c r="J776" s="1">
        <v>3</v>
      </c>
      <c r="K776" s="1" t="s">
        <v>142</v>
      </c>
      <c r="L776" s="1" t="s">
        <v>153</v>
      </c>
      <c r="M776" s="1" t="s">
        <v>28</v>
      </c>
      <c r="N776" s="1" t="str">
        <f>HYPERLINK("https://klocwork.india.ti.com:443/review/insight-review.html#issuedetails_goto:problemid=118213,project=MCU_PLUS_SDK_AM263X,searchquery=taxonomy:'C and C++' build:Build_Apr_13_2023_11_11_AM grouping:off ","KW Issue Link")</f>
        <v>KW Issue Link</v>
      </c>
      <c r="O776" s="1" t="s">
        <v>1083</v>
      </c>
    </row>
    <row r="777" spans="1:15" ht="90" x14ac:dyDescent="0.25">
      <c r="A777" s="1" t="s">
        <v>149</v>
      </c>
      <c r="B777" s="1"/>
      <c r="C777" s="1" t="s">
        <v>1201</v>
      </c>
      <c r="D777" s="1">
        <v>118214</v>
      </c>
      <c r="E777" s="1">
        <v>658</v>
      </c>
      <c r="F777" s="1" t="s">
        <v>1207</v>
      </c>
      <c r="G777" s="1" t="s">
        <v>1209</v>
      </c>
      <c r="H777" s="1" t="s">
        <v>141</v>
      </c>
      <c r="I777" s="1" t="s">
        <v>65</v>
      </c>
      <c r="J777" s="1">
        <v>3</v>
      </c>
      <c r="K777" s="1" t="s">
        <v>142</v>
      </c>
      <c r="L777" s="1" t="s">
        <v>153</v>
      </c>
      <c r="M777" s="1" t="s">
        <v>28</v>
      </c>
      <c r="N777" s="1" t="str">
        <f>HYPERLINK("https://klocwork.india.ti.com:443/review/insight-review.html#issuedetails_goto:problemid=118214,project=MCU_PLUS_SDK_AM263X,searchquery=taxonomy:'C and C++' build:Build_Apr_13_2023_11_11_AM grouping:off ","KW Issue Link")</f>
        <v>KW Issue Link</v>
      </c>
      <c r="O777" s="1" t="s">
        <v>1083</v>
      </c>
    </row>
    <row r="778" spans="1:15" ht="90" x14ac:dyDescent="0.25">
      <c r="A778" s="1" t="s">
        <v>149</v>
      </c>
      <c r="B778" s="1"/>
      <c r="C778" s="1" t="s">
        <v>1201</v>
      </c>
      <c r="D778" s="1">
        <v>118215</v>
      </c>
      <c r="E778" s="1">
        <v>778</v>
      </c>
      <c r="F778" s="1" t="s">
        <v>1207</v>
      </c>
      <c r="G778" s="1" t="s">
        <v>1210</v>
      </c>
      <c r="H778" s="1" t="s">
        <v>141</v>
      </c>
      <c r="I778" s="1" t="s">
        <v>65</v>
      </c>
      <c r="J778" s="1">
        <v>3</v>
      </c>
      <c r="K778" s="1" t="s">
        <v>142</v>
      </c>
      <c r="L778" s="1" t="s">
        <v>153</v>
      </c>
      <c r="M778" s="1" t="s">
        <v>28</v>
      </c>
      <c r="N778" s="1" t="str">
        <f>HYPERLINK("https://klocwork.india.ti.com:443/review/insight-review.html#issuedetails_goto:problemid=118215,project=MCU_PLUS_SDK_AM263X,searchquery=taxonomy:'C and C++' build:Build_Apr_13_2023_11_11_AM grouping:off ","KW Issue Link")</f>
        <v>KW Issue Link</v>
      </c>
      <c r="O778" s="1" t="s">
        <v>1083</v>
      </c>
    </row>
    <row r="779" spans="1:15" ht="105" x14ac:dyDescent="0.25">
      <c r="A779" s="1" t="s">
        <v>149</v>
      </c>
      <c r="B779" s="1"/>
      <c r="C779" s="1" t="s">
        <v>1201</v>
      </c>
      <c r="D779" s="1">
        <v>118216</v>
      </c>
      <c r="E779" s="1">
        <v>903</v>
      </c>
      <c r="F779" s="1" t="s">
        <v>1205</v>
      </c>
      <c r="G779" s="1" t="s">
        <v>1204</v>
      </c>
      <c r="H779" s="1" t="s">
        <v>141</v>
      </c>
      <c r="I779" s="1" t="s">
        <v>65</v>
      </c>
      <c r="J779" s="1">
        <v>3</v>
      </c>
      <c r="K779" s="1" t="s">
        <v>142</v>
      </c>
      <c r="L779" s="1" t="s">
        <v>153</v>
      </c>
      <c r="M779" s="1" t="s">
        <v>28</v>
      </c>
      <c r="N779" s="1" t="str">
        <f>HYPERLINK("https://klocwork.india.ti.com:443/review/insight-review.html#issuedetails_goto:problemid=118216,project=MCU_PLUS_SDK_AM263X,searchquery=taxonomy:'C and C++' build:Build_Apr_13_2023_11_11_AM grouping:off ","KW Issue Link")</f>
        <v>KW Issue Link</v>
      </c>
      <c r="O779" s="1" t="s">
        <v>1083</v>
      </c>
    </row>
    <row r="780" spans="1:15" ht="105" x14ac:dyDescent="0.25">
      <c r="A780" s="1" t="s">
        <v>149</v>
      </c>
      <c r="B780" s="1"/>
      <c r="C780" s="1" t="s">
        <v>1201</v>
      </c>
      <c r="D780" s="1">
        <v>118217</v>
      </c>
      <c r="E780" s="1">
        <v>938</v>
      </c>
      <c r="F780" s="1" t="s">
        <v>1205</v>
      </c>
      <c r="G780" s="1" t="s">
        <v>1204</v>
      </c>
      <c r="H780" s="1" t="s">
        <v>141</v>
      </c>
      <c r="I780" s="1" t="s">
        <v>65</v>
      </c>
      <c r="J780" s="1">
        <v>3</v>
      </c>
      <c r="K780" s="1" t="s">
        <v>142</v>
      </c>
      <c r="L780" s="1" t="s">
        <v>153</v>
      </c>
      <c r="M780" s="1" t="s">
        <v>28</v>
      </c>
      <c r="N780" s="1" t="str">
        <f>HYPERLINK("https://klocwork.india.ti.com:443/review/insight-review.html#issuedetails_goto:problemid=118217,project=MCU_PLUS_SDK_AM263X,searchquery=taxonomy:'C and C++' build:Build_Apr_13_2023_11_11_AM grouping:off ","KW Issue Link")</f>
        <v>KW Issue Link</v>
      </c>
      <c r="O780" s="1" t="s">
        <v>1083</v>
      </c>
    </row>
    <row r="781" spans="1:15" ht="90" x14ac:dyDescent="0.25">
      <c r="A781" s="1" t="s">
        <v>149</v>
      </c>
      <c r="B781" s="1"/>
      <c r="C781" s="1" t="s">
        <v>1201</v>
      </c>
      <c r="D781" s="1">
        <v>118218</v>
      </c>
      <c r="E781" s="1">
        <v>967</v>
      </c>
      <c r="F781" s="1" t="s">
        <v>1211</v>
      </c>
      <c r="G781" s="1" t="s">
        <v>1204</v>
      </c>
      <c r="H781" s="1" t="s">
        <v>141</v>
      </c>
      <c r="I781" s="1" t="s">
        <v>65</v>
      </c>
      <c r="J781" s="1">
        <v>3</v>
      </c>
      <c r="K781" s="1" t="s">
        <v>142</v>
      </c>
      <c r="L781" s="1" t="s">
        <v>153</v>
      </c>
      <c r="M781" s="1" t="s">
        <v>28</v>
      </c>
      <c r="N781" s="1" t="str">
        <f>HYPERLINK("https://klocwork.india.ti.com:443/review/insight-review.html#issuedetails_goto:problemid=118218,project=MCU_PLUS_SDK_AM263X,searchquery=taxonomy:'C and C++' build:Build_Apr_13_2023_11_11_AM grouping:off ","KW Issue Link")</f>
        <v>KW Issue Link</v>
      </c>
      <c r="O781" s="1" t="s">
        <v>1083</v>
      </c>
    </row>
    <row r="782" spans="1:15" ht="60" x14ac:dyDescent="0.25">
      <c r="A782" s="1" t="s">
        <v>155</v>
      </c>
      <c r="B782" s="1"/>
      <c r="C782" s="1" t="s">
        <v>1201</v>
      </c>
      <c r="D782" s="1">
        <v>118219</v>
      </c>
      <c r="E782" s="1">
        <v>329</v>
      </c>
      <c r="F782" s="1" t="s">
        <v>156</v>
      </c>
      <c r="G782" s="1" t="s">
        <v>1206</v>
      </c>
      <c r="H782" s="1" t="s">
        <v>141</v>
      </c>
      <c r="I782" s="1" t="s">
        <v>65</v>
      </c>
      <c r="J782" s="1">
        <v>3</v>
      </c>
      <c r="K782" s="1" t="s">
        <v>142</v>
      </c>
      <c r="L782" s="1" t="s">
        <v>153</v>
      </c>
      <c r="M782" s="1" t="s">
        <v>28</v>
      </c>
      <c r="N782" s="1" t="str">
        <f>HYPERLINK("https://klocwork.india.ti.com:443/review/insight-review.html#issuedetails_goto:problemid=118219,project=MCU_PLUS_SDK_AM263X,searchquery=taxonomy:'C and C++' build:Build_Apr_13_2023_11_11_AM grouping:off ","KW Issue Link")</f>
        <v>KW Issue Link</v>
      </c>
      <c r="O782" s="1" t="s">
        <v>1083</v>
      </c>
    </row>
    <row r="783" spans="1:15" ht="60" x14ac:dyDescent="0.25">
      <c r="A783" s="1" t="s">
        <v>155</v>
      </c>
      <c r="B783" s="1"/>
      <c r="C783" s="1" t="s">
        <v>1201</v>
      </c>
      <c r="D783" s="1">
        <v>118220</v>
      </c>
      <c r="E783" s="1">
        <v>503</v>
      </c>
      <c r="F783" s="1" t="s">
        <v>156</v>
      </c>
      <c r="G783" s="1" t="s">
        <v>1208</v>
      </c>
      <c r="H783" s="1" t="s">
        <v>141</v>
      </c>
      <c r="I783" s="1" t="s">
        <v>65</v>
      </c>
      <c r="J783" s="1">
        <v>3</v>
      </c>
      <c r="K783" s="1" t="s">
        <v>142</v>
      </c>
      <c r="L783" s="1" t="s">
        <v>153</v>
      </c>
      <c r="M783" s="1" t="s">
        <v>28</v>
      </c>
      <c r="N783" s="1" t="str">
        <f>HYPERLINK("https://klocwork.india.ti.com:443/review/insight-review.html#issuedetails_goto:problemid=118220,project=MCU_PLUS_SDK_AM263X,searchquery=taxonomy:'C and C++' build:Build_Apr_13_2023_11_11_AM grouping:off ","KW Issue Link")</f>
        <v>KW Issue Link</v>
      </c>
      <c r="O783" s="1" t="s">
        <v>1083</v>
      </c>
    </row>
    <row r="784" spans="1:15" ht="60" x14ac:dyDescent="0.25">
      <c r="A784" s="1" t="s">
        <v>155</v>
      </c>
      <c r="B784" s="1"/>
      <c r="C784" s="1" t="s">
        <v>1201</v>
      </c>
      <c r="D784" s="1">
        <v>118221</v>
      </c>
      <c r="E784" s="1">
        <v>660</v>
      </c>
      <c r="F784" s="1" t="s">
        <v>156</v>
      </c>
      <c r="G784" s="1" t="s">
        <v>1209</v>
      </c>
      <c r="H784" s="1" t="s">
        <v>141</v>
      </c>
      <c r="I784" s="1" t="s">
        <v>65</v>
      </c>
      <c r="J784" s="1">
        <v>3</v>
      </c>
      <c r="K784" s="1" t="s">
        <v>142</v>
      </c>
      <c r="L784" s="1" t="s">
        <v>153</v>
      </c>
      <c r="M784" s="1" t="s">
        <v>28</v>
      </c>
      <c r="N784" s="1" t="str">
        <f>HYPERLINK("https://klocwork.india.ti.com:443/review/insight-review.html#issuedetails_goto:problemid=118221,project=MCU_PLUS_SDK_AM263X,searchquery=taxonomy:'C and C++' build:Build_Apr_13_2023_11_11_AM grouping:off ","KW Issue Link")</f>
        <v>KW Issue Link</v>
      </c>
      <c r="O784" s="1" t="s">
        <v>1083</v>
      </c>
    </row>
    <row r="785" spans="1:15" ht="60" x14ac:dyDescent="0.25">
      <c r="A785" s="1" t="s">
        <v>155</v>
      </c>
      <c r="B785" s="1"/>
      <c r="C785" s="1" t="s">
        <v>1201</v>
      </c>
      <c r="D785" s="1">
        <v>118222</v>
      </c>
      <c r="E785" s="1">
        <v>780</v>
      </c>
      <c r="F785" s="1" t="s">
        <v>156</v>
      </c>
      <c r="G785" s="1" t="s">
        <v>1210</v>
      </c>
      <c r="H785" s="1" t="s">
        <v>141</v>
      </c>
      <c r="I785" s="1" t="s">
        <v>65</v>
      </c>
      <c r="J785" s="1">
        <v>3</v>
      </c>
      <c r="K785" s="1" t="s">
        <v>142</v>
      </c>
      <c r="L785" s="1" t="s">
        <v>153</v>
      </c>
      <c r="M785" s="1" t="s">
        <v>28</v>
      </c>
      <c r="N785" s="1" t="str">
        <f>HYPERLINK("https://klocwork.india.ti.com:443/review/insight-review.html#issuedetails_goto:problemid=118222,project=MCU_PLUS_SDK_AM263X,searchquery=taxonomy:'C and C++' build:Build_Apr_13_2023_11_11_AM grouping:off ","KW Issue Link")</f>
        <v>KW Issue Link</v>
      </c>
      <c r="O785" s="1" t="s">
        <v>1083</v>
      </c>
    </row>
    <row r="786" spans="1:15" ht="60" x14ac:dyDescent="0.25">
      <c r="A786" s="1" t="s">
        <v>155</v>
      </c>
      <c r="B786" s="1"/>
      <c r="C786" s="1" t="s">
        <v>1201</v>
      </c>
      <c r="D786" s="1">
        <v>118223</v>
      </c>
      <c r="E786" s="1">
        <v>905</v>
      </c>
      <c r="F786" s="1" t="s">
        <v>156</v>
      </c>
      <c r="G786" s="1" t="s">
        <v>1204</v>
      </c>
      <c r="H786" s="1" t="s">
        <v>141</v>
      </c>
      <c r="I786" s="1" t="s">
        <v>65</v>
      </c>
      <c r="J786" s="1">
        <v>3</v>
      </c>
      <c r="K786" s="1" t="s">
        <v>142</v>
      </c>
      <c r="L786" s="1" t="s">
        <v>153</v>
      </c>
      <c r="M786" s="1" t="s">
        <v>28</v>
      </c>
      <c r="N786" s="1" t="str">
        <f>HYPERLINK("https://klocwork.india.ti.com:443/review/insight-review.html#issuedetails_goto:problemid=118223,project=MCU_PLUS_SDK_AM263X,searchquery=taxonomy:'C and C++' build:Build_Apr_13_2023_11_11_AM grouping:off ","KW Issue Link")</f>
        <v>KW Issue Link</v>
      </c>
      <c r="O786" s="1" t="s">
        <v>1083</v>
      </c>
    </row>
    <row r="787" spans="1:15" ht="60" x14ac:dyDescent="0.25">
      <c r="A787" s="1" t="s">
        <v>155</v>
      </c>
      <c r="B787" s="1"/>
      <c r="C787" s="1" t="s">
        <v>1201</v>
      </c>
      <c r="D787" s="1">
        <v>118224</v>
      </c>
      <c r="E787" s="1">
        <v>940</v>
      </c>
      <c r="F787" s="1" t="s">
        <v>156</v>
      </c>
      <c r="G787" s="1" t="s">
        <v>1204</v>
      </c>
      <c r="H787" s="1" t="s">
        <v>141</v>
      </c>
      <c r="I787" s="1" t="s">
        <v>65</v>
      </c>
      <c r="J787" s="1">
        <v>3</v>
      </c>
      <c r="K787" s="1" t="s">
        <v>142</v>
      </c>
      <c r="L787" s="1" t="s">
        <v>153</v>
      </c>
      <c r="M787" s="1" t="s">
        <v>28</v>
      </c>
      <c r="N787" s="1" t="str">
        <f>HYPERLINK("https://klocwork.india.ti.com:443/review/insight-review.html#issuedetails_goto:problemid=118224,project=MCU_PLUS_SDK_AM263X,searchquery=taxonomy:'C and C++' build:Build_Apr_13_2023_11_11_AM grouping:off ","KW Issue Link")</f>
        <v>KW Issue Link</v>
      </c>
      <c r="O787" s="1" t="s">
        <v>1083</v>
      </c>
    </row>
    <row r="788" spans="1:15" ht="60" x14ac:dyDescent="0.25">
      <c r="A788" s="1" t="s">
        <v>155</v>
      </c>
      <c r="B788" s="1"/>
      <c r="C788" s="1" t="s">
        <v>1201</v>
      </c>
      <c r="D788" s="1">
        <v>118225</v>
      </c>
      <c r="E788" s="1">
        <v>969</v>
      </c>
      <c r="F788" s="1" t="s">
        <v>156</v>
      </c>
      <c r="G788" s="1" t="s">
        <v>1204</v>
      </c>
      <c r="H788" s="1" t="s">
        <v>141</v>
      </c>
      <c r="I788" s="1" t="s">
        <v>65</v>
      </c>
      <c r="J788" s="1">
        <v>3</v>
      </c>
      <c r="K788" s="1" t="s">
        <v>142</v>
      </c>
      <c r="L788" s="1" t="s">
        <v>153</v>
      </c>
      <c r="M788" s="1" t="s">
        <v>28</v>
      </c>
      <c r="N788" s="1" t="str">
        <f>HYPERLINK("https://klocwork.india.ti.com:443/review/insight-review.html#issuedetails_goto:problemid=118225,project=MCU_PLUS_SDK_AM263X,searchquery=taxonomy:'C and C++' build:Build_Apr_13_2023_11_11_AM grouping:off ","KW Issue Link")</f>
        <v>KW Issue Link</v>
      </c>
      <c r="O788" s="1" t="s">
        <v>1083</v>
      </c>
    </row>
    <row r="789" spans="1:15" ht="75" x14ac:dyDescent="0.25">
      <c r="A789" s="1" t="s">
        <v>157</v>
      </c>
      <c r="B789" s="1"/>
      <c r="C789" s="1" t="s">
        <v>1201</v>
      </c>
      <c r="D789" s="1">
        <v>118235</v>
      </c>
      <c r="E789" s="1">
        <v>771</v>
      </c>
      <c r="F789" s="1" t="s">
        <v>1212</v>
      </c>
      <c r="G789" s="1" t="s">
        <v>1210</v>
      </c>
      <c r="H789" s="1" t="s">
        <v>141</v>
      </c>
      <c r="I789" s="1" t="s">
        <v>65</v>
      </c>
      <c r="J789" s="1">
        <v>3</v>
      </c>
      <c r="K789" s="1" t="s">
        <v>142</v>
      </c>
      <c r="L789" s="1" t="s">
        <v>153</v>
      </c>
      <c r="M789" s="1" t="s">
        <v>28</v>
      </c>
      <c r="N789" s="1" t="str">
        <f>HYPERLINK("https://klocwork.india.ti.com:443/review/insight-review.html#issuedetails_goto:problemid=118235,project=MCU_PLUS_SDK_AM263X,searchquery=taxonomy:'C and C++' build:Build_Apr_13_2023_11_11_AM grouping:off ","KW Issue Link")</f>
        <v>KW Issue Link</v>
      </c>
      <c r="O789" s="1" t="s">
        <v>1083</v>
      </c>
    </row>
    <row r="790" spans="1:15" ht="75" x14ac:dyDescent="0.25">
      <c r="A790" s="1" t="s">
        <v>157</v>
      </c>
      <c r="B790" s="1"/>
      <c r="C790" s="1" t="s">
        <v>1201</v>
      </c>
      <c r="D790" s="1">
        <v>118236</v>
      </c>
      <c r="E790" s="1">
        <v>771</v>
      </c>
      <c r="F790" s="1" t="s">
        <v>1213</v>
      </c>
      <c r="G790" s="1" t="s">
        <v>1210</v>
      </c>
      <c r="H790" s="1" t="s">
        <v>141</v>
      </c>
      <c r="I790" s="1" t="s">
        <v>65</v>
      </c>
      <c r="J790" s="1">
        <v>3</v>
      </c>
      <c r="K790" s="1" t="s">
        <v>142</v>
      </c>
      <c r="L790" s="1" t="s">
        <v>153</v>
      </c>
      <c r="M790" s="1" t="s">
        <v>28</v>
      </c>
      <c r="N790" s="1" t="str">
        <f>HYPERLINK("https://klocwork.india.ti.com:443/review/insight-review.html#issuedetails_goto:problemid=118236,project=MCU_PLUS_SDK_AM263X,searchquery=taxonomy:'C and C++' build:Build_Apr_13_2023_11_11_AM grouping:off ","KW Issue Link")</f>
        <v>KW Issue Link</v>
      </c>
      <c r="O790" s="1" t="s">
        <v>1083</v>
      </c>
    </row>
    <row r="791" spans="1:15" ht="75" x14ac:dyDescent="0.25">
      <c r="A791" s="1" t="s">
        <v>157</v>
      </c>
      <c r="B791" s="1"/>
      <c r="C791" s="1" t="s">
        <v>1201</v>
      </c>
      <c r="D791" s="1">
        <v>118237</v>
      </c>
      <c r="E791" s="1">
        <v>942</v>
      </c>
      <c r="F791" s="1" t="s">
        <v>1214</v>
      </c>
      <c r="G791" s="1" t="s">
        <v>1204</v>
      </c>
      <c r="H791" s="1" t="s">
        <v>141</v>
      </c>
      <c r="I791" s="1" t="s">
        <v>65</v>
      </c>
      <c r="J791" s="1">
        <v>3</v>
      </c>
      <c r="K791" s="1" t="s">
        <v>142</v>
      </c>
      <c r="L791" s="1" t="s">
        <v>153</v>
      </c>
      <c r="M791" s="1" t="s">
        <v>28</v>
      </c>
      <c r="N791" s="1" t="str">
        <f>HYPERLINK("https://klocwork.india.ti.com:443/review/insight-review.html#issuedetails_goto:problemid=118237,project=MCU_PLUS_SDK_AM263X,searchquery=taxonomy:'C and C++' build:Build_Apr_13_2023_11_11_AM grouping:off ","KW Issue Link")</f>
        <v>KW Issue Link</v>
      </c>
      <c r="O791" s="1" t="s">
        <v>1083</v>
      </c>
    </row>
    <row r="792" spans="1:15" ht="90" x14ac:dyDescent="0.25">
      <c r="A792" s="1" t="s">
        <v>149</v>
      </c>
      <c r="B792" s="1"/>
      <c r="C792" s="1" t="s">
        <v>722</v>
      </c>
      <c r="D792" s="1">
        <v>118537</v>
      </c>
      <c r="E792" s="1">
        <v>660</v>
      </c>
      <c r="F792" s="1" t="s">
        <v>1215</v>
      </c>
      <c r="G792" s="1" t="s">
        <v>744</v>
      </c>
      <c r="H792" s="1" t="s">
        <v>141</v>
      </c>
      <c r="I792" s="1" t="s">
        <v>65</v>
      </c>
      <c r="J792" s="1">
        <v>3</v>
      </c>
      <c r="K792" s="1" t="s">
        <v>142</v>
      </c>
      <c r="L792" s="1" t="s">
        <v>153</v>
      </c>
      <c r="M792" s="1" t="s">
        <v>28</v>
      </c>
      <c r="N792" s="1" t="str">
        <f>HYPERLINK("https://klocwork.india.ti.com:443/review/insight-review.html#issuedetails_goto:problemid=118537,project=MCU_PLUS_SDK_AM263X,searchquery=taxonomy:'C and C++' build:Build_Apr_13_2023_11_11_AM grouping:off ","KW Issue Link")</f>
        <v>KW Issue Link</v>
      </c>
      <c r="O792" s="1" t="s">
        <v>291</v>
      </c>
    </row>
    <row r="793" spans="1:15" ht="75" x14ac:dyDescent="0.25">
      <c r="A793" s="1" t="s">
        <v>149</v>
      </c>
      <c r="B793" s="1"/>
      <c r="C793" s="1" t="s">
        <v>762</v>
      </c>
      <c r="D793" s="1">
        <v>118538</v>
      </c>
      <c r="E793" s="1">
        <v>291</v>
      </c>
      <c r="F793" s="1" t="s">
        <v>1216</v>
      </c>
      <c r="G793" s="1" t="s">
        <v>782</v>
      </c>
      <c r="H793" s="1" t="s">
        <v>141</v>
      </c>
      <c r="I793" s="1" t="s">
        <v>65</v>
      </c>
      <c r="J793" s="1">
        <v>3</v>
      </c>
      <c r="K793" s="1" t="s">
        <v>142</v>
      </c>
      <c r="L793" s="1" t="s">
        <v>153</v>
      </c>
      <c r="M793" s="1" t="s">
        <v>28</v>
      </c>
      <c r="N793" s="1" t="str">
        <f>HYPERLINK("https://klocwork.india.ti.com:443/review/insight-review.html#issuedetails_goto:problemid=118538,project=MCU_PLUS_SDK_AM263X,searchquery=taxonomy:'C and C++' build:Build_Apr_13_2023_11_11_AM grouping:off ","KW Issue Link")</f>
        <v>KW Issue Link</v>
      </c>
      <c r="O793" s="1" t="s">
        <v>765</v>
      </c>
    </row>
    <row r="794" spans="1:15" ht="75" x14ac:dyDescent="0.25">
      <c r="A794" s="1" t="s">
        <v>145</v>
      </c>
      <c r="B794" s="1"/>
      <c r="C794" s="1" t="s">
        <v>1217</v>
      </c>
      <c r="D794" s="1">
        <v>118539</v>
      </c>
      <c r="E794" s="1">
        <v>61</v>
      </c>
      <c r="F794" s="1" t="s">
        <v>147</v>
      </c>
      <c r="G794" s="1" t="s">
        <v>1218</v>
      </c>
      <c r="H794" s="1" t="s">
        <v>141</v>
      </c>
      <c r="I794" s="1" t="s">
        <v>64</v>
      </c>
      <c r="J794" s="1">
        <v>2</v>
      </c>
      <c r="K794" s="1" t="s">
        <v>142</v>
      </c>
      <c r="L794" s="1" t="s">
        <v>153</v>
      </c>
      <c r="M794" s="1" t="s">
        <v>28</v>
      </c>
      <c r="N794" s="1" t="str">
        <f>HYPERLINK("https://klocwork.india.ti.com:443/review/insight-review.html#issuedetails_goto:problemid=118539,project=MCU_PLUS_SDK_AM263X,searchquery=taxonomy:'C and C++' build:Build_Apr_13_2023_11_11_AM grouping:off ","KW Issue Link")</f>
        <v>KW Issue Link</v>
      </c>
      <c r="O794" s="1" t="s">
        <v>353</v>
      </c>
    </row>
    <row r="795" spans="1:15" ht="90" x14ac:dyDescent="0.25">
      <c r="A795" s="1" t="s">
        <v>149</v>
      </c>
      <c r="B795" s="1"/>
      <c r="C795" s="1" t="s">
        <v>397</v>
      </c>
      <c r="D795" s="1">
        <v>118557</v>
      </c>
      <c r="E795" s="1">
        <v>247</v>
      </c>
      <c r="F795" s="1" t="s">
        <v>1219</v>
      </c>
      <c r="G795" s="1" t="s">
        <v>1220</v>
      </c>
      <c r="H795" s="1" t="s">
        <v>141</v>
      </c>
      <c r="I795" s="1" t="s">
        <v>65</v>
      </c>
      <c r="J795" s="1">
        <v>3</v>
      </c>
      <c r="K795" s="1" t="s">
        <v>142</v>
      </c>
      <c r="L795" s="1" t="s">
        <v>153</v>
      </c>
      <c r="M795" s="1" t="s">
        <v>28</v>
      </c>
      <c r="N795" s="1" t="str">
        <f>HYPERLINK("https://klocwork.india.ti.com:443/review/insight-review.html#issuedetails_goto:problemid=118557,project=MCU_PLUS_SDK_AM263X,searchquery=taxonomy:'C and C++' build:Build_Apr_13_2023_11_11_AM grouping:off ","KW Issue Link")</f>
        <v>KW Issue Link</v>
      </c>
      <c r="O795" s="1" t="s">
        <v>356</v>
      </c>
    </row>
    <row r="796" spans="1:15" ht="60" x14ac:dyDescent="0.25">
      <c r="A796" s="1" t="s">
        <v>155</v>
      </c>
      <c r="B796" s="1"/>
      <c r="C796" s="1" t="s">
        <v>397</v>
      </c>
      <c r="D796" s="1">
        <v>118558</v>
      </c>
      <c r="E796" s="1">
        <v>269</v>
      </c>
      <c r="F796" s="1" t="s">
        <v>156</v>
      </c>
      <c r="G796" s="1" t="s">
        <v>1220</v>
      </c>
      <c r="H796" s="1" t="s">
        <v>141</v>
      </c>
      <c r="I796" s="1" t="s">
        <v>65</v>
      </c>
      <c r="J796" s="1">
        <v>3</v>
      </c>
      <c r="K796" s="1" t="s">
        <v>142</v>
      </c>
      <c r="L796" s="1" t="s">
        <v>153</v>
      </c>
      <c r="M796" s="1" t="s">
        <v>28</v>
      </c>
      <c r="N796" s="1" t="str">
        <f>HYPERLINK("https://klocwork.india.ti.com:443/review/insight-review.html#issuedetails_goto:problemid=118558,project=MCU_PLUS_SDK_AM263X,searchquery=taxonomy:'C and C++' build:Build_Apr_13_2023_11_11_AM grouping:off ","KW Issue Link")</f>
        <v>KW Issue Link</v>
      </c>
      <c r="O796" s="1" t="s">
        <v>356</v>
      </c>
    </row>
    <row r="797" spans="1:15" ht="60" x14ac:dyDescent="0.25">
      <c r="A797" s="1" t="s">
        <v>157</v>
      </c>
      <c r="B797" s="1"/>
      <c r="C797" s="1" t="s">
        <v>508</v>
      </c>
      <c r="D797" s="1">
        <v>118609</v>
      </c>
      <c r="E797" s="1">
        <v>354</v>
      </c>
      <c r="F797" s="1" t="s">
        <v>1221</v>
      </c>
      <c r="G797" s="1" t="s">
        <v>1222</v>
      </c>
      <c r="H797" s="1" t="s">
        <v>141</v>
      </c>
      <c r="I797" s="1" t="s">
        <v>65</v>
      </c>
      <c r="J797" s="1">
        <v>3</v>
      </c>
      <c r="K797" s="1" t="s">
        <v>142</v>
      </c>
      <c r="L797" s="1" t="s">
        <v>153</v>
      </c>
      <c r="M797" s="1" t="s">
        <v>28</v>
      </c>
      <c r="N797" s="1" t="str">
        <f>HYPERLINK("https://klocwork.india.ti.com:443/review/insight-review.html#issuedetails_goto:problemid=118609,project=MCU_PLUS_SDK_AM263X,searchquery=taxonomy:'C and C++' build:Build_Apr_13_2023_11_11_AM grouping:off ","KW Issue Link")</f>
        <v>KW Issue Link</v>
      </c>
      <c r="O797" s="1" t="s">
        <v>356</v>
      </c>
    </row>
    <row r="798" spans="1:15" ht="90" x14ac:dyDescent="0.25">
      <c r="A798" s="1" t="s">
        <v>149</v>
      </c>
      <c r="B798" s="1"/>
      <c r="C798" s="1" t="s">
        <v>508</v>
      </c>
      <c r="D798" s="1">
        <v>118616</v>
      </c>
      <c r="E798" s="1">
        <v>995</v>
      </c>
      <c r="F798" s="1" t="s">
        <v>417</v>
      </c>
      <c r="G798" s="1" t="s">
        <v>1223</v>
      </c>
      <c r="H798" s="1" t="s">
        <v>141</v>
      </c>
      <c r="I798" s="1" t="s">
        <v>65</v>
      </c>
      <c r="J798" s="1">
        <v>3</v>
      </c>
      <c r="K798" s="1" t="s">
        <v>142</v>
      </c>
      <c r="L798" s="1" t="s">
        <v>153</v>
      </c>
      <c r="M798" s="1" t="s">
        <v>28</v>
      </c>
      <c r="N798" s="1" t="str">
        <f>HYPERLINK("https://klocwork.india.ti.com:443/review/insight-review.html#issuedetails_goto:problemid=118616,project=MCU_PLUS_SDK_AM263X,searchquery=taxonomy:'C and C++' build:Build_Apr_13_2023_11_11_AM grouping:off ","KW Issue Link")</f>
        <v>KW Issue Link</v>
      </c>
      <c r="O798" s="1" t="s">
        <v>356</v>
      </c>
    </row>
    <row r="799" spans="1:15" ht="60" x14ac:dyDescent="0.25">
      <c r="A799" s="1" t="s">
        <v>155</v>
      </c>
      <c r="B799" s="1"/>
      <c r="C799" s="1" t="s">
        <v>508</v>
      </c>
      <c r="D799" s="1">
        <v>118619</v>
      </c>
      <c r="E799" s="1">
        <v>791</v>
      </c>
      <c r="F799" s="1" t="s">
        <v>156</v>
      </c>
      <c r="G799" s="1" t="s">
        <v>512</v>
      </c>
      <c r="H799" s="1" t="s">
        <v>141</v>
      </c>
      <c r="I799" s="1" t="s">
        <v>65</v>
      </c>
      <c r="J799" s="1">
        <v>3</v>
      </c>
      <c r="K799" s="1" t="s">
        <v>142</v>
      </c>
      <c r="L799" s="1" t="s">
        <v>153</v>
      </c>
      <c r="M799" s="1" t="s">
        <v>28</v>
      </c>
      <c r="N799" s="1" t="str">
        <f>HYPERLINK("https://klocwork.india.ti.com:443/review/insight-review.html#issuedetails_goto:problemid=118619,project=MCU_PLUS_SDK_AM263X,searchquery=taxonomy:'C and C++' build:Build_Apr_13_2023_11_11_AM grouping:off ","KW Issue Link")</f>
        <v>KW Issue Link</v>
      </c>
      <c r="O799" s="1" t="s">
        <v>356</v>
      </c>
    </row>
    <row r="800" spans="1:15" ht="60" x14ac:dyDescent="0.25">
      <c r="A800" s="1" t="s">
        <v>155</v>
      </c>
      <c r="B800" s="1"/>
      <c r="C800" s="1" t="s">
        <v>508</v>
      </c>
      <c r="D800" s="1">
        <v>118620</v>
      </c>
      <c r="E800" s="1">
        <v>997</v>
      </c>
      <c r="F800" s="1" t="s">
        <v>156</v>
      </c>
      <c r="G800" s="1" t="s">
        <v>1223</v>
      </c>
      <c r="H800" s="1" t="s">
        <v>141</v>
      </c>
      <c r="I800" s="1" t="s">
        <v>65</v>
      </c>
      <c r="J800" s="1">
        <v>3</v>
      </c>
      <c r="K800" s="1" t="s">
        <v>142</v>
      </c>
      <c r="L800" s="1" t="s">
        <v>153</v>
      </c>
      <c r="M800" s="1" t="s">
        <v>28</v>
      </c>
      <c r="N800" s="1" t="str">
        <f>HYPERLINK("https://klocwork.india.ti.com:443/review/insight-review.html#issuedetails_goto:problemid=118620,project=MCU_PLUS_SDK_AM263X,searchquery=taxonomy:'C and C++' build:Build_Apr_13_2023_11_11_AM grouping:off ","KW Issue Link")</f>
        <v>KW Issue Link</v>
      </c>
      <c r="O800" s="1" t="s">
        <v>356</v>
      </c>
    </row>
    <row r="801" spans="1:15" ht="60" x14ac:dyDescent="0.25">
      <c r="A801" s="1" t="s">
        <v>136</v>
      </c>
      <c r="B801" s="1"/>
      <c r="C801" s="1" t="s">
        <v>508</v>
      </c>
      <c r="D801" s="1">
        <v>118645</v>
      </c>
      <c r="E801" s="1">
        <v>988</v>
      </c>
      <c r="F801" s="1" t="s">
        <v>1224</v>
      </c>
      <c r="G801" s="1" t="s">
        <v>1223</v>
      </c>
      <c r="H801" s="1" t="s">
        <v>141</v>
      </c>
      <c r="I801" s="1" t="s">
        <v>66</v>
      </c>
      <c r="J801" s="1">
        <v>4</v>
      </c>
      <c r="K801" s="1" t="s">
        <v>142</v>
      </c>
      <c r="L801" s="1" t="s">
        <v>153</v>
      </c>
      <c r="M801" s="1" t="s">
        <v>28</v>
      </c>
      <c r="N801" s="1" t="str">
        <f>HYPERLINK("https://klocwork.india.ti.com:443/review/insight-review.html#issuedetails_goto:problemid=118645,project=MCU_PLUS_SDK_AM263X,searchquery=taxonomy:'C and C++' build:Build_Apr_13_2023_11_11_AM grouping:off ","KW Issue Link")</f>
        <v>KW Issue Link</v>
      </c>
      <c r="O801" s="1" t="s">
        <v>356</v>
      </c>
    </row>
    <row r="802" spans="1:15" ht="75" x14ac:dyDescent="0.25">
      <c r="A802" s="1" t="s">
        <v>298</v>
      </c>
      <c r="B802" s="1" t="s">
        <v>1166</v>
      </c>
      <c r="C802" s="1" t="s">
        <v>1225</v>
      </c>
      <c r="D802" s="1">
        <v>118822</v>
      </c>
      <c r="E802" s="1">
        <v>302</v>
      </c>
      <c r="F802" s="1" t="s">
        <v>1226</v>
      </c>
      <c r="G802" s="1" t="s">
        <v>1227</v>
      </c>
      <c r="H802" s="1" t="s">
        <v>1168</v>
      </c>
      <c r="I802" s="1" t="s">
        <v>63</v>
      </c>
      <c r="J802" s="1">
        <v>1</v>
      </c>
      <c r="K802" s="1" t="s">
        <v>142</v>
      </c>
      <c r="L802" s="1" t="s">
        <v>177</v>
      </c>
      <c r="M802" s="1" t="s">
        <v>28</v>
      </c>
      <c r="N802" s="1" t="str">
        <f>HYPERLINK("https://klocwork.india.ti.com:443/review/insight-review.html#issuedetails_goto:problemid=118822,project=MCU_PLUS_SDK_AM263X,searchquery=taxonomy:'C and C++' build:Build_Apr_13_2023_11_11_AM grouping:off ","KW Issue Link")</f>
        <v>KW Issue Link</v>
      </c>
      <c r="O802" s="1" t="s">
        <v>353</v>
      </c>
    </row>
    <row r="803" spans="1:15" ht="75" x14ac:dyDescent="0.25">
      <c r="A803" s="1" t="s">
        <v>298</v>
      </c>
      <c r="B803" s="1" t="s">
        <v>1166</v>
      </c>
      <c r="C803" s="1" t="s">
        <v>1225</v>
      </c>
      <c r="D803" s="1">
        <v>118823</v>
      </c>
      <c r="E803" s="1">
        <v>370</v>
      </c>
      <c r="F803" s="1" t="s">
        <v>1228</v>
      </c>
      <c r="G803" s="1" t="s">
        <v>1229</v>
      </c>
      <c r="H803" s="1" t="s">
        <v>1168</v>
      </c>
      <c r="I803" s="1" t="s">
        <v>63</v>
      </c>
      <c r="J803" s="1">
        <v>1</v>
      </c>
      <c r="K803" s="1" t="s">
        <v>142</v>
      </c>
      <c r="L803" s="1" t="s">
        <v>177</v>
      </c>
      <c r="M803" s="1" t="s">
        <v>28</v>
      </c>
      <c r="N803" s="1" t="str">
        <f>HYPERLINK("https://klocwork.india.ti.com:443/review/insight-review.html#issuedetails_goto:problemid=118823,project=MCU_PLUS_SDK_AM263X,searchquery=taxonomy:'C and C++' build:Build_Apr_13_2023_11_11_AM grouping:off ","KW Issue Link")</f>
        <v>KW Issue Link</v>
      </c>
      <c r="O803" s="1" t="s">
        <v>353</v>
      </c>
    </row>
    <row r="804" spans="1:15" ht="105" x14ac:dyDescent="0.25">
      <c r="A804" s="1" t="s">
        <v>190</v>
      </c>
      <c r="B804" s="1" t="s">
        <v>1166</v>
      </c>
      <c r="C804" s="1" t="s">
        <v>1225</v>
      </c>
      <c r="D804" s="1">
        <v>118835</v>
      </c>
      <c r="E804" s="1">
        <v>370</v>
      </c>
      <c r="F804" s="1" t="s">
        <v>1230</v>
      </c>
      <c r="G804" s="1" t="s">
        <v>1229</v>
      </c>
      <c r="H804" s="1" t="s">
        <v>1168</v>
      </c>
      <c r="I804" s="1" t="s">
        <v>63</v>
      </c>
      <c r="J804" s="1">
        <v>1</v>
      </c>
      <c r="K804" s="1" t="s">
        <v>142</v>
      </c>
      <c r="L804" s="1" t="s">
        <v>177</v>
      </c>
      <c r="M804" s="1" t="s">
        <v>28</v>
      </c>
      <c r="N804" s="1" t="str">
        <f>HYPERLINK("https://klocwork.india.ti.com:443/review/insight-review.html#issuedetails_goto:problemid=118835,project=MCU_PLUS_SDK_AM263X,searchquery=taxonomy:'C and C++' build:Build_Apr_13_2023_11_11_AM grouping:off ","KW Issue Link")</f>
        <v>KW Issue Link</v>
      </c>
      <c r="O804" s="1" t="s">
        <v>353</v>
      </c>
    </row>
    <row r="805" spans="1:15" ht="60" x14ac:dyDescent="0.25">
      <c r="A805" s="1" t="s">
        <v>155</v>
      </c>
      <c r="B805" s="1" t="s">
        <v>207</v>
      </c>
      <c r="C805" s="1" t="s">
        <v>1231</v>
      </c>
      <c r="D805" s="1">
        <v>118894</v>
      </c>
      <c r="E805" s="1">
        <v>114</v>
      </c>
      <c r="F805" s="1" t="s">
        <v>156</v>
      </c>
      <c r="G805" s="1" t="s">
        <v>1232</v>
      </c>
      <c r="H805" s="1" t="s">
        <v>141</v>
      </c>
      <c r="I805" s="1" t="s">
        <v>65</v>
      </c>
      <c r="J805" s="1">
        <v>3</v>
      </c>
      <c r="K805" s="1" t="s">
        <v>142</v>
      </c>
      <c r="L805" s="1" t="s">
        <v>143</v>
      </c>
      <c r="M805" s="1" t="s">
        <v>28</v>
      </c>
      <c r="N805" s="1" t="str">
        <f>HYPERLINK("https://klocwork.india.ti.com:443/review/insight-review.html#issuedetails_goto:problemid=118894,project=MCU_PLUS_SDK_AM263X,searchquery=taxonomy:'C and C++' build:Build_Apr_13_2023_11_11_AM grouping:off ","KW Issue Link")</f>
        <v>KW Issue Link</v>
      </c>
      <c r="O805" s="1" t="s">
        <v>144</v>
      </c>
    </row>
    <row r="806" spans="1:15" ht="60" x14ac:dyDescent="0.25">
      <c r="A806" s="1" t="s">
        <v>157</v>
      </c>
      <c r="B806" s="1"/>
      <c r="C806" s="1" t="s">
        <v>1233</v>
      </c>
      <c r="D806" s="1">
        <v>119094</v>
      </c>
      <c r="E806" s="1">
        <v>481</v>
      </c>
      <c r="F806" s="1" t="s">
        <v>209</v>
      </c>
      <c r="G806" s="1" t="s">
        <v>1234</v>
      </c>
      <c r="H806" s="1" t="s">
        <v>141</v>
      </c>
      <c r="I806" s="1" t="s">
        <v>65</v>
      </c>
      <c r="J806" s="1">
        <v>3</v>
      </c>
      <c r="K806" s="1" t="s">
        <v>142</v>
      </c>
      <c r="L806" s="1" t="s">
        <v>153</v>
      </c>
      <c r="M806" s="1" t="s">
        <v>28</v>
      </c>
      <c r="N806" s="1" t="str">
        <f>HYPERLINK("https://klocwork.india.ti.com:443/review/insight-review.html#issuedetails_goto:problemid=119094,project=MCU_PLUS_SDK_AM263X,searchquery=taxonomy:'C and C++' build:Build_Apr_13_2023_11_11_AM grouping:off ","KW Issue Link")</f>
        <v>KW Issue Link</v>
      </c>
      <c r="O806" s="1" t="s">
        <v>1235</v>
      </c>
    </row>
    <row r="807" spans="1:15" ht="60" x14ac:dyDescent="0.25">
      <c r="A807" s="1" t="s">
        <v>157</v>
      </c>
      <c r="B807" s="1"/>
      <c r="C807" s="1" t="s">
        <v>1233</v>
      </c>
      <c r="D807" s="1">
        <v>119095</v>
      </c>
      <c r="E807" s="1">
        <v>660</v>
      </c>
      <c r="F807" s="1" t="s">
        <v>209</v>
      </c>
      <c r="G807" s="1" t="s">
        <v>1236</v>
      </c>
      <c r="H807" s="1" t="s">
        <v>141</v>
      </c>
      <c r="I807" s="1" t="s">
        <v>65</v>
      </c>
      <c r="J807" s="1">
        <v>3</v>
      </c>
      <c r="K807" s="1" t="s">
        <v>142</v>
      </c>
      <c r="L807" s="1" t="s">
        <v>153</v>
      </c>
      <c r="M807" s="1" t="s">
        <v>28</v>
      </c>
      <c r="N807" s="1" t="str">
        <f>HYPERLINK("https://klocwork.india.ti.com:443/review/insight-review.html#issuedetails_goto:problemid=119095,project=MCU_PLUS_SDK_AM263X,searchquery=taxonomy:'C and C++' build:Build_Apr_13_2023_11_11_AM grouping:off ","KW Issue Link")</f>
        <v>KW Issue Link</v>
      </c>
      <c r="O807" s="1" t="s">
        <v>1235</v>
      </c>
    </row>
    <row r="808" spans="1:15" ht="60" x14ac:dyDescent="0.25">
      <c r="A808" s="1" t="s">
        <v>157</v>
      </c>
      <c r="B808" s="1"/>
      <c r="C808" s="1" t="s">
        <v>1233</v>
      </c>
      <c r="D808" s="1">
        <v>119096</v>
      </c>
      <c r="E808" s="1">
        <v>832</v>
      </c>
      <c r="F808" s="1" t="s">
        <v>209</v>
      </c>
      <c r="G808" s="1" t="s">
        <v>1237</v>
      </c>
      <c r="H808" s="1" t="s">
        <v>141</v>
      </c>
      <c r="I808" s="1" t="s">
        <v>65</v>
      </c>
      <c r="J808" s="1">
        <v>3</v>
      </c>
      <c r="K808" s="1" t="s">
        <v>142</v>
      </c>
      <c r="L808" s="1" t="s">
        <v>153</v>
      </c>
      <c r="M808" s="1" t="s">
        <v>28</v>
      </c>
      <c r="N808" s="1" t="str">
        <f>HYPERLINK("https://klocwork.india.ti.com:443/review/insight-review.html#issuedetails_goto:problemid=119096,project=MCU_PLUS_SDK_AM263X,searchquery=taxonomy:'C and C++' build:Build_Apr_13_2023_11_11_AM grouping:off ","KW Issue Link")</f>
        <v>KW Issue Link</v>
      </c>
      <c r="O808" s="1" t="s">
        <v>1235</v>
      </c>
    </row>
    <row r="809" spans="1:15" ht="60" x14ac:dyDescent="0.25">
      <c r="A809" s="1" t="s">
        <v>157</v>
      </c>
      <c r="B809" s="1"/>
      <c r="C809" s="1" t="s">
        <v>1233</v>
      </c>
      <c r="D809" s="1">
        <v>119097</v>
      </c>
      <c r="E809" s="1">
        <v>837</v>
      </c>
      <c r="F809" s="1" t="s">
        <v>209</v>
      </c>
      <c r="G809" s="1" t="s">
        <v>1237</v>
      </c>
      <c r="H809" s="1" t="s">
        <v>141</v>
      </c>
      <c r="I809" s="1" t="s">
        <v>65</v>
      </c>
      <c r="J809" s="1">
        <v>3</v>
      </c>
      <c r="K809" s="1" t="s">
        <v>142</v>
      </c>
      <c r="L809" s="1" t="s">
        <v>153</v>
      </c>
      <c r="M809" s="1" t="s">
        <v>28</v>
      </c>
      <c r="N809" s="1" t="str">
        <f>HYPERLINK("https://klocwork.india.ti.com:443/review/insight-review.html#issuedetails_goto:problemid=119097,project=MCU_PLUS_SDK_AM263X,searchquery=taxonomy:'C and C++' build:Build_Apr_13_2023_11_11_AM grouping:off ","KW Issue Link")</f>
        <v>KW Issue Link</v>
      </c>
      <c r="O809" s="1" t="s">
        <v>1235</v>
      </c>
    </row>
    <row r="810" spans="1:15" ht="60" x14ac:dyDescent="0.25">
      <c r="A810" s="1" t="s">
        <v>157</v>
      </c>
      <c r="B810" s="1"/>
      <c r="C810" s="1" t="s">
        <v>1233</v>
      </c>
      <c r="D810" s="1">
        <v>119098</v>
      </c>
      <c r="E810" s="1">
        <v>873</v>
      </c>
      <c r="F810" s="1" t="s">
        <v>209</v>
      </c>
      <c r="G810" s="1" t="s">
        <v>1237</v>
      </c>
      <c r="H810" s="1" t="s">
        <v>141</v>
      </c>
      <c r="I810" s="1" t="s">
        <v>65</v>
      </c>
      <c r="J810" s="1">
        <v>3</v>
      </c>
      <c r="K810" s="1" t="s">
        <v>142</v>
      </c>
      <c r="L810" s="1" t="s">
        <v>153</v>
      </c>
      <c r="M810" s="1" t="s">
        <v>28</v>
      </c>
      <c r="N810" s="1" t="str">
        <f>HYPERLINK("https://klocwork.india.ti.com:443/review/insight-review.html#issuedetails_goto:problemid=119098,project=MCU_PLUS_SDK_AM263X,searchquery=taxonomy:'C and C++' build:Build_Apr_13_2023_11_11_AM grouping:off ","KW Issue Link")</f>
        <v>KW Issue Link</v>
      </c>
      <c r="O810" s="1" t="s">
        <v>1235</v>
      </c>
    </row>
    <row r="811" spans="1:15" ht="60" x14ac:dyDescent="0.25">
      <c r="A811" s="1" t="s">
        <v>157</v>
      </c>
      <c r="B811" s="1"/>
      <c r="C811" s="1" t="s">
        <v>1233</v>
      </c>
      <c r="D811" s="1">
        <v>119099</v>
      </c>
      <c r="E811" s="1">
        <v>1112</v>
      </c>
      <c r="F811" s="1" t="s">
        <v>329</v>
      </c>
      <c r="G811" s="1" t="s">
        <v>1237</v>
      </c>
      <c r="H811" s="1" t="s">
        <v>141</v>
      </c>
      <c r="I811" s="1" t="s">
        <v>65</v>
      </c>
      <c r="J811" s="1">
        <v>3</v>
      </c>
      <c r="K811" s="1" t="s">
        <v>142</v>
      </c>
      <c r="L811" s="1" t="s">
        <v>153</v>
      </c>
      <c r="M811" s="1" t="s">
        <v>28</v>
      </c>
      <c r="N811" s="1" t="str">
        <f>HYPERLINK("https://klocwork.india.ti.com:443/review/insight-review.html#issuedetails_goto:problemid=119099,project=MCU_PLUS_SDK_AM263X,searchquery=taxonomy:'C and C++' build:Build_Apr_13_2023_11_11_AM grouping:off ","KW Issue Link")</f>
        <v>KW Issue Link</v>
      </c>
      <c r="O811" s="1" t="s">
        <v>1235</v>
      </c>
    </row>
    <row r="812" spans="1:15" ht="60" x14ac:dyDescent="0.25">
      <c r="A812" s="1" t="s">
        <v>157</v>
      </c>
      <c r="B812" s="1"/>
      <c r="C812" s="1" t="s">
        <v>1233</v>
      </c>
      <c r="D812" s="1">
        <v>119100</v>
      </c>
      <c r="E812" s="1">
        <v>1351</v>
      </c>
      <c r="F812" s="1" t="s">
        <v>209</v>
      </c>
      <c r="G812" s="1" t="s">
        <v>1238</v>
      </c>
      <c r="H812" s="1" t="s">
        <v>141</v>
      </c>
      <c r="I812" s="1" t="s">
        <v>65</v>
      </c>
      <c r="J812" s="1">
        <v>3</v>
      </c>
      <c r="K812" s="1" t="s">
        <v>142</v>
      </c>
      <c r="L812" s="1" t="s">
        <v>153</v>
      </c>
      <c r="M812" s="1" t="s">
        <v>28</v>
      </c>
      <c r="N812" s="1" t="str">
        <f>HYPERLINK("https://klocwork.india.ti.com:443/review/insight-review.html#issuedetails_goto:problemid=119100,project=MCU_PLUS_SDK_AM263X,searchquery=taxonomy:'C and C++' build:Build_Apr_13_2023_11_11_AM grouping:off ","KW Issue Link")</f>
        <v>KW Issue Link</v>
      </c>
      <c r="O812" s="1" t="s">
        <v>1235</v>
      </c>
    </row>
    <row r="813" spans="1:15" ht="60" x14ac:dyDescent="0.25">
      <c r="A813" s="1" t="s">
        <v>157</v>
      </c>
      <c r="B813" s="1"/>
      <c r="C813" s="1" t="s">
        <v>1233</v>
      </c>
      <c r="D813" s="1">
        <v>119101</v>
      </c>
      <c r="E813" s="1">
        <v>1356</v>
      </c>
      <c r="F813" s="1" t="s">
        <v>209</v>
      </c>
      <c r="G813" s="1" t="s">
        <v>1238</v>
      </c>
      <c r="H813" s="1" t="s">
        <v>141</v>
      </c>
      <c r="I813" s="1" t="s">
        <v>65</v>
      </c>
      <c r="J813" s="1">
        <v>3</v>
      </c>
      <c r="K813" s="1" t="s">
        <v>142</v>
      </c>
      <c r="L813" s="1" t="s">
        <v>153</v>
      </c>
      <c r="M813" s="1" t="s">
        <v>28</v>
      </c>
      <c r="N813" s="1" t="str">
        <f>HYPERLINK("https://klocwork.india.ti.com:443/review/insight-review.html#issuedetails_goto:problemid=119101,project=MCU_PLUS_SDK_AM263X,searchquery=taxonomy:'C and C++' build:Build_Apr_13_2023_11_11_AM grouping:off ","KW Issue Link")</f>
        <v>KW Issue Link</v>
      </c>
      <c r="O813" s="1" t="s">
        <v>1235</v>
      </c>
    </row>
    <row r="814" spans="1:15" ht="60" x14ac:dyDescent="0.25">
      <c r="A814" s="1" t="s">
        <v>157</v>
      </c>
      <c r="B814" s="1"/>
      <c r="C814" s="1" t="s">
        <v>1233</v>
      </c>
      <c r="D814" s="1">
        <v>119102</v>
      </c>
      <c r="E814" s="1">
        <v>1386</v>
      </c>
      <c r="F814" s="1" t="s">
        <v>209</v>
      </c>
      <c r="G814" s="1" t="s">
        <v>1238</v>
      </c>
      <c r="H814" s="1" t="s">
        <v>141</v>
      </c>
      <c r="I814" s="1" t="s">
        <v>65</v>
      </c>
      <c r="J814" s="1">
        <v>3</v>
      </c>
      <c r="K814" s="1" t="s">
        <v>142</v>
      </c>
      <c r="L814" s="1" t="s">
        <v>153</v>
      </c>
      <c r="M814" s="1" t="s">
        <v>28</v>
      </c>
      <c r="N814" s="1" t="str">
        <f>HYPERLINK("https://klocwork.india.ti.com:443/review/insight-review.html#issuedetails_goto:problemid=119102,project=MCU_PLUS_SDK_AM263X,searchquery=taxonomy:'C and C++' build:Build_Apr_13_2023_11_11_AM grouping:off ","KW Issue Link")</f>
        <v>KW Issue Link</v>
      </c>
      <c r="O814" s="1" t="s">
        <v>1235</v>
      </c>
    </row>
    <row r="815" spans="1:15" ht="75" x14ac:dyDescent="0.25">
      <c r="A815" s="1" t="s">
        <v>157</v>
      </c>
      <c r="B815" s="1"/>
      <c r="C815" s="1" t="s">
        <v>1233</v>
      </c>
      <c r="D815" s="1">
        <v>119103</v>
      </c>
      <c r="E815" s="1">
        <v>1763</v>
      </c>
      <c r="F815" s="1" t="s">
        <v>1239</v>
      </c>
      <c r="G815" s="1" t="s">
        <v>1240</v>
      </c>
      <c r="H815" s="1" t="s">
        <v>141</v>
      </c>
      <c r="I815" s="1" t="s">
        <v>65</v>
      </c>
      <c r="J815" s="1">
        <v>3</v>
      </c>
      <c r="K815" s="1" t="s">
        <v>142</v>
      </c>
      <c r="L815" s="1" t="s">
        <v>153</v>
      </c>
      <c r="M815" s="1" t="s">
        <v>28</v>
      </c>
      <c r="N815" s="1" t="str">
        <f>HYPERLINK("https://klocwork.india.ti.com:443/review/insight-review.html#issuedetails_goto:problemid=119103,project=MCU_PLUS_SDK_AM263X,searchquery=taxonomy:'C and C++' build:Build_Apr_13_2023_11_11_AM grouping:off ","KW Issue Link")</f>
        <v>KW Issue Link</v>
      </c>
      <c r="O815" s="1" t="s">
        <v>1235</v>
      </c>
    </row>
    <row r="816" spans="1:15" ht="60" x14ac:dyDescent="0.25">
      <c r="A816" s="1" t="s">
        <v>157</v>
      </c>
      <c r="B816" s="1"/>
      <c r="C816" s="1" t="s">
        <v>1233</v>
      </c>
      <c r="D816" s="1">
        <v>119104</v>
      </c>
      <c r="E816" s="1">
        <v>2814</v>
      </c>
      <c r="F816" s="1" t="s">
        <v>1241</v>
      </c>
      <c r="G816" s="1" t="s">
        <v>1242</v>
      </c>
      <c r="H816" s="1" t="s">
        <v>141</v>
      </c>
      <c r="I816" s="1" t="s">
        <v>65</v>
      </c>
      <c r="J816" s="1">
        <v>3</v>
      </c>
      <c r="K816" s="1" t="s">
        <v>142</v>
      </c>
      <c r="L816" s="1" t="s">
        <v>153</v>
      </c>
      <c r="M816" s="1" t="s">
        <v>28</v>
      </c>
      <c r="N816" s="1" t="str">
        <f>HYPERLINK("https://klocwork.india.ti.com:443/review/insight-review.html#issuedetails_goto:problemid=119104,project=MCU_PLUS_SDK_AM263X,searchquery=taxonomy:'C and C++' build:Build_Apr_13_2023_11_11_AM grouping:off ","KW Issue Link")</f>
        <v>KW Issue Link</v>
      </c>
      <c r="O816" s="1" t="s">
        <v>1235</v>
      </c>
    </row>
    <row r="817" spans="1:15" ht="60" x14ac:dyDescent="0.25">
      <c r="A817" s="1" t="s">
        <v>157</v>
      </c>
      <c r="B817" s="1"/>
      <c r="C817" s="1" t="s">
        <v>1233</v>
      </c>
      <c r="D817" s="1">
        <v>119105</v>
      </c>
      <c r="E817" s="1">
        <v>2999</v>
      </c>
      <c r="F817" s="1" t="s">
        <v>1241</v>
      </c>
      <c r="G817" s="1" t="s">
        <v>1243</v>
      </c>
      <c r="H817" s="1" t="s">
        <v>141</v>
      </c>
      <c r="I817" s="1" t="s">
        <v>65</v>
      </c>
      <c r="J817" s="1">
        <v>3</v>
      </c>
      <c r="K817" s="1" t="s">
        <v>142</v>
      </c>
      <c r="L817" s="1" t="s">
        <v>153</v>
      </c>
      <c r="M817" s="1" t="s">
        <v>28</v>
      </c>
      <c r="N817" s="1" t="str">
        <f>HYPERLINK("https://klocwork.india.ti.com:443/review/insight-review.html#issuedetails_goto:problemid=119105,project=MCU_PLUS_SDK_AM263X,searchquery=taxonomy:'C and C++' build:Build_Apr_13_2023_11_11_AM grouping:off ","KW Issue Link")</f>
        <v>KW Issue Link</v>
      </c>
      <c r="O817" s="1" t="s">
        <v>1235</v>
      </c>
    </row>
    <row r="818" spans="1:15" ht="60" x14ac:dyDescent="0.25">
      <c r="A818" s="1" t="s">
        <v>157</v>
      </c>
      <c r="B818" s="1"/>
      <c r="C818" s="1" t="s">
        <v>1233</v>
      </c>
      <c r="D818" s="1">
        <v>119106</v>
      </c>
      <c r="E818" s="1">
        <v>3016</v>
      </c>
      <c r="F818" s="1" t="s">
        <v>1241</v>
      </c>
      <c r="G818" s="1" t="s">
        <v>1244</v>
      </c>
      <c r="H818" s="1" t="s">
        <v>141</v>
      </c>
      <c r="I818" s="1" t="s">
        <v>65</v>
      </c>
      <c r="J818" s="1">
        <v>3</v>
      </c>
      <c r="K818" s="1" t="s">
        <v>142</v>
      </c>
      <c r="L818" s="1" t="s">
        <v>153</v>
      </c>
      <c r="M818" s="1" t="s">
        <v>28</v>
      </c>
      <c r="N818" s="1" t="str">
        <f>HYPERLINK("https://klocwork.india.ti.com:443/review/insight-review.html#issuedetails_goto:problemid=119106,project=MCU_PLUS_SDK_AM263X,searchquery=taxonomy:'C and C++' build:Build_Apr_13_2023_11_11_AM grouping:off ","KW Issue Link")</f>
        <v>KW Issue Link</v>
      </c>
      <c r="O818" s="1" t="s">
        <v>1235</v>
      </c>
    </row>
    <row r="819" spans="1:15" ht="75" x14ac:dyDescent="0.25">
      <c r="A819" s="1" t="s">
        <v>149</v>
      </c>
      <c r="B819" s="1"/>
      <c r="C819" s="1" t="s">
        <v>1233</v>
      </c>
      <c r="D819" s="1">
        <v>119321</v>
      </c>
      <c r="E819" s="1">
        <v>2263</v>
      </c>
      <c r="F819" s="1" t="s">
        <v>1245</v>
      </c>
      <c r="G819" s="1" t="s">
        <v>1246</v>
      </c>
      <c r="H819" s="1" t="s">
        <v>141</v>
      </c>
      <c r="I819" s="1" t="s">
        <v>65</v>
      </c>
      <c r="J819" s="1">
        <v>3</v>
      </c>
      <c r="K819" s="1" t="s">
        <v>142</v>
      </c>
      <c r="L819" s="1" t="s">
        <v>153</v>
      </c>
      <c r="M819" s="1" t="s">
        <v>28</v>
      </c>
      <c r="N819" s="1" t="str">
        <f>HYPERLINK("https://klocwork.india.ti.com:443/review/insight-review.html#issuedetails_goto:problemid=119321,project=MCU_PLUS_SDK_AM263X,searchquery=taxonomy:'C and C++' build:Build_Apr_13_2023_11_11_AM grouping:off ","KW Issue Link")</f>
        <v>KW Issue Link</v>
      </c>
      <c r="O819" s="1" t="s">
        <v>1235</v>
      </c>
    </row>
    <row r="820" spans="1:15" ht="105" x14ac:dyDescent="0.25">
      <c r="A820" s="1" t="s">
        <v>149</v>
      </c>
      <c r="B820" s="1"/>
      <c r="C820" s="1" t="s">
        <v>1233</v>
      </c>
      <c r="D820" s="1">
        <v>119322</v>
      </c>
      <c r="E820" s="1">
        <v>2792</v>
      </c>
      <c r="F820" s="1" t="s">
        <v>1247</v>
      </c>
      <c r="G820" s="1" t="s">
        <v>1248</v>
      </c>
      <c r="H820" s="1" t="s">
        <v>141</v>
      </c>
      <c r="I820" s="1" t="s">
        <v>65</v>
      </c>
      <c r="J820" s="1">
        <v>3</v>
      </c>
      <c r="K820" s="1" t="s">
        <v>142</v>
      </c>
      <c r="L820" s="1" t="s">
        <v>153</v>
      </c>
      <c r="M820" s="1" t="s">
        <v>28</v>
      </c>
      <c r="N820" s="1" t="str">
        <f>HYPERLINK("https://klocwork.india.ti.com:443/review/insight-review.html#issuedetails_goto:problemid=119322,project=MCU_PLUS_SDK_AM263X,searchquery=taxonomy:'C and C++' build:Build_Apr_13_2023_11_11_AM grouping:off ","KW Issue Link")</f>
        <v>KW Issue Link</v>
      </c>
      <c r="O820" s="1" t="s">
        <v>1235</v>
      </c>
    </row>
    <row r="821" spans="1:15" ht="120" x14ac:dyDescent="0.25">
      <c r="A821" s="1" t="s">
        <v>149</v>
      </c>
      <c r="B821" s="1"/>
      <c r="C821" s="1" t="s">
        <v>1233</v>
      </c>
      <c r="D821" s="1">
        <v>119323</v>
      </c>
      <c r="E821" s="1">
        <v>2861</v>
      </c>
      <c r="F821" s="1" t="s">
        <v>1249</v>
      </c>
      <c r="G821" s="1" t="s">
        <v>1250</v>
      </c>
      <c r="H821" s="1" t="s">
        <v>141</v>
      </c>
      <c r="I821" s="1" t="s">
        <v>65</v>
      </c>
      <c r="J821" s="1">
        <v>3</v>
      </c>
      <c r="K821" s="1" t="s">
        <v>142</v>
      </c>
      <c r="L821" s="1" t="s">
        <v>153</v>
      </c>
      <c r="M821" s="1" t="s">
        <v>28</v>
      </c>
      <c r="N821" s="1" t="str">
        <f>HYPERLINK("https://klocwork.india.ti.com:443/review/insight-review.html#issuedetails_goto:problemid=119323,project=MCU_PLUS_SDK_AM263X,searchquery=taxonomy:'C and C++' build:Build_Apr_13_2023_11_11_AM grouping:off ","KW Issue Link")</f>
        <v>KW Issue Link</v>
      </c>
      <c r="O821" s="1" t="s">
        <v>1235</v>
      </c>
    </row>
    <row r="822" spans="1:15" ht="105" x14ac:dyDescent="0.25">
      <c r="A822" s="1" t="s">
        <v>149</v>
      </c>
      <c r="B822" s="1"/>
      <c r="C822" s="1" t="s">
        <v>1233</v>
      </c>
      <c r="D822" s="1">
        <v>119324</v>
      </c>
      <c r="E822" s="1">
        <v>2892</v>
      </c>
      <c r="F822" s="1" t="s">
        <v>1251</v>
      </c>
      <c r="G822" s="1" t="s">
        <v>1250</v>
      </c>
      <c r="H822" s="1" t="s">
        <v>141</v>
      </c>
      <c r="I822" s="1" t="s">
        <v>65</v>
      </c>
      <c r="J822" s="1">
        <v>3</v>
      </c>
      <c r="K822" s="1" t="s">
        <v>142</v>
      </c>
      <c r="L822" s="1" t="s">
        <v>153</v>
      </c>
      <c r="M822" s="1" t="s">
        <v>28</v>
      </c>
      <c r="N822" s="1" t="str">
        <f>HYPERLINK("https://klocwork.india.ti.com:443/review/insight-review.html#issuedetails_goto:problemid=119324,project=MCU_PLUS_SDK_AM263X,searchquery=taxonomy:'C and C++' build:Build_Apr_13_2023_11_11_AM grouping:off ","KW Issue Link")</f>
        <v>KW Issue Link</v>
      </c>
      <c r="O822" s="1" t="s">
        <v>1235</v>
      </c>
    </row>
    <row r="823" spans="1:15" ht="60" x14ac:dyDescent="0.25">
      <c r="A823" s="1" t="s">
        <v>155</v>
      </c>
      <c r="B823" s="1"/>
      <c r="C823" s="1" t="s">
        <v>1233</v>
      </c>
      <c r="D823" s="1">
        <v>119325</v>
      </c>
      <c r="E823" s="1">
        <v>2265</v>
      </c>
      <c r="F823" s="1" t="s">
        <v>156</v>
      </c>
      <c r="G823" s="1" t="s">
        <v>1246</v>
      </c>
      <c r="H823" s="1" t="s">
        <v>141</v>
      </c>
      <c r="I823" s="1" t="s">
        <v>65</v>
      </c>
      <c r="J823" s="1">
        <v>3</v>
      </c>
      <c r="K823" s="1" t="s">
        <v>142</v>
      </c>
      <c r="L823" s="1" t="s">
        <v>153</v>
      </c>
      <c r="M823" s="1" t="s">
        <v>28</v>
      </c>
      <c r="N823" s="1" t="str">
        <f>HYPERLINK("https://klocwork.india.ti.com:443/review/insight-review.html#issuedetails_goto:problemid=119325,project=MCU_PLUS_SDK_AM263X,searchquery=taxonomy:'C and C++' build:Build_Apr_13_2023_11_11_AM grouping:off ","KW Issue Link")</f>
        <v>KW Issue Link</v>
      </c>
      <c r="O823" s="1" t="s">
        <v>1235</v>
      </c>
    </row>
    <row r="824" spans="1:15" ht="60" x14ac:dyDescent="0.25">
      <c r="A824" s="1" t="s">
        <v>155</v>
      </c>
      <c r="B824" s="1"/>
      <c r="C824" s="1" t="s">
        <v>1233</v>
      </c>
      <c r="D824" s="1">
        <v>119326</v>
      </c>
      <c r="E824" s="1">
        <v>2794</v>
      </c>
      <c r="F824" s="1" t="s">
        <v>156</v>
      </c>
      <c r="G824" s="1" t="s">
        <v>1248</v>
      </c>
      <c r="H824" s="1" t="s">
        <v>141</v>
      </c>
      <c r="I824" s="1" t="s">
        <v>65</v>
      </c>
      <c r="J824" s="1">
        <v>3</v>
      </c>
      <c r="K824" s="1" t="s">
        <v>142</v>
      </c>
      <c r="L824" s="1" t="s">
        <v>153</v>
      </c>
      <c r="M824" s="1" t="s">
        <v>28</v>
      </c>
      <c r="N824" s="1" t="str">
        <f>HYPERLINK("https://klocwork.india.ti.com:443/review/insight-review.html#issuedetails_goto:problemid=119326,project=MCU_PLUS_SDK_AM263X,searchquery=taxonomy:'C and C++' build:Build_Apr_13_2023_11_11_AM grouping:off ","KW Issue Link")</f>
        <v>KW Issue Link</v>
      </c>
      <c r="O824" s="1" t="s">
        <v>1235</v>
      </c>
    </row>
    <row r="825" spans="1:15" ht="60" x14ac:dyDescent="0.25">
      <c r="A825" s="1" t="s">
        <v>155</v>
      </c>
      <c r="B825" s="1"/>
      <c r="C825" s="1" t="s">
        <v>1233</v>
      </c>
      <c r="D825" s="1">
        <v>119327</v>
      </c>
      <c r="E825" s="1">
        <v>2901</v>
      </c>
      <c r="F825" s="1" t="s">
        <v>156</v>
      </c>
      <c r="G825" s="1" t="s">
        <v>1250</v>
      </c>
      <c r="H825" s="1" t="s">
        <v>141</v>
      </c>
      <c r="I825" s="1" t="s">
        <v>65</v>
      </c>
      <c r="J825" s="1">
        <v>3</v>
      </c>
      <c r="K825" s="1" t="s">
        <v>142</v>
      </c>
      <c r="L825" s="1" t="s">
        <v>153</v>
      </c>
      <c r="M825" s="1" t="s">
        <v>28</v>
      </c>
      <c r="N825" s="1" t="str">
        <f>HYPERLINK("https://klocwork.india.ti.com:443/review/insight-review.html#issuedetails_goto:problemid=119327,project=MCU_PLUS_SDK_AM263X,searchquery=taxonomy:'C and C++' build:Build_Apr_13_2023_11_11_AM grouping:off ","KW Issue Link")</f>
        <v>KW Issue Link</v>
      </c>
      <c r="O825" s="1" t="s">
        <v>1235</v>
      </c>
    </row>
    <row r="826" spans="1:15" ht="60" x14ac:dyDescent="0.25">
      <c r="A826" s="1" t="s">
        <v>155</v>
      </c>
      <c r="B826" s="1"/>
      <c r="C826" s="1" t="s">
        <v>1233</v>
      </c>
      <c r="D826" s="1">
        <v>119328</v>
      </c>
      <c r="E826" s="1">
        <v>2908</v>
      </c>
      <c r="F826" s="1" t="s">
        <v>156</v>
      </c>
      <c r="G826" s="1" t="s">
        <v>1250</v>
      </c>
      <c r="H826" s="1" t="s">
        <v>141</v>
      </c>
      <c r="I826" s="1" t="s">
        <v>65</v>
      </c>
      <c r="J826" s="1">
        <v>3</v>
      </c>
      <c r="K826" s="1" t="s">
        <v>142</v>
      </c>
      <c r="L826" s="1" t="s">
        <v>153</v>
      </c>
      <c r="M826" s="1" t="s">
        <v>28</v>
      </c>
      <c r="N826" s="1" t="str">
        <f>HYPERLINK("https://klocwork.india.ti.com:443/review/insight-review.html#issuedetails_goto:problemid=119328,project=MCU_PLUS_SDK_AM263X,searchquery=taxonomy:'C and C++' build:Build_Apr_13_2023_11_11_AM grouping:off ","KW Issue Link")</f>
        <v>KW Issue Link</v>
      </c>
      <c r="O826" s="1" t="s">
        <v>1235</v>
      </c>
    </row>
    <row r="827" spans="1:15" ht="60" x14ac:dyDescent="0.25">
      <c r="A827" s="1" t="s">
        <v>1252</v>
      </c>
      <c r="B827" s="1"/>
      <c r="C827" s="1" t="s">
        <v>1253</v>
      </c>
      <c r="D827" s="1">
        <v>119494</v>
      </c>
      <c r="E827" s="1">
        <v>46</v>
      </c>
      <c r="F827" s="1" t="s">
        <v>1254</v>
      </c>
      <c r="G827" s="1" t="s">
        <v>1255</v>
      </c>
      <c r="H827" s="1" t="s">
        <v>141</v>
      </c>
      <c r="I827" s="1" t="s">
        <v>65</v>
      </c>
      <c r="J827" s="1">
        <v>3</v>
      </c>
      <c r="K827" s="1" t="s">
        <v>142</v>
      </c>
      <c r="L827" s="1" t="s">
        <v>153</v>
      </c>
      <c r="M827" s="1" t="s">
        <v>1256</v>
      </c>
      <c r="N827" s="1" t="str">
        <f>HYPERLINK("https://klocwork.india.ti.com:443/review/insight-review.html#issuedetails_goto:problemid=119494,project=MCU_PLUS_SDK_AM263X,searchquery=taxonomy:'C and C++' build:Build_Apr_13_2023_11_11_AM grouping:off ","KW Issue Link")</f>
        <v>KW Issue Link</v>
      </c>
      <c r="O827" s="1" t="s">
        <v>144</v>
      </c>
    </row>
    <row r="828" spans="1:15" ht="75" x14ac:dyDescent="0.25">
      <c r="A828" s="1" t="s">
        <v>1257</v>
      </c>
      <c r="B828" s="1"/>
      <c r="C828" s="1" t="s">
        <v>288</v>
      </c>
      <c r="D828" s="1">
        <v>119496</v>
      </c>
      <c r="E828" s="1">
        <v>161</v>
      </c>
      <c r="F828" s="1" t="s">
        <v>1258</v>
      </c>
      <c r="G828" s="1" t="s">
        <v>1259</v>
      </c>
      <c r="H828" s="1" t="s">
        <v>141</v>
      </c>
      <c r="I828" s="1" t="s">
        <v>65</v>
      </c>
      <c r="J828" s="1">
        <v>3</v>
      </c>
      <c r="K828" s="1" t="s">
        <v>142</v>
      </c>
      <c r="L828" s="1" t="s">
        <v>153</v>
      </c>
      <c r="M828" s="1" t="s">
        <v>1256</v>
      </c>
      <c r="N828" s="1" t="str">
        <f>HYPERLINK("https://klocwork.india.ti.com:443/review/insight-review.html#issuedetails_goto:problemid=119496,project=MCU_PLUS_SDK_AM263X,searchquery=taxonomy:'C and C++' build:Build_Apr_13_2023_11_11_AM grouping:off ","KW Issue Link")</f>
        <v>KW Issue Link</v>
      </c>
      <c r="O828" s="1" t="s">
        <v>291</v>
      </c>
    </row>
    <row r="829" spans="1:15" ht="75" x14ac:dyDescent="0.25">
      <c r="A829" s="1" t="s">
        <v>1257</v>
      </c>
      <c r="B829" s="1"/>
      <c r="C829" s="1" t="s">
        <v>288</v>
      </c>
      <c r="D829" s="1">
        <v>119497</v>
      </c>
      <c r="E829" s="1">
        <v>187</v>
      </c>
      <c r="F829" s="1" t="s">
        <v>1260</v>
      </c>
      <c r="G829" s="1" t="s">
        <v>1261</v>
      </c>
      <c r="H829" s="1" t="s">
        <v>141</v>
      </c>
      <c r="I829" s="1" t="s">
        <v>65</v>
      </c>
      <c r="J829" s="1">
        <v>3</v>
      </c>
      <c r="K829" s="1" t="s">
        <v>142</v>
      </c>
      <c r="L829" s="1" t="s">
        <v>153</v>
      </c>
      <c r="M829" s="1" t="s">
        <v>1256</v>
      </c>
      <c r="N829" s="1" t="str">
        <f>HYPERLINK("https://klocwork.india.ti.com:443/review/insight-review.html#issuedetails_goto:problemid=119497,project=MCU_PLUS_SDK_AM263X,searchquery=taxonomy:'C and C++' build:Build_Apr_13_2023_11_11_AM grouping:off ","KW Issue Link")</f>
        <v>KW Issue Link</v>
      </c>
      <c r="O829" s="1" t="s">
        <v>291</v>
      </c>
    </row>
    <row r="830" spans="1:15" ht="75" x14ac:dyDescent="0.25">
      <c r="A830" s="1" t="s">
        <v>1257</v>
      </c>
      <c r="B830" s="1"/>
      <c r="C830" s="1" t="s">
        <v>288</v>
      </c>
      <c r="D830" s="1">
        <v>119498</v>
      </c>
      <c r="E830" s="1">
        <v>251</v>
      </c>
      <c r="F830" s="1" t="s">
        <v>1262</v>
      </c>
      <c r="G830" s="1" t="s">
        <v>1263</v>
      </c>
      <c r="H830" s="1" t="s">
        <v>141</v>
      </c>
      <c r="I830" s="1" t="s">
        <v>65</v>
      </c>
      <c r="J830" s="1">
        <v>3</v>
      </c>
      <c r="K830" s="1" t="s">
        <v>142</v>
      </c>
      <c r="L830" s="1" t="s">
        <v>153</v>
      </c>
      <c r="M830" s="1" t="s">
        <v>1256</v>
      </c>
      <c r="N830" s="1" t="str">
        <f>HYPERLINK("https://klocwork.india.ti.com:443/review/insight-review.html#issuedetails_goto:problemid=119498,project=MCU_PLUS_SDK_AM263X,searchquery=taxonomy:'C and C++' build:Build_Apr_13_2023_11_11_AM grouping:off ","KW Issue Link")</f>
        <v>KW Issue Link</v>
      </c>
      <c r="O830" s="1" t="s">
        <v>291</v>
      </c>
    </row>
    <row r="831" spans="1:15" ht="75" x14ac:dyDescent="0.25">
      <c r="A831" s="1" t="s">
        <v>1257</v>
      </c>
      <c r="B831" s="1"/>
      <c r="C831" s="1" t="s">
        <v>288</v>
      </c>
      <c r="D831" s="1">
        <v>119499</v>
      </c>
      <c r="E831" s="1">
        <v>276</v>
      </c>
      <c r="F831" s="1" t="s">
        <v>1264</v>
      </c>
      <c r="G831" s="1" t="s">
        <v>1265</v>
      </c>
      <c r="H831" s="1" t="s">
        <v>141</v>
      </c>
      <c r="I831" s="1" t="s">
        <v>65</v>
      </c>
      <c r="J831" s="1">
        <v>3</v>
      </c>
      <c r="K831" s="1" t="s">
        <v>142</v>
      </c>
      <c r="L831" s="1" t="s">
        <v>153</v>
      </c>
      <c r="M831" s="1" t="s">
        <v>1256</v>
      </c>
      <c r="N831" s="1" t="str">
        <f>HYPERLINK("https://klocwork.india.ti.com:443/review/insight-review.html#issuedetails_goto:problemid=119499,project=MCU_PLUS_SDK_AM263X,searchquery=taxonomy:'C and C++' build:Build_Apr_13_2023_11_11_AM grouping:off ","KW Issue Link")</f>
        <v>KW Issue Link</v>
      </c>
      <c r="O831" s="1" t="s">
        <v>291</v>
      </c>
    </row>
    <row r="832" spans="1:15" ht="75" x14ac:dyDescent="0.25">
      <c r="A832" s="1" t="s">
        <v>1266</v>
      </c>
      <c r="B832" s="1"/>
      <c r="C832" s="1" t="s">
        <v>288</v>
      </c>
      <c r="D832" s="1">
        <v>119501</v>
      </c>
      <c r="E832" s="1">
        <v>187</v>
      </c>
      <c r="F832" s="1" t="s">
        <v>1267</v>
      </c>
      <c r="G832" s="1" t="s">
        <v>1261</v>
      </c>
      <c r="H832" s="1" t="s">
        <v>141</v>
      </c>
      <c r="I832" s="1" t="s">
        <v>65</v>
      </c>
      <c r="J832" s="1">
        <v>3</v>
      </c>
      <c r="K832" s="1" t="s">
        <v>142</v>
      </c>
      <c r="L832" s="1" t="s">
        <v>153</v>
      </c>
      <c r="M832" s="1" t="s">
        <v>1256</v>
      </c>
      <c r="N832" s="1" t="str">
        <f>HYPERLINK("https://klocwork.india.ti.com:443/review/insight-review.html#issuedetails_goto:problemid=119501,project=MCU_PLUS_SDK_AM263X,searchquery=taxonomy:'C and C++' build:Build_Apr_13_2023_11_11_AM grouping:off ","KW Issue Link")</f>
        <v>KW Issue Link</v>
      </c>
      <c r="O832" s="1" t="s">
        <v>291</v>
      </c>
    </row>
    <row r="833" spans="1:15" ht="75" x14ac:dyDescent="0.25">
      <c r="A833" s="1" t="s">
        <v>1268</v>
      </c>
      <c r="B833" s="1"/>
      <c r="C833" s="1" t="s">
        <v>288</v>
      </c>
      <c r="D833" s="1">
        <v>119502</v>
      </c>
      <c r="E833" s="1">
        <v>187</v>
      </c>
      <c r="F833" s="1" t="s">
        <v>1269</v>
      </c>
      <c r="G833" s="1" t="s">
        <v>1261</v>
      </c>
      <c r="H833" s="1" t="s">
        <v>141</v>
      </c>
      <c r="I833" s="1" t="s">
        <v>65</v>
      </c>
      <c r="J833" s="1">
        <v>3</v>
      </c>
      <c r="K833" s="1" t="s">
        <v>142</v>
      </c>
      <c r="L833" s="1" t="s">
        <v>153</v>
      </c>
      <c r="M833" s="1" t="s">
        <v>1256</v>
      </c>
      <c r="N833" s="1" t="str">
        <f>HYPERLINK("https://klocwork.india.ti.com:443/review/insight-review.html#issuedetails_goto:problemid=119502,project=MCU_PLUS_SDK_AM263X,searchquery=taxonomy:'C and C++' build:Build_Apr_13_2023_11_11_AM grouping:off ","KW Issue Link")</f>
        <v>KW Issue Link</v>
      </c>
      <c r="O833" s="1" t="s">
        <v>291</v>
      </c>
    </row>
    <row r="834" spans="1:15" ht="75" x14ac:dyDescent="0.25">
      <c r="A834" s="1" t="s">
        <v>1257</v>
      </c>
      <c r="B834" s="1"/>
      <c r="C834" s="1" t="s">
        <v>1270</v>
      </c>
      <c r="D834" s="1">
        <v>119503</v>
      </c>
      <c r="E834" s="1">
        <v>89</v>
      </c>
      <c r="F834" s="1" t="s">
        <v>1271</v>
      </c>
      <c r="G834" s="1" t="s">
        <v>1272</v>
      </c>
      <c r="H834" s="1" t="s">
        <v>141</v>
      </c>
      <c r="I834" s="1" t="s">
        <v>65</v>
      </c>
      <c r="J834" s="1">
        <v>3</v>
      </c>
      <c r="K834" s="1" t="s">
        <v>142</v>
      </c>
      <c r="L834" s="1" t="s">
        <v>153</v>
      </c>
      <c r="M834" s="1" t="s">
        <v>1256</v>
      </c>
      <c r="N834" s="1" t="str">
        <f>HYPERLINK("https://klocwork.india.ti.com:443/review/insight-review.html#issuedetails_goto:problemid=119503,project=MCU_PLUS_SDK_AM263X,searchquery=taxonomy:'C and C++' build:Build_Apr_13_2023_11_11_AM grouping:off ","KW Issue Link")</f>
        <v>KW Issue Link</v>
      </c>
      <c r="O834" s="1" t="s">
        <v>291</v>
      </c>
    </row>
    <row r="835" spans="1:15" ht="75" x14ac:dyDescent="0.25">
      <c r="A835" s="1" t="s">
        <v>1257</v>
      </c>
      <c r="B835" s="1"/>
      <c r="C835" s="1" t="s">
        <v>1270</v>
      </c>
      <c r="D835" s="1">
        <v>119504</v>
      </c>
      <c r="E835" s="1">
        <v>102</v>
      </c>
      <c r="F835" s="1" t="s">
        <v>1273</v>
      </c>
      <c r="G835" s="1" t="s">
        <v>1274</v>
      </c>
      <c r="H835" s="1" t="s">
        <v>141</v>
      </c>
      <c r="I835" s="1" t="s">
        <v>65</v>
      </c>
      <c r="J835" s="1">
        <v>3</v>
      </c>
      <c r="K835" s="1" t="s">
        <v>142</v>
      </c>
      <c r="L835" s="1" t="s">
        <v>153</v>
      </c>
      <c r="M835" s="1" t="s">
        <v>1256</v>
      </c>
      <c r="N835" s="1" t="str">
        <f>HYPERLINK("https://klocwork.india.ti.com:443/review/insight-review.html#issuedetails_goto:problemid=119504,project=MCU_PLUS_SDK_AM263X,searchquery=taxonomy:'C and C++' build:Build_Apr_13_2023_11_11_AM grouping:off ","KW Issue Link")</f>
        <v>KW Issue Link</v>
      </c>
      <c r="O835" s="1" t="s">
        <v>291</v>
      </c>
    </row>
    <row r="836" spans="1:15" ht="75" x14ac:dyDescent="0.25">
      <c r="A836" s="1" t="s">
        <v>1257</v>
      </c>
      <c r="B836" s="1"/>
      <c r="C836" s="1" t="s">
        <v>1270</v>
      </c>
      <c r="D836" s="1">
        <v>119505</v>
      </c>
      <c r="E836" s="1">
        <v>119</v>
      </c>
      <c r="F836" s="1" t="s">
        <v>1275</v>
      </c>
      <c r="G836" s="1" t="s">
        <v>1276</v>
      </c>
      <c r="H836" s="1" t="s">
        <v>141</v>
      </c>
      <c r="I836" s="1" t="s">
        <v>65</v>
      </c>
      <c r="J836" s="1">
        <v>3</v>
      </c>
      <c r="K836" s="1" t="s">
        <v>142</v>
      </c>
      <c r="L836" s="1" t="s">
        <v>153</v>
      </c>
      <c r="M836" s="1" t="s">
        <v>1256</v>
      </c>
      <c r="N836" s="1" t="str">
        <f>HYPERLINK("https://klocwork.india.ti.com:443/review/insight-review.html#issuedetails_goto:problemid=119505,project=MCU_PLUS_SDK_AM263X,searchquery=taxonomy:'C and C++' build:Build_Apr_13_2023_11_11_AM grouping:off ","KW Issue Link")</f>
        <v>KW Issue Link</v>
      </c>
      <c r="O836" s="1" t="s">
        <v>291</v>
      </c>
    </row>
    <row r="837" spans="1:15" ht="75" x14ac:dyDescent="0.25">
      <c r="A837" s="1" t="s">
        <v>1257</v>
      </c>
      <c r="B837" s="1"/>
      <c r="C837" s="1" t="s">
        <v>1270</v>
      </c>
      <c r="D837" s="1">
        <v>119506</v>
      </c>
      <c r="E837" s="1">
        <v>132</v>
      </c>
      <c r="F837" s="1" t="s">
        <v>1277</v>
      </c>
      <c r="G837" s="1" t="s">
        <v>1278</v>
      </c>
      <c r="H837" s="1" t="s">
        <v>141</v>
      </c>
      <c r="I837" s="1" t="s">
        <v>65</v>
      </c>
      <c r="J837" s="1">
        <v>3</v>
      </c>
      <c r="K837" s="1" t="s">
        <v>142</v>
      </c>
      <c r="L837" s="1" t="s">
        <v>153</v>
      </c>
      <c r="M837" s="1" t="s">
        <v>1256</v>
      </c>
      <c r="N837" s="1" t="str">
        <f>HYPERLINK("https://klocwork.india.ti.com:443/review/insight-review.html#issuedetails_goto:problemid=119506,project=MCU_PLUS_SDK_AM263X,searchquery=taxonomy:'C and C++' build:Build_Apr_13_2023_11_11_AM grouping:off ","KW Issue Link")</f>
        <v>KW Issue Link</v>
      </c>
      <c r="O837" s="1" t="s">
        <v>291</v>
      </c>
    </row>
    <row r="838" spans="1:15" ht="75" x14ac:dyDescent="0.25">
      <c r="A838" s="1" t="s">
        <v>1257</v>
      </c>
      <c r="B838" s="1"/>
      <c r="C838" s="1" t="s">
        <v>1270</v>
      </c>
      <c r="D838" s="1">
        <v>119507</v>
      </c>
      <c r="E838" s="1">
        <v>234</v>
      </c>
      <c r="F838" s="1" t="s">
        <v>1279</v>
      </c>
      <c r="G838" s="1" t="s">
        <v>1280</v>
      </c>
      <c r="H838" s="1" t="s">
        <v>141</v>
      </c>
      <c r="I838" s="1" t="s">
        <v>65</v>
      </c>
      <c r="J838" s="1">
        <v>3</v>
      </c>
      <c r="K838" s="1" t="s">
        <v>142</v>
      </c>
      <c r="L838" s="1" t="s">
        <v>153</v>
      </c>
      <c r="M838" s="1" t="s">
        <v>1256</v>
      </c>
      <c r="N838" s="1" t="str">
        <f>HYPERLINK("https://klocwork.india.ti.com:443/review/insight-review.html#issuedetails_goto:problemid=119507,project=MCU_PLUS_SDK_AM263X,searchquery=taxonomy:'C and C++' build:Build_Apr_13_2023_11_11_AM grouping:off ","KW Issue Link")</f>
        <v>KW Issue Link</v>
      </c>
      <c r="O838" s="1" t="s">
        <v>291</v>
      </c>
    </row>
    <row r="839" spans="1:15" ht="75" x14ac:dyDescent="0.25">
      <c r="A839" s="1" t="s">
        <v>1257</v>
      </c>
      <c r="B839" s="1"/>
      <c r="C839" s="1" t="s">
        <v>1270</v>
      </c>
      <c r="D839" s="1">
        <v>119508</v>
      </c>
      <c r="E839" s="1">
        <v>244</v>
      </c>
      <c r="F839" s="1" t="s">
        <v>1281</v>
      </c>
      <c r="G839" s="1" t="s">
        <v>1282</v>
      </c>
      <c r="H839" s="1" t="s">
        <v>141</v>
      </c>
      <c r="I839" s="1" t="s">
        <v>65</v>
      </c>
      <c r="J839" s="1">
        <v>3</v>
      </c>
      <c r="K839" s="1" t="s">
        <v>142</v>
      </c>
      <c r="L839" s="1" t="s">
        <v>153</v>
      </c>
      <c r="M839" s="1" t="s">
        <v>1256</v>
      </c>
      <c r="N839" s="1" t="str">
        <f>HYPERLINK("https://klocwork.india.ti.com:443/review/insight-review.html#issuedetails_goto:problemid=119508,project=MCU_PLUS_SDK_AM263X,searchquery=taxonomy:'C and C++' build:Build_Apr_13_2023_11_11_AM grouping:off ","KW Issue Link")</f>
        <v>KW Issue Link</v>
      </c>
      <c r="O839" s="1" t="s">
        <v>291</v>
      </c>
    </row>
    <row r="840" spans="1:15" ht="75" x14ac:dyDescent="0.25">
      <c r="A840" s="1" t="s">
        <v>1257</v>
      </c>
      <c r="B840" s="1"/>
      <c r="C840" s="1" t="s">
        <v>1270</v>
      </c>
      <c r="D840" s="1">
        <v>119509</v>
      </c>
      <c r="E840" s="1">
        <v>254</v>
      </c>
      <c r="F840" s="1" t="s">
        <v>1283</v>
      </c>
      <c r="G840" s="1" t="s">
        <v>1284</v>
      </c>
      <c r="H840" s="1" t="s">
        <v>141</v>
      </c>
      <c r="I840" s="1" t="s">
        <v>65</v>
      </c>
      <c r="J840" s="1">
        <v>3</v>
      </c>
      <c r="K840" s="1" t="s">
        <v>142</v>
      </c>
      <c r="L840" s="1" t="s">
        <v>153</v>
      </c>
      <c r="M840" s="1" t="s">
        <v>1256</v>
      </c>
      <c r="N840" s="1" t="str">
        <f>HYPERLINK("https://klocwork.india.ti.com:443/review/insight-review.html#issuedetails_goto:problemid=119509,project=MCU_PLUS_SDK_AM263X,searchquery=taxonomy:'C and C++' build:Build_Apr_13_2023_11_11_AM grouping:off ","KW Issue Link")</f>
        <v>KW Issue Link</v>
      </c>
      <c r="O840" s="1" t="s">
        <v>291</v>
      </c>
    </row>
    <row r="841" spans="1:15" ht="75" x14ac:dyDescent="0.25">
      <c r="A841" s="1" t="s">
        <v>1257</v>
      </c>
      <c r="B841" s="1"/>
      <c r="C841" s="1" t="s">
        <v>1270</v>
      </c>
      <c r="D841" s="1">
        <v>119510</v>
      </c>
      <c r="E841" s="1">
        <v>266</v>
      </c>
      <c r="F841" s="1" t="s">
        <v>1285</v>
      </c>
      <c r="G841" s="1" t="s">
        <v>1286</v>
      </c>
      <c r="H841" s="1" t="s">
        <v>141</v>
      </c>
      <c r="I841" s="1" t="s">
        <v>65</v>
      </c>
      <c r="J841" s="1">
        <v>3</v>
      </c>
      <c r="K841" s="1" t="s">
        <v>142</v>
      </c>
      <c r="L841" s="1" t="s">
        <v>153</v>
      </c>
      <c r="M841" s="1" t="s">
        <v>1256</v>
      </c>
      <c r="N841" s="1" t="str">
        <f>HYPERLINK("https://klocwork.india.ti.com:443/review/insight-review.html#issuedetails_goto:problemid=119510,project=MCU_PLUS_SDK_AM263X,searchquery=taxonomy:'C and C++' build:Build_Apr_13_2023_11_11_AM grouping:off ","KW Issue Link")</f>
        <v>KW Issue Link</v>
      </c>
      <c r="O841" s="1" t="s">
        <v>291</v>
      </c>
    </row>
    <row r="842" spans="1:15" ht="75" x14ac:dyDescent="0.25">
      <c r="A842" s="1" t="s">
        <v>1257</v>
      </c>
      <c r="B842" s="1"/>
      <c r="C842" s="1" t="s">
        <v>1270</v>
      </c>
      <c r="D842" s="1">
        <v>119511</v>
      </c>
      <c r="E842" s="1">
        <v>279</v>
      </c>
      <c r="F842" s="1" t="s">
        <v>1287</v>
      </c>
      <c r="G842" s="1" t="s">
        <v>1288</v>
      </c>
      <c r="H842" s="1" t="s">
        <v>141</v>
      </c>
      <c r="I842" s="1" t="s">
        <v>65</v>
      </c>
      <c r="J842" s="1">
        <v>3</v>
      </c>
      <c r="K842" s="1" t="s">
        <v>142</v>
      </c>
      <c r="L842" s="1" t="s">
        <v>153</v>
      </c>
      <c r="M842" s="1" t="s">
        <v>1256</v>
      </c>
      <c r="N842" s="1" t="str">
        <f>HYPERLINK("https://klocwork.india.ti.com:443/review/insight-review.html#issuedetails_goto:problemid=119511,project=MCU_PLUS_SDK_AM263X,searchquery=taxonomy:'C and C++' build:Build_Apr_13_2023_11_11_AM grouping:off ","KW Issue Link")</f>
        <v>KW Issue Link</v>
      </c>
      <c r="O842" s="1" t="s">
        <v>291</v>
      </c>
    </row>
    <row r="843" spans="1:15" ht="75" x14ac:dyDescent="0.25">
      <c r="A843" s="1" t="s">
        <v>1257</v>
      </c>
      <c r="B843" s="1"/>
      <c r="C843" s="1" t="s">
        <v>1270</v>
      </c>
      <c r="D843" s="1">
        <v>119512</v>
      </c>
      <c r="E843" s="1">
        <v>298</v>
      </c>
      <c r="F843" s="1" t="s">
        <v>1289</v>
      </c>
      <c r="G843" s="1" t="s">
        <v>1290</v>
      </c>
      <c r="H843" s="1" t="s">
        <v>141</v>
      </c>
      <c r="I843" s="1" t="s">
        <v>65</v>
      </c>
      <c r="J843" s="1">
        <v>3</v>
      </c>
      <c r="K843" s="1" t="s">
        <v>142</v>
      </c>
      <c r="L843" s="1" t="s">
        <v>153</v>
      </c>
      <c r="M843" s="1" t="s">
        <v>1256</v>
      </c>
      <c r="N843" s="1" t="str">
        <f>HYPERLINK("https://klocwork.india.ti.com:443/review/insight-review.html#issuedetails_goto:problemid=119512,project=MCU_PLUS_SDK_AM263X,searchquery=taxonomy:'C and C++' build:Build_Apr_13_2023_11_11_AM grouping:off ","KW Issue Link")</f>
        <v>KW Issue Link</v>
      </c>
      <c r="O843" s="1" t="s">
        <v>291</v>
      </c>
    </row>
    <row r="844" spans="1:15" ht="75" x14ac:dyDescent="0.25">
      <c r="A844" s="1" t="s">
        <v>1257</v>
      </c>
      <c r="B844" s="1"/>
      <c r="C844" s="1" t="s">
        <v>1270</v>
      </c>
      <c r="D844" s="1">
        <v>119513</v>
      </c>
      <c r="E844" s="1">
        <v>310</v>
      </c>
      <c r="F844" s="1" t="s">
        <v>1291</v>
      </c>
      <c r="G844" s="1" t="s">
        <v>1292</v>
      </c>
      <c r="H844" s="1" t="s">
        <v>141</v>
      </c>
      <c r="I844" s="1" t="s">
        <v>65</v>
      </c>
      <c r="J844" s="1">
        <v>3</v>
      </c>
      <c r="K844" s="1" t="s">
        <v>142</v>
      </c>
      <c r="L844" s="1" t="s">
        <v>153</v>
      </c>
      <c r="M844" s="1" t="s">
        <v>1256</v>
      </c>
      <c r="N844" s="1" t="str">
        <f>HYPERLINK("https://klocwork.india.ti.com:443/review/insight-review.html#issuedetails_goto:problemid=119513,project=MCU_PLUS_SDK_AM263X,searchquery=taxonomy:'C and C++' build:Build_Apr_13_2023_11_11_AM grouping:off ","KW Issue Link")</f>
        <v>KW Issue Link</v>
      </c>
      <c r="O844" s="1" t="s">
        <v>291</v>
      </c>
    </row>
    <row r="845" spans="1:15" ht="75" x14ac:dyDescent="0.25">
      <c r="A845" s="1" t="s">
        <v>1257</v>
      </c>
      <c r="B845" s="1"/>
      <c r="C845" s="1" t="s">
        <v>1270</v>
      </c>
      <c r="D845" s="1">
        <v>119514</v>
      </c>
      <c r="E845" s="1">
        <v>337</v>
      </c>
      <c r="F845" s="1" t="s">
        <v>1293</v>
      </c>
      <c r="G845" s="1" t="s">
        <v>1294</v>
      </c>
      <c r="H845" s="1" t="s">
        <v>141</v>
      </c>
      <c r="I845" s="1" t="s">
        <v>65</v>
      </c>
      <c r="J845" s="1">
        <v>3</v>
      </c>
      <c r="K845" s="1" t="s">
        <v>142</v>
      </c>
      <c r="L845" s="1" t="s">
        <v>153</v>
      </c>
      <c r="M845" s="1" t="s">
        <v>1256</v>
      </c>
      <c r="N845" s="1" t="str">
        <f>HYPERLINK("https://klocwork.india.ti.com:443/review/insight-review.html#issuedetails_goto:problemid=119514,project=MCU_PLUS_SDK_AM263X,searchquery=taxonomy:'C and C++' build:Build_Apr_13_2023_11_11_AM grouping:off ","KW Issue Link")</f>
        <v>KW Issue Link</v>
      </c>
      <c r="O845" s="1" t="s">
        <v>291</v>
      </c>
    </row>
    <row r="846" spans="1:15" ht="75" x14ac:dyDescent="0.25">
      <c r="A846" s="1" t="s">
        <v>1257</v>
      </c>
      <c r="B846" s="1"/>
      <c r="C846" s="1" t="s">
        <v>1270</v>
      </c>
      <c r="D846" s="1">
        <v>119515</v>
      </c>
      <c r="E846" s="1">
        <v>349</v>
      </c>
      <c r="F846" s="1" t="s">
        <v>1295</v>
      </c>
      <c r="G846" s="1" t="s">
        <v>1296</v>
      </c>
      <c r="H846" s="1" t="s">
        <v>141</v>
      </c>
      <c r="I846" s="1" t="s">
        <v>65</v>
      </c>
      <c r="J846" s="1">
        <v>3</v>
      </c>
      <c r="K846" s="1" t="s">
        <v>142</v>
      </c>
      <c r="L846" s="1" t="s">
        <v>153</v>
      </c>
      <c r="M846" s="1" t="s">
        <v>1256</v>
      </c>
      <c r="N846" s="1" t="str">
        <f>HYPERLINK("https://klocwork.india.ti.com:443/review/insight-review.html#issuedetails_goto:problemid=119515,project=MCU_PLUS_SDK_AM263X,searchquery=taxonomy:'C and C++' build:Build_Apr_13_2023_11_11_AM grouping:off ","KW Issue Link")</f>
        <v>KW Issue Link</v>
      </c>
      <c r="O846" s="1" t="s">
        <v>291</v>
      </c>
    </row>
    <row r="847" spans="1:15" ht="75" x14ac:dyDescent="0.25">
      <c r="A847" s="1" t="s">
        <v>1257</v>
      </c>
      <c r="B847" s="1"/>
      <c r="C847" s="1" t="s">
        <v>1270</v>
      </c>
      <c r="D847" s="1">
        <v>119516</v>
      </c>
      <c r="E847" s="1">
        <v>361</v>
      </c>
      <c r="F847" s="1" t="s">
        <v>1297</v>
      </c>
      <c r="G847" s="1" t="s">
        <v>1298</v>
      </c>
      <c r="H847" s="1" t="s">
        <v>141</v>
      </c>
      <c r="I847" s="1" t="s">
        <v>65</v>
      </c>
      <c r="J847" s="1">
        <v>3</v>
      </c>
      <c r="K847" s="1" t="s">
        <v>142</v>
      </c>
      <c r="L847" s="1" t="s">
        <v>153</v>
      </c>
      <c r="M847" s="1" t="s">
        <v>1256</v>
      </c>
      <c r="N847" s="1" t="str">
        <f>HYPERLINK("https://klocwork.india.ti.com:443/review/insight-review.html#issuedetails_goto:problemid=119516,project=MCU_PLUS_SDK_AM263X,searchquery=taxonomy:'C and C++' build:Build_Apr_13_2023_11_11_AM grouping:off ","KW Issue Link")</f>
        <v>KW Issue Link</v>
      </c>
      <c r="O847" s="1" t="s">
        <v>291</v>
      </c>
    </row>
    <row r="848" spans="1:15" ht="75" x14ac:dyDescent="0.25">
      <c r="A848" s="1" t="s">
        <v>1257</v>
      </c>
      <c r="B848" s="1"/>
      <c r="C848" s="1" t="s">
        <v>1270</v>
      </c>
      <c r="D848" s="1">
        <v>119517</v>
      </c>
      <c r="E848" s="1">
        <v>373</v>
      </c>
      <c r="F848" s="1" t="s">
        <v>1299</v>
      </c>
      <c r="G848" s="1" t="s">
        <v>1300</v>
      </c>
      <c r="H848" s="1" t="s">
        <v>141</v>
      </c>
      <c r="I848" s="1" t="s">
        <v>65</v>
      </c>
      <c r="J848" s="1">
        <v>3</v>
      </c>
      <c r="K848" s="1" t="s">
        <v>142</v>
      </c>
      <c r="L848" s="1" t="s">
        <v>153</v>
      </c>
      <c r="M848" s="1" t="s">
        <v>1256</v>
      </c>
      <c r="N848" s="1" t="str">
        <f>HYPERLINK("https://klocwork.india.ti.com:443/review/insight-review.html#issuedetails_goto:problemid=119517,project=MCU_PLUS_SDK_AM263X,searchquery=taxonomy:'C and C++' build:Build_Apr_13_2023_11_11_AM grouping:off ","KW Issue Link")</f>
        <v>KW Issue Link</v>
      </c>
      <c r="O848" s="1" t="s">
        <v>291</v>
      </c>
    </row>
    <row r="849" spans="1:15" ht="75" x14ac:dyDescent="0.25">
      <c r="A849" s="1" t="s">
        <v>1257</v>
      </c>
      <c r="B849" s="1"/>
      <c r="C849" s="1" t="s">
        <v>1270</v>
      </c>
      <c r="D849" s="1">
        <v>119518</v>
      </c>
      <c r="E849" s="1">
        <v>385</v>
      </c>
      <c r="F849" s="1" t="s">
        <v>1301</v>
      </c>
      <c r="G849" s="1" t="s">
        <v>1302</v>
      </c>
      <c r="H849" s="1" t="s">
        <v>141</v>
      </c>
      <c r="I849" s="1" t="s">
        <v>65</v>
      </c>
      <c r="J849" s="1">
        <v>3</v>
      </c>
      <c r="K849" s="1" t="s">
        <v>142</v>
      </c>
      <c r="L849" s="1" t="s">
        <v>153</v>
      </c>
      <c r="M849" s="1" t="s">
        <v>1256</v>
      </c>
      <c r="N849" s="1" t="str">
        <f>HYPERLINK("https://klocwork.india.ti.com:443/review/insight-review.html#issuedetails_goto:problemid=119518,project=MCU_PLUS_SDK_AM263X,searchquery=taxonomy:'C and C++' build:Build_Apr_13_2023_11_11_AM grouping:off ","KW Issue Link")</f>
        <v>KW Issue Link</v>
      </c>
      <c r="O849" s="1" t="s">
        <v>291</v>
      </c>
    </row>
    <row r="850" spans="1:15" ht="75" x14ac:dyDescent="0.25">
      <c r="A850" s="1" t="s">
        <v>1257</v>
      </c>
      <c r="B850" s="1"/>
      <c r="C850" s="1" t="s">
        <v>1270</v>
      </c>
      <c r="D850" s="1">
        <v>119519</v>
      </c>
      <c r="E850" s="1">
        <v>397</v>
      </c>
      <c r="F850" s="1" t="s">
        <v>1303</v>
      </c>
      <c r="G850" s="1" t="s">
        <v>1304</v>
      </c>
      <c r="H850" s="1" t="s">
        <v>141</v>
      </c>
      <c r="I850" s="1" t="s">
        <v>65</v>
      </c>
      <c r="J850" s="1">
        <v>3</v>
      </c>
      <c r="K850" s="1" t="s">
        <v>142</v>
      </c>
      <c r="L850" s="1" t="s">
        <v>153</v>
      </c>
      <c r="M850" s="1" t="s">
        <v>1256</v>
      </c>
      <c r="N850" s="1" t="str">
        <f>HYPERLINK("https://klocwork.india.ti.com:443/review/insight-review.html#issuedetails_goto:problemid=119519,project=MCU_PLUS_SDK_AM263X,searchquery=taxonomy:'C and C++' build:Build_Apr_13_2023_11_11_AM grouping:off ","KW Issue Link")</f>
        <v>KW Issue Link</v>
      </c>
      <c r="O850" s="1" t="s">
        <v>291</v>
      </c>
    </row>
    <row r="851" spans="1:15" ht="75" x14ac:dyDescent="0.25">
      <c r="A851" s="1" t="s">
        <v>1257</v>
      </c>
      <c r="B851" s="1"/>
      <c r="C851" s="1" t="s">
        <v>1270</v>
      </c>
      <c r="D851" s="1">
        <v>119520</v>
      </c>
      <c r="E851" s="1">
        <v>409</v>
      </c>
      <c r="F851" s="1" t="s">
        <v>1305</v>
      </c>
      <c r="G851" s="1" t="s">
        <v>1306</v>
      </c>
      <c r="H851" s="1" t="s">
        <v>141</v>
      </c>
      <c r="I851" s="1" t="s">
        <v>65</v>
      </c>
      <c r="J851" s="1">
        <v>3</v>
      </c>
      <c r="K851" s="1" t="s">
        <v>142</v>
      </c>
      <c r="L851" s="1" t="s">
        <v>153</v>
      </c>
      <c r="M851" s="1" t="s">
        <v>1256</v>
      </c>
      <c r="N851" s="1" t="str">
        <f>HYPERLINK("https://klocwork.india.ti.com:443/review/insight-review.html#issuedetails_goto:problemid=119520,project=MCU_PLUS_SDK_AM263X,searchquery=taxonomy:'C and C++' build:Build_Apr_13_2023_11_11_AM grouping:off ","KW Issue Link")</f>
        <v>KW Issue Link</v>
      </c>
      <c r="O851" s="1" t="s">
        <v>291</v>
      </c>
    </row>
    <row r="852" spans="1:15" ht="75" x14ac:dyDescent="0.25">
      <c r="A852" s="1" t="s">
        <v>1257</v>
      </c>
      <c r="B852" s="1"/>
      <c r="C852" s="1" t="s">
        <v>1270</v>
      </c>
      <c r="D852" s="1">
        <v>119521</v>
      </c>
      <c r="E852" s="1">
        <v>419</v>
      </c>
      <c r="F852" s="1" t="s">
        <v>1307</v>
      </c>
      <c r="G852" s="1" t="s">
        <v>1308</v>
      </c>
      <c r="H852" s="1" t="s">
        <v>141</v>
      </c>
      <c r="I852" s="1" t="s">
        <v>65</v>
      </c>
      <c r="J852" s="1">
        <v>3</v>
      </c>
      <c r="K852" s="1" t="s">
        <v>142</v>
      </c>
      <c r="L852" s="1" t="s">
        <v>153</v>
      </c>
      <c r="M852" s="1" t="s">
        <v>1256</v>
      </c>
      <c r="N852" s="1" t="str">
        <f>HYPERLINK("https://klocwork.india.ti.com:443/review/insight-review.html#issuedetails_goto:problemid=119521,project=MCU_PLUS_SDK_AM263X,searchquery=taxonomy:'C and C++' build:Build_Apr_13_2023_11_11_AM grouping:off ","KW Issue Link")</f>
        <v>KW Issue Link</v>
      </c>
      <c r="O852" s="1" t="s">
        <v>291</v>
      </c>
    </row>
    <row r="853" spans="1:15" ht="75" x14ac:dyDescent="0.25">
      <c r="A853" s="1" t="s">
        <v>1257</v>
      </c>
      <c r="B853" s="1"/>
      <c r="C853" s="1" t="s">
        <v>1270</v>
      </c>
      <c r="D853" s="1">
        <v>119522</v>
      </c>
      <c r="E853" s="1">
        <v>429</v>
      </c>
      <c r="F853" s="1" t="s">
        <v>1309</v>
      </c>
      <c r="G853" s="1" t="s">
        <v>1310</v>
      </c>
      <c r="H853" s="1" t="s">
        <v>141</v>
      </c>
      <c r="I853" s="1" t="s">
        <v>65</v>
      </c>
      <c r="J853" s="1">
        <v>3</v>
      </c>
      <c r="K853" s="1" t="s">
        <v>142</v>
      </c>
      <c r="L853" s="1" t="s">
        <v>153</v>
      </c>
      <c r="M853" s="1" t="s">
        <v>1256</v>
      </c>
      <c r="N853" s="1" t="str">
        <f>HYPERLINK("https://klocwork.india.ti.com:443/review/insight-review.html#issuedetails_goto:problemid=119522,project=MCU_PLUS_SDK_AM263X,searchquery=taxonomy:'C and C++' build:Build_Apr_13_2023_11_11_AM grouping:off ","KW Issue Link")</f>
        <v>KW Issue Link</v>
      </c>
      <c r="O853" s="1" t="s">
        <v>291</v>
      </c>
    </row>
    <row r="854" spans="1:15" ht="75" x14ac:dyDescent="0.25">
      <c r="A854" s="1" t="s">
        <v>1257</v>
      </c>
      <c r="B854" s="1"/>
      <c r="C854" s="1" t="s">
        <v>1270</v>
      </c>
      <c r="D854" s="1">
        <v>119523</v>
      </c>
      <c r="E854" s="1">
        <v>440</v>
      </c>
      <c r="F854" s="1" t="s">
        <v>1311</v>
      </c>
      <c r="G854" s="1" t="s">
        <v>1312</v>
      </c>
      <c r="H854" s="1" t="s">
        <v>141</v>
      </c>
      <c r="I854" s="1" t="s">
        <v>65</v>
      </c>
      <c r="J854" s="1">
        <v>3</v>
      </c>
      <c r="K854" s="1" t="s">
        <v>142</v>
      </c>
      <c r="L854" s="1" t="s">
        <v>153</v>
      </c>
      <c r="M854" s="1" t="s">
        <v>1256</v>
      </c>
      <c r="N854" s="1" t="str">
        <f>HYPERLINK("https://klocwork.india.ti.com:443/review/insight-review.html#issuedetails_goto:problemid=119523,project=MCU_PLUS_SDK_AM263X,searchquery=taxonomy:'C and C++' build:Build_Apr_13_2023_11_11_AM grouping:off ","KW Issue Link")</f>
        <v>KW Issue Link</v>
      </c>
      <c r="O854" s="1" t="s">
        <v>291</v>
      </c>
    </row>
    <row r="855" spans="1:15" ht="75" x14ac:dyDescent="0.25">
      <c r="A855" s="1" t="s">
        <v>1257</v>
      </c>
      <c r="B855" s="1"/>
      <c r="C855" s="1" t="s">
        <v>1270</v>
      </c>
      <c r="D855" s="1">
        <v>119524</v>
      </c>
      <c r="E855" s="1">
        <v>450</v>
      </c>
      <c r="F855" s="1" t="s">
        <v>1313</v>
      </c>
      <c r="G855" s="1" t="s">
        <v>1314</v>
      </c>
      <c r="H855" s="1" t="s">
        <v>141</v>
      </c>
      <c r="I855" s="1" t="s">
        <v>65</v>
      </c>
      <c r="J855" s="1">
        <v>3</v>
      </c>
      <c r="K855" s="1" t="s">
        <v>142</v>
      </c>
      <c r="L855" s="1" t="s">
        <v>153</v>
      </c>
      <c r="M855" s="1" t="s">
        <v>1256</v>
      </c>
      <c r="N855" s="1" t="str">
        <f>HYPERLINK("https://klocwork.india.ti.com:443/review/insight-review.html#issuedetails_goto:problemid=119524,project=MCU_PLUS_SDK_AM263X,searchquery=taxonomy:'C and C++' build:Build_Apr_13_2023_11_11_AM grouping:off ","KW Issue Link")</f>
        <v>KW Issue Link</v>
      </c>
      <c r="O855" s="1" t="s">
        <v>291</v>
      </c>
    </row>
    <row r="856" spans="1:15" ht="75" x14ac:dyDescent="0.25">
      <c r="A856" s="1" t="s">
        <v>1257</v>
      </c>
      <c r="B856" s="1"/>
      <c r="C856" s="1" t="s">
        <v>1270</v>
      </c>
      <c r="D856" s="1">
        <v>119525</v>
      </c>
      <c r="E856" s="1">
        <v>458</v>
      </c>
      <c r="F856" s="1" t="s">
        <v>1315</v>
      </c>
      <c r="G856" s="1" t="s">
        <v>1316</v>
      </c>
      <c r="H856" s="1" t="s">
        <v>141</v>
      </c>
      <c r="I856" s="1" t="s">
        <v>65</v>
      </c>
      <c r="J856" s="1">
        <v>3</v>
      </c>
      <c r="K856" s="1" t="s">
        <v>142</v>
      </c>
      <c r="L856" s="1" t="s">
        <v>153</v>
      </c>
      <c r="M856" s="1" t="s">
        <v>1256</v>
      </c>
      <c r="N856" s="1" t="str">
        <f>HYPERLINK("https://klocwork.india.ti.com:443/review/insight-review.html#issuedetails_goto:problemid=119525,project=MCU_PLUS_SDK_AM263X,searchquery=taxonomy:'C and C++' build:Build_Apr_13_2023_11_11_AM grouping:off ","KW Issue Link")</f>
        <v>KW Issue Link</v>
      </c>
      <c r="O856" s="1" t="s">
        <v>291</v>
      </c>
    </row>
    <row r="857" spans="1:15" ht="75" x14ac:dyDescent="0.25">
      <c r="A857" s="1" t="s">
        <v>1257</v>
      </c>
      <c r="B857" s="1"/>
      <c r="C857" s="1" t="s">
        <v>1270</v>
      </c>
      <c r="D857" s="1">
        <v>119526</v>
      </c>
      <c r="E857" s="1">
        <v>469</v>
      </c>
      <c r="F857" s="1" t="s">
        <v>1317</v>
      </c>
      <c r="G857" s="1" t="s">
        <v>1318</v>
      </c>
      <c r="H857" s="1" t="s">
        <v>141</v>
      </c>
      <c r="I857" s="1" t="s">
        <v>65</v>
      </c>
      <c r="J857" s="1">
        <v>3</v>
      </c>
      <c r="K857" s="1" t="s">
        <v>142</v>
      </c>
      <c r="L857" s="1" t="s">
        <v>153</v>
      </c>
      <c r="M857" s="1" t="s">
        <v>1256</v>
      </c>
      <c r="N857" s="1" t="str">
        <f>HYPERLINK("https://klocwork.india.ti.com:443/review/insight-review.html#issuedetails_goto:problemid=119526,project=MCU_PLUS_SDK_AM263X,searchquery=taxonomy:'C and C++' build:Build_Apr_13_2023_11_11_AM grouping:off ","KW Issue Link")</f>
        <v>KW Issue Link</v>
      </c>
      <c r="O857" s="1" t="s">
        <v>291</v>
      </c>
    </row>
    <row r="858" spans="1:15" ht="75" x14ac:dyDescent="0.25">
      <c r="A858" s="1" t="s">
        <v>1257</v>
      </c>
      <c r="B858" s="1"/>
      <c r="C858" s="1" t="s">
        <v>1270</v>
      </c>
      <c r="D858" s="1">
        <v>119527</v>
      </c>
      <c r="E858" s="1">
        <v>486</v>
      </c>
      <c r="F858" s="1" t="s">
        <v>1319</v>
      </c>
      <c r="G858" s="1" t="s">
        <v>1320</v>
      </c>
      <c r="H858" s="1" t="s">
        <v>141</v>
      </c>
      <c r="I858" s="1" t="s">
        <v>65</v>
      </c>
      <c r="J858" s="1">
        <v>3</v>
      </c>
      <c r="K858" s="1" t="s">
        <v>142</v>
      </c>
      <c r="L858" s="1" t="s">
        <v>153</v>
      </c>
      <c r="M858" s="1" t="s">
        <v>1256</v>
      </c>
      <c r="N858" s="1" t="str">
        <f>HYPERLINK("https://klocwork.india.ti.com:443/review/insight-review.html#issuedetails_goto:problemid=119527,project=MCU_PLUS_SDK_AM263X,searchquery=taxonomy:'C and C++' build:Build_Apr_13_2023_11_11_AM grouping:off ","KW Issue Link")</f>
        <v>KW Issue Link</v>
      </c>
      <c r="O858" s="1" t="s">
        <v>291</v>
      </c>
    </row>
    <row r="859" spans="1:15" ht="75" x14ac:dyDescent="0.25">
      <c r="A859" s="1" t="s">
        <v>1257</v>
      </c>
      <c r="B859" s="1"/>
      <c r="C859" s="1" t="s">
        <v>1270</v>
      </c>
      <c r="D859" s="1">
        <v>119528</v>
      </c>
      <c r="E859" s="1">
        <v>504</v>
      </c>
      <c r="F859" s="1" t="s">
        <v>1321</v>
      </c>
      <c r="G859" s="1" t="s">
        <v>1322</v>
      </c>
      <c r="H859" s="1" t="s">
        <v>141</v>
      </c>
      <c r="I859" s="1" t="s">
        <v>65</v>
      </c>
      <c r="J859" s="1">
        <v>3</v>
      </c>
      <c r="K859" s="1" t="s">
        <v>142</v>
      </c>
      <c r="L859" s="1" t="s">
        <v>153</v>
      </c>
      <c r="M859" s="1" t="s">
        <v>1256</v>
      </c>
      <c r="N859" s="1" t="str">
        <f>HYPERLINK("https://klocwork.india.ti.com:443/review/insight-review.html#issuedetails_goto:problemid=119528,project=MCU_PLUS_SDK_AM263X,searchquery=taxonomy:'C and C++' build:Build_Apr_13_2023_11_11_AM grouping:off ","KW Issue Link")</f>
        <v>KW Issue Link</v>
      </c>
      <c r="O859" s="1" t="s">
        <v>291</v>
      </c>
    </row>
    <row r="860" spans="1:15" ht="75" x14ac:dyDescent="0.25">
      <c r="A860" s="1" t="s">
        <v>1266</v>
      </c>
      <c r="B860" s="1"/>
      <c r="C860" s="1" t="s">
        <v>1270</v>
      </c>
      <c r="D860" s="1">
        <v>119529</v>
      </c>
      <c r="E860" s="1">
        <v>89</v>
      </c>
      <c r="F860" s="1" t="s">
        <v>1323</v>
      </c>
      <c r="G860" s="1" t="s">
        <v>1272</v>
      </c>
      <c r="H860" s="1" t="s">
        <v>141</v>
      </c>
      <c r="I860" s="1" t="s">
        <v>65</v>
      </c>
      <c r="J860" s="1">
        <v>3</v>
      </c>
      <c r="K860" s="1" t="s">
        <v>142</v>
      </c>
      <c r="L860" s="1" t="s">
        <v>153</v>
      </c>
      <c r="M860" s="1" t="s">
        <v>1256</v>
      </c>
      <c r="N860" s="1" t="str">
        <f>HYPERLINK("https://klocwork.india.ti.com:443/review/insight-review.html#issuedetails_goto:problemid=119529,project=MCU_PLUS_SDK_AM263X,searchquery=taxonomy:'C and C++' build:Build_Apr_13_2023_11_11_AM grouping:off ","KW Issue Link")</f>
        <v>KW Issue Link</v>
      </c>
      <c r="O860" s="1" t="s">
        <v>291</v>
      </c>
    </row>
    <row r="861" spans="1:15" ht="75" x14ac:dyDescent="0.25">
      <c r="A861" s="1" t="s">
        <v>1266</v>
      </c>
      <c r="B861" s="1"/>
      <c r="C861" s="1" t="s">
        <v>1270</v>
      </c>
      <c r="D861" s="1">
        <v>119530</v>
      </c>
      <c r="E861" s="1">
        <v>102</v>
      </c>
      <c r="F861" s="1" t="s">
        <v>1324</v>
      </c>
      <c r="G861" s="1" t="s">
        <v>1274</v>
      </c>
      <c r="H861" s="1" t="s">
        <v>141</v>
      </c>
      <c r="I861" s="1" t="s">
        <v>65</v>
      </c>
      <c r="J861" s="1">
        <v>3</v>
      </c>
      <c r="K861" s="1" t="s">
        <v>142</v>
      </c>
      <c r="L861" s="1" t="s">
        <v>153</v>
      </c>
      <c r="M861" s="1" t="s">
        <v>1256</v>
      </c>
      <c r="N861" s="1" t="str">
        <f>HYPERLINK("https://klocwork.india.ti.com:443/review/insight-review.html#issuedetails_goto:problemid=119530,project=MCU_PLUS_SDK_AM263X,searchquery=taxonomy:'C and C++' build:Build_Apr_13_2023_11_11_AM grouping:off ","KW Issue Link")</f>
        <v>KW Issue Link</v>
      </c>
      <c r="O861" s="1" t="s">
        <v>291</v>
      </c>
    </row>
    <row r="862" spans="1:15" ht="75" x14ac:dyDescent="0.25">
      <c r="A862" s="1" t="s">
        <v>1266</v>
      </c>
      <c r="B862" s="1"/>
      <c r="C862" s="1" t="s">
        <v>1270</v>
      </c>
      <c r="D862" s="1">
        <v>119531</v>
      </c>
      <c r="E862" s="1">
        <v>119</v>
      </c>
      <c r="F862" s="1" t="s">
        <v>1325</v>
      </c>
      <c r="G862" s="1" t="s">
        <v>1276</v>
      </c>
      <c r="H862" s="1" t="s">
        <v>141</v>
      </c>
      <c r="I862" s="1" t="s">
        <v>65</v>
      </c>
      <c r="J862" s="1">
        <v>3</v>
      </c>
      <c r="K862" s="1" t="s">
        <v>142</v>
      </c>
      <c r="L862" s="1" t="s">
        <v>153</v>
      </c>
      <c r="M862" s="1" t="s">
        <v>1256</v>
      </c>
      <c r="N862" s="1" t="str">
        <f>HYPERLINK("https://klocwork.india.ti.com:443/review/insight-review.html#issuedetails_goto:problemid=119531,project=MCU_PLUS_SDK_AM263X,searchquery=taxonomy:'C and C++' build:Build_Apr_13_2023_11_11_AM grouping:off ","KW Issue Link")</f>
        <v>KW Issue Link</v>
      </c>
      <c r="O862" s="1" t="s">
        <v>291</v>
      </c>
    </row>
    <row r="863" spans="1:15" ht="75" x14ac:dyDescent="0.25">
      <c r="A863" s="1" t="s">
        <v>1266</v>
      </c>
      <c r="B863" s="1"/>
      <c r="C863" s="1" t="s">
        <v>1270</v>
      </c>
      <c r="D863" s="1">
        <v>119532</v>
      </c>
      <c r="E863" s="1">
        <v>132</v>
      </c>
      <c r="F863" s="1" t="s">
        <v>1326</v>
      </c>
      <c r="G863" s="1" t="s">
        <v>1278</v>
      </c>
      <c r="H863" s="1" t="s">
        <v>141</v>
      </c>
      <c r="I863" s="1" t="s">
        <v>65</v>
      </c>
      <c r="J863" s="1">
        <v>3</v>
      </c>
      <c r="K863" s="1" t="s">
        <v>142</v>
      </c>
      <c r="L863" s="1" t="s">
        <v>153</v>
      </c>
      <c r="M863" s="1" t="s">
        <v>1256</v>
      </c>
      <c r="N863" s="1" t="str">
        <f>HYPERLINK("https://klocwork.india.ti.com:443/review/insight-review.html#issuedetails_goto:problemid=119532,project=MCU_PLUS_SDK_AM263X,searchquery=taxonomy:'C and C++' build:Build_Apr_13_2023_11_11_AM grouping:off ","KW Issue Link")</f>
        <v>KW Issue Link</v>
      </c>
      <c r="O863" s="1" t="s">
        <v>291</v>
      </c>
    </row>
    <row r="864" spans="1:15" ht="75" x14ac:dyDescent="0.25">
      <c r="A864" s="1" t="s">
        <v>1257</v>
      </c>
      <c r="B864" s="1"/>
      <c r="C864" s="1" t="s">
        <v>293</v>
      </c>
      <c r="D864" s="1">
        <v>119537</v>
      </c>
      <c r="E864" s="1">
        <v>149</v>
      </c>
      <c r="F864" s="1" t="s">
        <v>1327</v>
      </c>
      <c r="G864" s="1" t="s">
        <v>1328</v>
      </c>
      <c r="H864" s="1" t="s">
        <v>141</v>
      </c>
      <c r="I864" s="1" t="s">
        <v>65</v>
      </c>
      <c r="J864" s="1">
        <v>3</v>
      </c>
      <c r="K864" s="1" t="s">
        <v>142</v>
      </c>
      <c r="L864" s="1" t="s">
        <v>153</v>
      </c>
      <c r="M864" s="1" t="s">
        <v>1256</v>
      </c>
      <c r="N864" s="1" t="str">
        <f>HYPERLINK("https://klocwork.india.ti.com:443/review/insight-review.html#issuedetails_goto:problemid=119537,project=MCU_PLUS_SDK_AM263X,searchquery=taxonomy:'C and C++' build:Build_Apr_13_2023_11_11_AM grouping:off ","KW Issue Link")</f>
        <v>KW Issue Link</v>
      </c>
      <c r="O864" s="1" t="s">
        <v>291</v>
      </c>
    </row>
    <row r="865" spans="1:15" ht="60" x14ac:dyDescent="0.25">
      <c r="A865" s="1" t="s">
        <v>1257</v>
      </c>
      <c r="B865" s="1"/>
      <c r="C865" s="1" t="s">
        <v>293</v>
      </c>
      <c r="D865" s="1">
        <v>119545</v>
      </c>
      <c r="E865" s="1">
        <v>579</v>
      </c>
      <c r="F865" s="1" t="s">
        <v>1329</v>
      </c>
      <c r="G865" s="1" t="s">
        <v>301</v>
      </c>
      <c r="H865" s="1" t="s">
        <v>141</v>
      </c>
      <c r="I865" s="1" t="s">
        <v>65</v>
      </c>
      <c r="J865" s="1">
        <v>3</v>
      </c>
      <c r="K865" s="1" t="s">
        <v>142</v>
      </c>
      <c r="L865" s="1" t="s">
        <v>153</v>
      </c>
      <c r="M865" s="1" t="s">
        <v>1256</v>
      </c>
      <c r="N865" s="1" t="str">
        <f>HYPERLINK("https://klocwork.india.ti.com:443/review/insight-review.html#issuedetails_goto:problemid=119545,project=MCU_PLUS_SDK_AM263X,searchquery=taxonomy:'C and C++' build:Build_Apr_13_2023_11_11_AM grouping:off ","KW Issue Link")</f>
        <v>KW Issue Link</v>
      </c>
      <c r="O865" s="1" t="s">
        <v>291</v>
      </c>
    </row>
    <row r="866" spans="1:15" ht="60" x14ac:dyDescent="0.25">
      <c r="A866" s="1" t="s">
        <v>1257</v>
      </c>
      <c r="B866" s="1"/>
      <c r="C866" s="1" t="s">
        <v>293</v>
      </c>
      <c r="D866" s="1">
        <v>119548</v>
      </c>
      <c r="E866" s="1">
        <v>703</v>
      </c>
      <c r="F866" s="1" t="s">
        <v>1330</v>
      </c>
      <c r="G866" s="1" t="s">
        <v>1331</v>
      </c>
      <c r="H866" s="1" t="s">
        <v>141</v>
      </c>
      <c r="I866" s="1" t="s">
        <v>65</v>
      </c>
      <c r="J866" s="1">
        <v>3</v>
      </c>
      <c r="K866" s="1" t="s">
        <v>142</v>
      </c>
      <c r="L866" s="1" t="s">
        <v>153</v>
      </c>
      <c r="M866" s="1" t="s">
        <v>1256</v>
      </c>
      <c r="N866" s="1" t="str">
        <f>HYPERLINK("https://klocwork.india.ti.com:443/review/insight-review.html#issuedetails_goto:problemid=119548,project=MCU_PLUS_SDK_AM263X,searchquery=taxonomy:'C and C++' build:Build_Apr_13_2023_11_11_AM grouping:off ","KW Issue Link")</f>
        <v>KW Issue Link</v>
      </c>
      <c r="O866" s="1" t="s">
        <v>291</v>
      </c>
    </row>
    <row r="867" spans="1:15" ht="60" x14ac:dyDescent="0.25">
      <c r="A867" s="1" t="s">
        <v>1257</v>
      </c>
      <c r="B867" s="1"/>
      <c r="C867" s="1" t="s">
        <v>293</v>
      </c>
      <c r="D867" s="1">
        <v>119553</v>
      </c>
      <c r="E867" s="1">
        <v>860</v>
      </c>
      <c r="F867" s="1" t="s">
        <v>1332</v>
      </c>
      <c r="G867" s="1" t="s">
        <v>1333</v>
      </c>
      <c r="H867" s="1" t="s">
        <v>141</v>
      </c>
      <c r="I867" s="1" t="s">
        <v>65</v>
      </c>
      <c r="J867" s="1">
        <v>3</v>
      </c>
      <c r="K867" s="1" t="s">
        <v>142</v>
      </c>
      <c r="L867" s="1" t="s">
        <v>153</v>
      </c>
      <c r="M867" s="1" t="s">
        <v>1256</v>
      </c>
      <c r="N867" s="1" t="str">
        <f>HYPERLINK("https://klocwork.india.ti.com:443/review/insight-review.html#issuedetails_goto:problemid=119553,project=MCU_PLUS_SDK_AM263X,searchquery=taxonomy:'C and C++' build:Build_Apr_13_2023_11_11_AM grouping:off ","KW Issue Link")</f>
        <v>KW Issue Link</v>
      </c>
      <c r="O867" s="1" t="s">
        <v>291</v>
      </c>
    </row>
    <row r="868" spans="1:15" ht="60" x14ac:dyDescent="0.25">
      <c r="A868" s="1" t="s">
        <v>1257</v>
      </c>
      <c r="B868" s="1"/>
      <c r="C868" s="1" t="s">
        <v>293</v>
      </c>
      <c r="D868" s="1">
        <v>119554</v>
      </c>
      <c r="E868" s="1">
        <v>941</v>
      </c>
      <c r="F868" s="1" t="s">
        <v>1334</v>
      </c>
      <c r="G868" s="1" t="s">
        <v>1335</v>
      </c>
      <c r="H868" s="1" t="s">
        <v>141</v>
      </c>
      <c r="I868" s="1" t="s">
        <v>65</v>
      </c>
      <c r="J868" s="1">
        <v>3</v>
      </c>
      <c r="K868" s="1" t="s">
        <v>142</v>
      </c>
      <c r="L868" s="1" t="s">
        <v>153</v>
      </c>
      <c r="M868" s="1" t="s">
        <v>1256</v>
      </c>
      <c r="N868" s="1" t="str">
        <f>HYPERLINK("https://klocwork.india.ti.com:443/review/insight-review.html#issuedetails_goto:problemid=119554,project=MCU_PLUS_SDK_AM263X,searchquery=taxonomy:'C and C++' build:Build_Apr_13_2023_11_11_AM grouping:off ","KW Issue Link")</f>
        <v>KW Issue Link</v>
      </c>
      <c r="O868" s="1" t="s">
        <v>291</v>
      </c>
    </row>
    <row r="869" spans="1:15" ht="60" x14ac:dyDescent="0.25">
      <c r="A869" s="1" t="s">
        <v>1257</v>
      </c>
      <c r="B869" s="1"/>
      <c r="C869" s="1" t="s">
        <v>293</v>
      </c>
      <c r="D869" s="1">
        <v>119555</v>
      </c>
      <c r="E869" s="1">
        <v>997</v>
      </c>
      <c r="F869" s="1" t="s">
        <v>1336</v>
      </c>
      <c r="G869" s="1" t="s">
        <v>1337</v>
      </c>
      <c r="H869" s="1" t="s">
        <v>141</v>
      </c>
      <c r="I869" s="1" t="s">
        <v>65</v>
      </c>
      <c r="J869" s="1">
        <v>3</v>
      </c>
      <c r="K869" s="1" t="s">
        <v>142</v>
      </c>
      <c r="L869" s="1" t="s">
        <v>153</v>
      </c>
      <c r="M869" s="1" t="s">
        <v>1256</v>
      </c>
      <c r="N869" s="1" t="str">
        <f>HYPERLINK("https://klocwork.india.ti.com:443/review/insight-review.html#issuedetails_goto:problemid=119555,project=MCU_PLUS_SDK_AM263X,searchquery=taxonomy:'C and C++' build:Build_Apr_13_2023_11_11_AM grouping:off ","KW Issue Link")</f>
        <v>KW Issue Link</v>
      </c>
      <c r="O869" s="1" t="s">
        <v>291</v>
      </c>
    </row>
    <row r="870" spans="1:15" ht="75" x14ac:dyDescent="0.25">
      <c r="A870" s="1" t="s">
        <v>1266</v>
      </c>
      <c r="B870" s="1"/>
      <c r="C870" s="1" t="s">
        <v>293</v>
      </c>
      <c r="D870" s="1">
        <v>119560</v>
      </c>
      <c r="E870" s="1">
        <v>149</v>
      </c>
      <c r="F870" s="1" t="s">
        <v>1338</v>
      </c>
      <c r="G870" s="1" t="s">
        <v>1328</v>
      </c>
      <c r="H870" s="1" t="s">
        <v>141</v>
      </c>
      <c r="I870" s="1" t="s">
        <v>65</v>
      </c>
      <c r="J870" s="1">
        <v>3</v>
      </c>
      <c r="K870" s="1" t="s">
        <v>142</v>
      </c>
      <c r="L870" s="1" t="s">
        <v>153</v>
      </c>
      <c r="M870" s="1" t="s">
        <v>1256</v>
      </c>
      <c r="N870" s="1" t="str">
        <f>HYPERLINK("https://klocwork.india.ti.com:443/review/insight-review.html#issuedetails_goto:problemid=119560,project=MCU_PLUS_SDK_AM263X,searchquery=taxonomy:'C and C++' build:Build_Apr_13_2023_11_11_AM grouping:off ","KW Issue Link")</f>
        <v>KW Issue Link</v>
      </c>
      <c r="O870" s="1" t="s">
        <v>291</v>
      </c>
    </row>
    <row r="871" spans="1:15" ht="60" x14ac:dyDescent="0.25">
      <c r="A871" s="1" t="s">
        <v>1266</v>
      </c>
      <c r="B871" s="1"/>
      <c r="C871" s="1" t="s">
        <v>293</v>
      </c>
      <c r="D871" s="1">
        <v>119562</v>
      </c>
      <c r="E871" s="1">
        <v>471</v>
      </c>
      <c r="F871" s="1" t="s">
        <v>1339</v>
      </c>
      <c r="G871" s="1" t="s">
        <v>1340</v>
      </c>
      <c r="H871" s="1" t="s">
        <v>141</v>
      </c>
      <c r="I871" s="1" t="s">
        <v>65</v>
      </c>
      <c r="J871" s="1">
        <v>3</v>
      </c>
      <c r="K871" s="1" t="s">
        <v>142</v>
      </c>
      <c r="L871" s="1" t="s">
        <v>153</v>
      </c>
      <c r="M871" s="1" t="s">
        <v>1256</v>
      </c>
      <c r="N871" s="1" t="str">
        <f>HYPERLINK("https://klocwork.india.ti.com:443/review/insight-review.html#issuedetails_goto:problemid=119562,project=MCU_PLUS_SDK_AM263X,searchquery=taxonomy:'C and C++' build:Build_Apr_13_2023_11_11_AM grouping:off ","KW Issue Link")</f>
        <v>KW Issue Link</v>
      </c>
      <c r="O871" s="1" t="s">
        <v>291</v>
      </c>
    </row>
    <row r="872" spans="1:15" ht="60" x14ac:dyDescent="0.25">
      <c r="A872" s="1" t="s">
        <v>1266</v>
      </c>
      <c r="B872" s="1"/>
      <c r="C872" s="1" t="s">
        <v>293</v>
      </c>
      <c r="D872" s="1">
        <v>119563</v>
      </c>
      <c r="E872" s="1">
        <v>579</v>
      </c>
      <c r="F872" s="1" t="s">
        <v>1341</v>
      </c>
      <c r="G872" s="1" t="s">
        <v>301</v>
      </c>
      <c r="H872" s="1" t="s">
        <v>141</v>
      </c>
      <c r="I872" s="1" t="s">
        <v>65</v>
      </c>
      <c r="J872" s="1">
        <v>3</v>
      </c>
      <c r="K872" s="1" t="s">
        <v>142</v>
      </c>
      <c r="L872" s="1" t="s">
        <v>153</v>
      </c>
      <c r="M872" s="1" t="s">
        <v>1256</v>
      </c>
      <c r="N872" s="1" t="str">
        <f>HYPERLINK("https://klocwork.india.ti.com:443/review/insight-review.html#issuedetails_goto:problemid=119563,project=MCU_PLUS_SDK_AM263X,searchquery=taxonomy:'C and C++' build:Build_Apr_13_2023_11_11_AM grouping:off ","KW Issue Link")</f>
        <v>KW Issue Link</v>
      </c>
      <c r="O872" s="1" t="s">
        <v>291</v>
      </c>
    </row>
    <row r="873" spans="1:15" ht="60" x14ac:dyDescent="0.25">
      <c r="A873" s="1" t="s">
        <v>1266</v>
      </c>
      <c r="B873" s="1"/>
      <c r="C873" s="1" t="s">
        <v>293</v>
      </c>
      <c r="D873" s="1">
        <v>119564</v>
      </c>
      <c r="E873" s="1">
        <v>703</v>
      </c>
      <c r="F873" s="1" t="s">
        <v>1342</v>
      </c>
      <c r="G873" s="1" t="s">
        <v>1331</v>
      </c>
      <c r="H873" s="1" t="s">
        <v>141</v>
      </c>
      <c r="I873" s="1" t="s">
        <v>65</v>
      </c>
      <c r="J873" s="1">
        <v>3</v>
      </c>
      <c r="K873" s="1" t="s">
        <v>142</v>
      </c>
      <c r="L873" s="1" t="s">
        <v>153</v>
      </c>
      <c r="M873" s="1" t="s">
        <v>1256</v>
      </c>
      <c r="N873" s="1" t="str">
        <f>HYPERLINK("https://klocwork.india.ti.com:443/review/insight-review.html#issuedetails_goto:problemid=119564,project=MCU_PLUS_SDK_AM263X,searchquery=taxonomy:'C and C++' build:Build_Apr_13_2023_11_11_AM grouping:off ","KW Issue Link")</f>
        <v>KW Issue Link</v>
      </c>
      <c r="O873" s="1" t="s">
        <v>291</v>
      </c>
    </row>
    <row r="874" spans="1:15" ht="60" x14ac:dyDescent="0.25">
      <c r="A874" s="1" t="s">
        <v>1266</v>
      </c>
      <c r="B874" s="1"/>
      <c r="C874" s="1" t="s">
        <v>293</v>
      </c>
      <c r="D874" s="1">
        <v>119565</v>
      </c>
      <c r="E874" s="1">
        <v>860</v>
      </c>
      <c r="F874" s="1" t="s">
        <v>1343</v>
      </c>
      <c r="G874" s="1" t="s">
        <v>1333</v>
      </c>
      <c r="H874" s="1" t="s">
        <v>141</v>
      </c>
      <c r="I874" s="1" t="s">
        <v>65</v>
      </c>
      <c r="J874" s="1">
        <v>3</v>
      </c>
      <c r="K874" s="1" t="s">
        <v>142</v>
      </c>
      <c r="L874" s="1" t="s">
        <v>153</v>
      </c>
      <c r="M874" s="1" t="s">
        <v>1256</v>
      </c>
      <c r="N874" s="1" t="str">
        <f>HYPERLINK("https://klocwork.india.ti.com:443/review/insight-review.html#issuedetails_goto:problemid=119565,project=MCU_PLUS_SDK_AM263X,searchquery=taxonomy:'C and C++' build:Build_Apr_13_2023_11_11_AM grouping:off ","KW Issue Link")</f>
        <v>KW Issue Link</v>
      </c>
      <c r="O874" s="1" t="s">
        <v>291</v>
      </c>
    </row>
    <row r="875" spans="1:15" ht="60" x14ac:dyDescent="0.25">
      <c r="A875" s="1" t="s">
        <v>1266</v>
      </c>
      <c r="B875" s="1"/>
      <c r="C875" s="1" t="s">
        <v>293</v>
      </c>
      <c r="D875" s="1">
        <v>119567</v>
      </c>
      <c r="E875" s="1">
        <v>997</v>
      </c>
      <c r="F875" s="1" t="s">
        <v>1344</v>
      </c>
      <c r="G875" s="1" t="s">
        <v>1337</v>
      </c>
      <c r="H875" s="1" t="s">
        <v>141</v>
      </c>
      <c r="I875" s="1" t="s">
        <v>65</v>
      </c>
      <c r="J875" s="1">
        <v>3</v>
      </c>
      <c r="K875" s="1" t="s">
        <v>142</v>
      </c>
      <c r="L875" s="1" t="s">
        <v>153</v>
      </c>
      <c r="M875" s="1" t="s">
        <v>1256</v>
      </c>
      <c r="N875" s="1" t="str">
        <f>HYPERLINK("https://klocwork.india.ti.com:443/review/insight-review.html#issuedetails_goto:problemid=119567,project=MCU_PLUS_SDK_AM263X,searchquery=taxonomy:'C and C++' build:Build_Apr_13_2023_11_11_AM grouping:off ","KW Issue Link")</f>
        <v>KW Issue Link</v>
      </c>
      <c r="O875" s="1" t="s">
        <v>291</v>
      </c>
    </row>
    <row r="876" spans="1:15" ht="75" x14ac:dyDescent="0.25">
      <c r="A876" s="1" t="s">
        <v>1268</v>
      </c>
      <c r="B876" s="1"/>
      <c r="C876" s="1" t="s">
        <v>293</v>
      </c>
      <c r="D876" s="1">
        <v>119569</v>
      </c>
      <c r="E876" s="1">
        <v>149</v>
      </c>
      <c r="F876" s="1" t="s">
        <v>1345</v>
      </c>
      <c r="G876" s="1" t="s">
        <v>1328</v>
      </c>
      <c r="H876" s="1" t="s">
        <v>141</v>
      </c>
      <c r="I876" s="1" t="s">
        <v>65</v>
      </c>
      <c r="J876" s="1">
        <v>3</v>
      </c>
      <c r="K876" s="1" t="s">
        <v>142</v>
      </c>
      <c r="L876" s="1" t="s">
        <v>153</v>
      </c>
      <c r="M876" s="1" t="s">
        <v>1256</v>
      </c>
      <c r="N876" s="1" t="str">
        <f>HYPERLINK("https://klocwork.india.ti.com:443/review/insight-review.html#issuedetails_goto:problemid=119569,project=MCU_PLUS_SDK_AM263X,searchquery=taxonomy:'C and C++' build:Build_Apr_13_2023_11_11_AM grouping:off ","KW Issue Link")</f>
        <v>KW Issue Link</v>
      </c>
      <c r="O876" s="1" t="s">
        <v>291</v>
      </c>
    </row>
    <row r="877" spans="1:15" ht="60" x14ac:dyDescent="0.25">
      <c r="A877" s="1" t="s">
        <v>1268</v>
      </c>
      <c r="B877" s="1"/>
      <c r="C877" s="1" t="s">
        <v>293</v>
      </c>
      <c r="D877" s="1">
        <v>119570</v>
      </c>
      <c r="E877" s="1">
        <v>579</v>
      </c>
      <c r="F877" s="1" t="s">
        <v>1346</v>
      </c>
      <c r="G877" s="1" t="s">
        <v>301</v>
      </c>
      <c r="H877" s="1" t="s">
        <v>141</v>
      </c>
      <c r="I877" s="1" t="s">
        <v>65</v>
      </c>
      <c r="J877" s="1">
        <v>3</v>
      </c>
      <c r="K877" s="1" t="s">
        <v>142</v>
      </c>
      <c r="L877" s="1" t="s">
        <v>153</v>
      </c>
      <c r="M877" s="1" t="s">
        <v>1256</v>
      </c>
      <c r="N877" s="1" t="str">
        <f>HYPERLINK("https://klocwork.india.ti.com:443/review/insight-review.html#issuedetails_goto:problemid=119570,project=MCU_PLUS_SDK_AM263X,searchquery=taxonomy:'C and C++' build:Build_Apr_13_2023_11_11_AM grouping:off ","KW Issue Link")</f>
        <v>KW Issue Link</v>
      </c>
      <c r="O877" s="1" t="s">
        <v>291</v>
      </c>
    </row>
    <row r="878" spans="1:15" ht="60" x14ac:dyDescent="0.25">
      <c r="A878" s="1" t="s">
        <v>1268</v>
      </c>
      <c r="B878" s="1"/>
      <c r="C878" s="1" t="s">
        <v>293</v>
      </c>
      <c r="D878" s="1">
        <v>119571</v>
      </c>
      <c r="E878" s="1">
        <v>703</v>
      </c>
      <c r="F878" s="1" t="s">
        <v>1347</v>
      </c>
      <c r="G878" s="1" t="s">
        <v>1331</v>
      </c>
      <c r="H878" s="1" t="s">
        <v>141</v>
      </c>
      <c r="I878" s="1" t="s">
        <v>65</v>
      </c>
      <c r="J878" s="1">
        <v>3</v>
      </c>
      <c r="K878" s="1" t="s">
        <v>142</v>
      </c>
      <c r="L878" s="1" t="s">
        <v>153</v>
      </c>
      <c r="M878" s="1" t="s">
        <v>1256</v>
      </c>
      <c r="N878" s="1" t="str">
        <f>HYPERLINK("https://klocwork.india.ti.com:443/review/insight-review.html#issuedetails_goto:problemid=119571,project=MCU_PLUS_SDK_AM263X,searchquery=taxonomy:'C and C++' build:Build_Apr_13_2023_11_11_AM grouping:off ","KW Issue Link")</f>
        <v>KW Issue Link</v>
      </c>
      <c r="O878" s="1" t="s">
        <v>291</v>
      </c>
    </row>
    <row r="879" spans="1:15" ht="60" x14ac:dyDescent="0.25">
      <c r="A879" s="1" t="s">
        <v>1268</v>
      </c>
      <c r="B879" s="1"/>
      <c r="C879" s="1" t="s">
        <v>293</v>
      </c>
      <c r="D879" s="1">
        <v>119572</v>
      </c>
      <c r="E879" s="1">
        <v>997</v>
      </c>
      <c r="F879" s="1" t="s">
        <v>1348</v>
      </c>
      <c r="G879" s="1" t="s">
        <v>1337</v>
      </c>
      <c r="H879" s="1" t="s">
        <v>141</v>
      </c>
      <c r="I879" s="1" t="s">
        <v>65</v>
      </c>
      <c r="J879" s="1">
        <v>3</v>
      </c>
      <c r="K879" s="1" t="s">
        <v>142</v>
      </c>
      <c r="L879" s="1" t="s">
        <v>153</v>
      </c>
      <c r="M879" s="1" t="s">
        <v>1256</v>
      </c>
      <c r="N879" s="1" t="str">
        <f>HYPERLINK("https://klocwork.india.ti.com:443/review/insight-review.html#issuedetails_goto:problemid=119572,project=MCU_PLUS_SDK_AM263X,searchquery=taxonomy:'C and C++' build:Build_Apr_13_2023_11_11_AM grouping:off ","KW Issue Link")</f>
        <v>KW Issue Link</v>
      </c>
      <c r="O879" s="1" t="s">
        <v>291</v>
      </c>
    </row>
    <row r="880" spans="1:15" ht="60" x14ac:dyDescent="0.25">
      <c r="A880" s="1" t="s">
        <v>1257</v>
      </c>
      <c r="B880" s="1"/>
      <c r="C880" s="1" t="s">
        <v>303</v>
      </c>
      <c r="D880" s="1">
        <v>119573</v>
      </c>
      <c r="E880" s="1">
        <v>115</v>
      </c>
      <c r="F880" s="1" t="s">
        <v>1349</v>
      </c>
      <c r="G880" s="1" t="s">
        <v>1350</v>
      </c>
      <c r="H880" s="1" t="s">
        <v>141</v>
      </c>
      <c r="I880" s="1" t="s">
        <v>65</v>
      </c>
      <c r="J880" s="1">
        <v>3</v>
      </c>
      <c r="K880" s="1" t="s">
        <v>142</v>
      </c>
      <c r="L880" s="1" t="s">
        <v>153</v>
      </c>
      <c r="M880" s="1" t="s">
        <v>1256</v>
      </c>
      <c r="N880" s="1" t="str">
        <f>HYPERLINK("https://klocwork.india.ti.com:443/review/insight-review.html#issuedetails_goto:problemid=119573,project=MCU_PLUS_SDK_AM263X,searchquery=taxonomy:'C and C++' build:Build_Apr_13_2023_11_11_AM grouping:off ","KW Issue Link")</f>
        <v>KW Issue Link</v>
      </c>
      <c r="O880" s="1" t="s">
        <v>291</v>
      </c>
    </row>
    <row r="881" spans="1:15" ht="60" x14ac:dyDescent="0.25">
      <c r="A881" s="1" t="s">
        <v>1257</v>
      </c>
      <c r="B881" s="1"/>
      <c r="C881" s="1" t="s">
        <v>303</v>
      </c>
      <c r="D881" s="1">
        <v>119575</v>
      </c>
      <c r="E881" s="1">
        <v>159</v>
      </c>
      <c r="F881" s="1" t="s">
        <v>1351</v>
      </c>
      <c r="G881" s="1" t="s">
        <v>1352</v>
      </c>
      <c r="H881" s="1" t="s">
        <v>141</v>
      </c>
      <c r="I881" s="1" t="s">
        <v>65</v>
      </c>
      <c r="J881" s="1">
        <v>3</v>
      </c>
      <c r="K881" s="1" t="s">
        <v>142</v>
      </c>
      <c r="L881" s="1" t="s">
        <v>153</v>
      </c>
      <c r="M881" s="1" t="s">
        <v>1256</v>
      </c>
      <c r="N881" s="1" t="str">
        <f>HYPERLINK("https://klocwork.india.ti.com:443/review/insight-review.html#issuedetails_goto:problemid=119575,project=MCU_PLUS_SDK_AM263X,searchquery=taxonomy:'C and C++' build:Build_Apr_13_2023_11_11_AM grouping:off ","KW Issue Link")</f>
        <v>KW Issue Link</v>
      </c>
      <c r="O881" s="1" t="s">
        <v>291</v>
      </c>
    </row>
    <row r="882" spans="1:15" ht="60" x14ac:dyDescent="0.25">
      <c r="A882" s="1" t="s">
        <v>1257</v>
      </c>
      <c r="B882" s="1"/>
      <c r="C882" s="1" t="s">
        <v>303</v>
      </c>
      <c r="D882" s="1">
        <v>119580</v>
      </c>
      <c r="E882" s="1">
        <v>432</v>
      </c>
      <c r="F882" s="1" t="s">
        <v>1353</v>
      </c>
      <c r="G882" s="1" t="s">
        <v>311</v>
      </c>
      <c r="H882" s="1" t="s">
        <v>141</v>
      </c>
      <c r="I882" s="1" t="s">
        <v>65</v>
      </c>
      <c r="J882" s="1">
        <v>3</v>
      </c>
      <c r="K882" s="1" t="s">
        <v>142</v>
      </c>
      <c r="L882" s="1" t="s">
        <v>153</v>
      </c>
      <c r="M882" s="1" t="s">
        <v>1256</v>
      </c>
      <c r="N882" s="1" t="str">
        <f>HYPERLINK("https://klocwork.india.ti.com:443/review/insight-review.html#issuedetails_goto:problemid=119580,project=MCU_PLUS_SDK_AM263X,searchquery=taxonomy:'C and C++' build:Build_Apr_13_2023_11_11_AM grouping:off ","KW Issue Link")</f>
        <v>KW Issue Link</v>
      </c>
      <c r="O882" s="1" t="s">
        <v>291</v>
      </c>
    </row>
    <row r="883" spans="1:15" ht="60" x14ac:dyDescent="0.25">
      <c r="A883" s="1" t="s">
        <v>1257</v>
      </c>
      <c r="B883" s="1"/>
      <c r="C883" s="1" t="s">
        <v>303</v>
      </c>
      <c r="D883" s="1">
        <v>119581</v>
      </c>
      <c r="E883" s="1">
        <v>533</v>
      </c>
      <c r="F883" s="1" t="s">
        <v>1354</v>
      </c>
      <c r="G883" s="1" t="s">
        <v>1355</v>
      </c>
      <c r="H883" s="1" t="s">
        <v>141</v>
      </c>
      <c r="I883" s="1" t="s">
        <v>65</v>
      </c>
      <c r="J883" s="1">
        <v>3</v>
      </c>
      <c r="K883" s="1" t="s">
        <v>142</v>
      </c>
      <c r="L883" s="1" t="s">
        <v>153</v>
      </c>
      <c r="M883" s="1" t="s">
        <v>1256</v>
      </c>
      <c r="N883" s="1" t="str">
        <f>HYPERLINK("https://klocwork.india.ti.com:443/review/insight-review.html#issuedetails_goto:problemid=119581,project=MCU_PLUS_SDK_AM263X,searchquery=taxonomy:'C and C++' build:Build_Apr_13_2023_11_11_AM grouping:off ","KW Issue Link")</f>
        <v>KW Issue Link</v>
      </c>
      <c r="O883" s="1" t="s">
        <v>291</v>
      </c>
    </row>
    <row r="884" spans="1:15" ht="60" x14ac:dyDescent="0.25">
      <c r="A884" s="1" t="s">
        <v>1257</v>
      </c>
      <c r="B884" s="1"/>
      <c r="C884" s="1" t="s">
        <v>303</v>
      </c>
      <c r="D884" s="1">
        <v>119583</v>
      </c>
      <c r="E884" s="1">
        <v>705</v>
      </c>
      <c r="F884" s="1" t="s">
        <v>1356</v>
      </c>
      <c r="G884" s="1" t="s">
        <v>1357</v>
      </c>
      <c r="H884" s="1" t="s">
        <v>141</v>
      </c>
      <c r="I884" s="1" t="s">
        <v>65</v>
      </c>
      <c r="J884" s="1">
        <v>3</v>
      </c>
      <c r="K884" s="1" t="s">
        <v>142</v>
      </c>
      <c r="L884" s="1" t="s">
        <v>153</v>
      </c>
      <c r="M884" s="1" t="s">
        <v>1256</v>
      </c>
      <c r="N884" s="1" t="str">
        <f>HYPERLINK("https://klocwork.india.ti.com:443/review/insight-review.html#issuedetails_goto:problemid=119583,project=MCU_PLUS_SDK_AM263X,searchquery=taxonomy:'C and C++' build:Build_Apr_13_2023_11_11_AM grouping:off ","KW Issue Link")</f>
        <v>KW Issue Link</v>
      </c>
      <c r="O884" s="1" t="s">
        <v>291</v>
      </c>
    </row>
    <row r="885" spans="1:15" ht="60" x14ac:dyDescent="0.25">
      <c r="A885" s="1" t="s">
        <v>1257</v>
      </c>
      <c r="B885" s="1"/>
      <c r="C885" s="1" t="s">
        <v>303</v>
      </c>
      <c r="D885" s="1">
        <v>119585</v>
      </c>
      <c r="E885" s="1">
        <v>827</v>
      </c>
      <c r="F885" s="1" t="s">
        <v>1358</v>
      </c>
      <c r="G885" s="1" t="s">
        <v>1359</v>
      </c>
      <c r="H885" s="1" t="s">
        <v>141</v>
      </c>
      <c r="I885" s="1" t="s">
        <v>65</v>
      </c>
      <c r="J885" s="1">
        <v>3</v>
      </c>
      <c r="K885" s="1" t="s">
        <v>142</v>
      </c>
      <c r="L885" s="1" t="s">
        <v>153</v>
      </c>
      <c r="M885" s="1" t="s">
        <v>1256</v>
      </c>
      <c r="N885" s="1" t="str">
        <f>HYPERLINK("https://klocwork.india.ti.com:443/review/insight-review.html#issuedetails_goto:problemid=119585,project=MCU_PLUS_SDK_AM263X,searchquery=taxonomy:'C and C++' build:Build_Apr_13_2023_11_11_AM grouping:off ","KW Issue Link")</f>
        <v>KW Issue Link</v>
      </c>
      <c r="O885" s="1" t="s">
        <v>291</v>
      </c>
    </row>
    <row r="886" spans="1:15" ht="60" x14ac:dyDescent="0.25">
      <c r="A886" s="1" t="s">
        <v>1257</v>
      </c>
      <c r="B886" s="1"/>
      <c r="C886" s="1" t="s">
        <v>303</v>
      </c>
      <c r="D886" s="1">
        <v>119586</v>
      </c>
      <c r="E886" s="1">
        <v>920</v>
      </c>
      <c r="F886" s="1" t="s">
        <v>1360</v>
      </c>
      <c r="G886" s="1" t="s">
        <v>315</v>
      </c>
      <c r="H886" s="1" t="s">
        <v>141</v>
      </c>
      <c r="I886" s="1" t="s">
        <v>65</v>
      </c>
      <c r="J886" s="1">
        <v>3</v>
      </c>
      <c r="K886" s="1" t="s">
        <v>142</v>
      </c>
      <c r="L886" s="1" t="s">
        <v>153</v>
      </c>
      <c r="M886" s="1" t="s">
        <v>1256</v>
      </c>
      <c r="N886" s="1" t="str">
        <f>HYPERLINK("https://klocwork.india.ti.com:443/review/insight-review.html#issuedetails_goto:problemid=119586,project=MCU_PLUS_SDK_AM263X,searchquery=taxonomy:'C and C++' build:Build_Apr_13_2023_11_11_AM grouping:off ","KW Issue Link")</f>
        <v>KW Issue Link</v>
      </c>
      <c r="O886" s="1" t="s">
        <v>291</v>
      </c>
    </row>
    <row r="887" spans="1:15" ht="60" x14ac:dyDescent="0.25">
      <c r="A887" s="1" t="s">
        <v>1257</v>
      </c>
      <c r="B887" s="1"/>
      <c r="C887" s="1" t="s">
        <v>303</v>
      </c>
      <c r="D887" s="1">
        <v>119587</v>
      </c>
      <c r="E887" s="1">
        <v>1113</v>
      </c>
      <c r="F887" s="1" t="s">
        <v>1361</v>
      </c>
      <c r="G887" s="1" t="s">
        <v>322</v>
      </c>
      <c r="H887" s="1" t="s">
        <v>141</v>
      </c>
      <c r="I887" s="1" t="s">
        <v>65</v>
      </c>
      <c r="J887" s="1">
        <v>3</v>
      </c>
      <c r="K887" s="1" t="s">
        <v>142</v>
      </c>
      <c r="L887" s="1" t="s">
        <v>153</v>
      </c>
      <c r="M887" s="1" t="s">
        <v>1256</v>
      </c>
      <c r="N887" s="1" t="str">
        <f>HYPERLINK("https://klocwork.india.ti.com:443/review/insight-review.html#issuedetails_goto:problemid=119587,project=MCU_PLUS_SDK_AM263X,searchquery=taxonomy:'C and C++' build:Build_Apr_13_2023_11_11_AM grouping:off ","KW Issue Link")</f>
        <v>KW Issue Link</v>
      </c>
      <c r="O887" s="1" t="s">
        <v>291</v>
      </c>
    </row>
    <row r="888" spans="1:15" ht="60" x14ac:dyDescent="0.25">
      <c r="A888" s="1" t="s">
        <v>1257</v>
      </c>
      <c r="B888" s="1"/>
      <c r="C888" s="1" t="s">
        <v>303</v>
      </c>
      <c r="D888" s="1">
        <v>119589</v>
      </c>
      <c r="E888" s="1">
        <v>1350</v>
      </c>
      <c r="F888" s="1" t="s">
        <v>1362</v>
      </c>
      <c r="G888" s="1" t="s">
        <v>330</v>
      </c>
      <c r="H888" s="1" t="s">
        <v>141</v>
      </c>
      <c r="I888" s="1" t="s">
        <v>65</v>
      </c>
      <c r="J888" s="1">
        <v>3</v>
      </c>
      <c r="K888" s="1" t="s">
        <v>142</v>
      </c>
      <c r="L888" s="1" t="s">
        <v>153</v>
      </c>
      <c r="M888" s="1" t="s">
        <v>1256</v>
      </c>
      <c r="N888" s="1" t="str">
        <f>HYPERLINK("https://klocwork.india.ti.com:443/review/insight-review.html#issuedetails_goto:problemid=119589,project=MCU_PLUS_SDK_AM263X,searchquery=taxonomy:'C and C++' build:Build_Apr_13_2023_11_11_AM grouping:off ","KW Issue Link")</f>
        <v>KW Issue Link</v>
      </c>
      <c r="O888" s="1" t="s">
        <v>291</v>
      </c>
    </row>
    <row r="889" spans="1:15" ht="60" x14ac:dyDescent="0.25">
      <c r="A889" s="1" t="s">
        <v>1257</v>
      </c>
      <c r="B889" s="1"/>
      <c r="C889" s="1" t="s">
        <v>303</v>
      </c>
      <c r="D889" s="1">
        <v>119590</v>
      </c>
      <c r="E889" s="1">
        <v>1449</v>
      </c>
      <c r="F889" s="1" t="s">
        <v>1363</v>
      </c>
      <c r="G889" s="1" t="s">
        <v>1364</v>
      </c>
      <c r="H889" s="1" t="s">
        <v>141</v>
      </c>
      <c r="I889" s="1" t="s">
        <v>65</v>
      </c>
      <c r="J889" s="1">
        <v>3</v>
      </c>
      <c r="K889" s="1" t="s">
        <v>142</v>
      </c>
      <c r="L889" s="1" t="s">
        <v>153</v>
      </c>
      <c r="M889" s="1" t="s">
        <v>1256</v>
      </c>
      <c r="N889" s="1" t="str">
        <f>HYPERLINK("https://klocwork.india.ti.com:443/review/insight-review.html#issuedetails_goto:problemid=119590,project=MCU_PLUS_SDK_AM263X,searchquery=taxonomy:'C and C++' build:Build_Apr_13_2023_11_11_AM grouping:off ","KW Issue Link")</f>
        <v>KW Issue Link</v>
      </c>
      <c r="O889" s="1" t="s">
        <v>291</v>
      </c>
    </row>
    <row r="890" spans="1:15" ht="60" x14ac:dyDescent="0.25">
      <c r="A890" s="1" t="s">
        <v>1257</v>
      </c>
      <c r="B890" s="1"/>
      <c r="C890" s="1" t="s">
        <v>303</v>
      </c>
      <c r="D890" s="1">
        <v>119591</v>
      </c>
      <c r="E890" s="1">
        <v>1532</v>
      </c>
      <c r="F890" s="1" t="s">
        <v>1365</v>
      </c>
      <c r="G890" s="1" t="s">
        <v>1366</v>
      </c>
      <c r="H890" s="1" t="s">
        <v>141</v>
      </c>
      <c r="I890" s="1" t="s">
        <v>65</v>
      </c>
      <c r="J890" s="1">
        <v>3</v>
      </c>
      <c r="K890" s="1" t="s">
        <v>142</v>
      </c>
      <c r="L890" s="1" t="s">
        <v>153</v>
      </c>
      <c r="M890" s="1" t="s">
        <v>1256</v>
      </c>
      <c r="N890" s="1" t="str">
        <f>HYPERLINK("https://klocwork.india.ti.com:443/review/insight-review.html#issuedetails_goto:problemid=119591,project=MCU_PLUS_SDK_AM263X,searchquery=taxonomy:'C and C++' build:Build_Apr_13_2023_11_11_AM grouping:off ","KW Issue Link")</f>
        <v>KW Issue Link</v>
      </c>
      <c r="O890" s="1" t="s">
        <v>291</v>
      </c>
    </row>
    <row r="891" spans="1:15" ht="60" x14ac:dyDescent="0.25">
      <c r="A891" s="1" t="s">
        <v>1257</v>
      </c>
      <c r="B891" s="1"/>
      <c r="C891" s="1" t="s">
        <v>303</v>
      </c>
      <c r="D891" s="1">
        <v>119592</v>
      </c>
      <c r="E891" s="1">
        <v>1640</v>
      </c>
      <c r="F891" s="1" t="s">
        <v>1367</v>
      </c>
      <c r="G891" s="1" t="s">
        <v>320</v>
      </c>
      <c r="H891" s="1" t="s">
        <v>141</v>
      </c>
      <c r="I891" s="1" t="s">
        <v>65</v>
      </c>
      <c r="J891" s="1">
        <v>3</v>
      </c>
      <c r="K891" s="1" t="s">
        <v>142</v>
      </c>
      <c r="L891" s="1" t="s">
        <v>153</v>
      </c>
      <c r="M891" s="1" t="s">
        <v>1256</v>
      </c>
      <c r="N891" s="1" t="str">
        <f>HYPERLINK("https://klocwork.india.ti.com:443/review/insight-review.html#issuedetails_goto:problemid=119592,project=MCU_PLUS_SDK_AM263X,searchquery=taxonomy:'C and C++' build:Build_Apr_13_2023_11_11_AM grouping:off ","KW Issue Link")</f>
        <v>KW Issue Link</v>
      </c>
      <c r="O891" s="1" t="s">
        <v>291</v>
      </c>
    </row>
    <row r="892" spans="1:15" ht="60" x14ac:dyDescent="0.25">
      <c r="A892" s="1" t="s">
        <v>1257</v>
      </c>
      <c r="B892" s="1"/>
      <c r="C892" s="1" t="s">
        <v>303</v>
      </c>
      <c r="D892" s="1">
        <v>119593</v>
      </c>
      <c r="E892" s="1">
        <v>1813</v>
      </c>
      <c r="F892" s="1" t="s">
        <v>1368</v>
      </c>
      <c r="G892" s="1" t="s">
        <v>1369</v>
      </c>
      <c r="H892" s="1" t="s">
        <v>141</v>
      </c>
      <c r="I892" s="1" t="s">
        <v>65</v>
      </c>
      <c r="J892" s="1">
        <v>3</v>
      </c>
      <c r="K892" s="1" t="s">
        <v>142</v>
      </c>
      <c r="L892" s="1" t="s">
        <v>153</v>
      </c>
      <c r="M892" s="1" t="s">
        <v>1256</v>
      </c>
      <c r="N892" s="1" t="str">
        <f>HYPERLINK("https://klocwork.india.ti.com:443/review/insight-review.html#issuedetails_goto:problemid=119593,project=MCU_PLUS_SDK_AM263X,searchquery=taxonomy:'C and C++' build:Build_Apr_13_2023_11_11_AM grouping:off ","KW Issue Link")</f>
        <v>KW Issue Link</v>
      </c>
      <c r="O892" s="1" t="s">
        <v>291</v>
      </c>
    </row>
    <row r="893" spans="1:15" ht="60" x14ac:dyDescent="0.25">
      <c r="A893" s="1" t="s">
        <v>1257</v>
      </c>
      <c r="B893" s="1"/>
      <c r="C893" s="1" t="s">
        <v>303</v>
      </c>
      <c r="D893" s="1">
        <v>119594</v>
      </c>
      <c r="E893" s="1">
        <v>1867</v>
      </c>
      <c r="F893" s="1" t="s">
        <v>1370</v>
      </c>
      <c r="G893" s="1" t="s">
        <v>1371</v>
      </c>
      <c r="H893" s="1" t="s">
        <v>141</v>
      </c>
      <c r="I893" s="1" t="s">
        <v>65</v>
      </c>
      <c r="J893" s="1">
        <v>3</v>
      </c>
      <c r="K893" s="1" t="s">
        <v>142</v>
      </c>
      <c r="L893" s="1" t="s">
        <v>153</v>
      </c>
      <c r="M893" s="1" t="s">
        <v>1256</v>
      </c>
      <c r="N893" s="1" t="str">
        <f>HYPERLINK("https://klocwork.india.ti.com:443/review/insight-review.html#issuedetails_goto:problemid=119594,project=MCU_PLUS_SDK_AM263X,searchquery=taxonomy:'C and C++' build:Build_Apr_13_2023_11_11_AM grouping:off ","KW Issue Link")</f>
        <v>KW Issue Link</v>
      </c>
      <c r="O893" s="1" t="s">
        <v>291</v>
      </c>
    </row>
    <row r="894" spans="1:15" ht="60" x14ac:dyDescent="0.25">
      <c r="A894" s="1" t="s">
        <v>1257</v>
      </c>
      <c r="B894" s="1"/>
      <c r="C894" s="1" t="s">
        <v>303</v>
      </c>
      <c r="D894" s="1">
        <v>119595</v>
      </c>
      <c r="E894" s="1">
        <v>1934</v>
      </c>
      <c r="F894" s="1" t="s">
        <v>1372</v>
      </c>
      <c r="G894" s="1" t="s">
        <v>323</v>
      </c>
      <c r="H894" s="1" t="s">
        <v>141</v>
      </c>
      <c r="I894" s="1" t="s">
        <v>65</v>
      </c>
      <c r="J894" s="1">
        <v>3</v>
      </c>
      <c r="K894" s="1" t="s">
        <v>142</v>
      </c>
      <c r="L894" s="1" t="s">
        <v>153</v>
      </c>
      <c r="M894" s="1" t="s">
        <v>1256</v>
      </c>
      <c r="N894" s="1" t="str">
        <f>HYPERLINK("https://klocwork.india.ti.com:443/review/insight-review.html#issuedetails_goto:problemid=119595,project=MCU_PLUS_SDK_AM263X,searchquery=taxonomy:'C and C++' build:Build_Apr_13_2023_11_11_AM grouping:off ","KW Issue Link")</f>
        <v>KW Issue Link</v>
      </c>
      <c r="O894" s="1" t="s">
        <v>291</v>
      </c>
    </row>
    <row r="895" spans="1:15" ht="60" x14ac:dyDescent="0.25">
      <c r="A895" s="1" t="s">
        <v>1257</v>
      </c>
      <c r="B895" s="1"/>
      <c r="C895" s="1" t="s">
        <v>303</v>
      </c>
      <c r="D895" s="1">
        <v>119596</v>
      </c>
      <c r="E895" s="1">
        <v>2143</v>
      </c>
      <c r="F895" s="1" t="s">
        <v>1373</v>
      </c>
      <c r="G895" s="1" t="s">
        <v>1374</v>
      </c>
      <c r="H895" s="1" t="s">
        <v>141</v>
      </c>
      <c r="I895" s="1" t="s">
        <v>65</v>
      </c>
      <c r="J895" s="1">
        <v>3</v>
      </c>
      <c r="K895" s="1" t="s">
        <v>142</v>
      </c>
      <c r="L895" s="1" t="s">
        <v>153</v>
      </c>
      <c r="M895" s="1" t="s">
        <v>1256</v>
      </c>
      <c r="N895" s="1" t="str">
        <f>HYPERLINK("https://klocwork.india.ti.com:443/review/insight-review.html#issuedetails_goto:problemid=119596,project=MCU_PLUS_SDK_AM263X,searchquery=taxonomy:'C and C++' build:Build_Apr_13_2023_11_11_AM grouping:off ","KW Issue Link")</f>
        <v>KW Issue Link</v>
      </c>
      <c r="O895" s="1" t="s">
        <v>291</v>
      </c>
    </row>
    <row r="896" spans="1:15" ht="60" x14ac:dyDescent="0.25">
      <c r="A896" s="1" t="s">
        <v>1266</v>
      </c>
      <c r="B896" s="1"/>
      <c r="C896" s="1" t="s">
        <v>303</v>
      </c>
      <c r="D896" s="1">
        <v>119597</v>
      </c>
      <c r="E896" s="1">
        <v>218</v>
      </c>
      <c r="F896" s="1" t="s">
        <v>1375</v>
      </c>
      <c r="G896" s="1" t="s">
        <v>1376</v>
      </c>
      <c r="H896" s="1" t="s">
        <v>141</v>
      </c>
      <c r="I896" s="1" t="s">
        <v>65</v>
      </c>
      <c r="J896" s="1">
        <v>3</v>
      </c>
      <c r="K896" s="1" t="s">
        <v>142</v>
      </c>
      <c r="L896" s="1" t="s">
        <v>153</v>
      </c>
      <c r="M896" s="1" t="s">
        <v>1256</v>
      </c>
      <c r="N896" s="1" t="str">
        <f>HYPERLINK("https://klocwork.india.ti.com:443/review/insight-review.html#issuedetails_goto:problemid=119597,project=MCU_PLUS_SDK_AM263X,searchquery=taxonomy:'C and C++' build:Build_Apr_13_2023_11_11_AM grouping:off ","KW Issue Link")</f>
        <v>KW Issue Link</v>
      </c>
      <c r="O896" s="1" t="s">
        <v>291</v>
      </c>
    </row>
    <row r="897" spans="1:15" ht="60" x14ac:dyDescent="0.25">
      <c r="A897" s="1" t="s">
        <v>1266</v>
      </c>
      <c r="B897" s="1"/>
      <c r="C897" s="1" t="s">
        <v>303</v>
      </c>
      <c r="D897" s="1">
        <v>119598</v>
      </c>
      <c r="E897" s="1">
        <v>293</v>
      </c>
      <c r="F897" s="1" t="s">
        <v>1377</v>
      </c>
      <c r="G897" s="1" t="s">
        <v>1378</v>
      </c>
      <c r="H897" s="1" t="s">
        <v>141</v>
      </c>
      <c r="I897" s="1" t="s">
        <v>65</v>
      </c>
      <c r="J897" s="1">
        <v>3</v>
      </c>
      <c r="K897" s="1" t="s">
        <v>142</v>
      </c>
      <c r="L897" s="1" t="s">
        <v>153</v>
      </c>
      <c r="M897" s="1" t="s">
        <v>1256</v>
      </c>
      <c r="N897" s="1" t="str">
        <f>HYPERLINK("https://klocwork.india.ti.com:443/review/insight-review.html#issuedetails_goto:problemid=119598,project=MCU_PLUS_SDK_AM263X,searchquery=taxonomy:'C and C++' build:Build_Apr_13_2023_11_11_AM grouping:off ","KW Issue Link")</f>
        <v>KW Issue Link</v>
      </c>
      <c r="O897" s="1" t="s">
        <v>291</v>
      </c>
    </row>
    <row r="898" spans="1:15" ht="60" x14ac:dyDescent="0.25">
      <c r="A898" s="1" t="s">
        <v>1266</v>
      </c>
      <c r="B898" s="1"/>
      <c r="C898" s="1" t="s">
        <v>303</v>
      </c>
      <c r="D898" s="1">
        <v>119599</v>
      </c>
      <c r="E898" s="1">
        <v>357</v>
      </c>
      <c r="F898" s="1" t="s">
        <v>1379</v>
      </c>
      <c r="G898" s="1" t="s">
        <v>309</v>
      </c>
      <c r="H898" s="1" t="s">
        <v>141</v>
      </c>
      <c r="I898" s="1" t="s">
        <v>65</v>
      </c>
      <c r="J898" s="1">
        <v>3</v>
      </c>
      <c r="K898" s="1" t="s">
        <v>142</v>
      </c>
      <c r="L898" s="1" t="s">
        <v>153</v>
      </c>
      <c r="M898" s="1" t="s">
        <v>1256</v>
      </c>
      <c r="N898" s="1" t="str">
        <f>HYPERLINK("https://klocwork.india.ti.com:443/review/insight-review.html#issuedetails_goto:problemid=119599,project=MCU_PLUS_SDK_AM263X,searchquery=taxonomy:'C and C++' build:Build_Apr_13_2023_11_11_AM grouping:off ","KW Issue Link")</f>
        <v>KW Issue Link</v>
      </c>
      <c r="O898" s="1" t="s">
        <v>291</v>
      </c>
    </row>
    <row r="899" spans="1:15" ht="60" x14ac:dyDescent="0.25">
      <c r="A899" s="1" t="s">
        <v>1266</v>
      </c>
      <c r="B899" s="1"/>
      <c r="C899" s="1" t="s">
        <v>303</v>
      </c>
      <c r="D899" s="1">
        <v>119600</v>
      </c>
      <c r="E899" s="1">
        <v>398</v>
      </c>
      <c r="F899" s="1" t="s">
        <v>1380</v>
      </c>
      <c r="G899" s="1" t="s">
        <v>1381</v>
      </c>
      <c r="H899" s="1" t="s">
        <v>141</v>
      </c>
      <c r="I899" s="1" t="s">
        <v>65</v>
      </c>
      <c r="J899" s="1">
        <v>3</v>
      </c>
      <c r="K899" s="1" t="s">
        <v>142</v>
      </c>
      <c r="L899" s="1" t="s">
        <v>153</v>
      </c>
      <c r="M899" s="1" t="s">
        <v>1256</v>
      </c>
      <c r="N899" s="1" t="str">
        <f>HYPERLINK("https://klocwork.india.ti.com:443/review/insight-review.html#issuedetails_goto:problemid=119600,project=MCU_PLUS_SDK_AM263X,searchquery=taxonomy:'C and C++' build:Build_Apr_13_2023_11_11_AM grouping:off ","KW Issue Link")</f>
        <v>KW Issue Link</v>
      </c>
      <c r="O899" s="1" t="s">
        <v>291</v>
      </c>
    </row>
    <row r="900" spans="1:15" ht="60" x14ac:dyDescent="0.25">
      <c r="A900" s="1" t="s">
        <v>1266</v>
      </c>
      <c r="B900" s="1"/>
      <c r="C900" s="1" t="s">
        <v>303</v>
      </c>
      <c r="D900" s="1">
        <v>119601</v>
      </c>
      <c r="E900" s="1">
        <v>432</v>
      </c>
      <c r="F900" s="1" t="s">
        <v>1382</v>
      </c>
      <c r="G900" s="1" t="s">
        <v>311</v>
      </c>
      <c r="H900" s="1" t="s">
        <v>141</v>
      </c>
      <c r="I900" s="1" t="s">
        <v>65</v>
      </c>
      <c r="J900" s="1">
        <v>3</v>
      </c>
      <c r="K900" s="1" t="s">
        <v>142</v>
      </c>
      <c r="L900" s="1" t="s">
        <v>153</v>
      </c>
      <c r="M900" s="1" t="s">
        <v>1256</v>
      </c>
      <c r="N900" s="1" t="str">
        <f>HYPERLINK("https://klocwork.india.ti.com:443/review/insight-review.html#issuedetails_goto:problemid=119601,project=MCU_PLUS_SDK_AM263X,searchquery=taxonomy:'C and C++' build:Build_Apr_13_2023_11_11_AM grouping:off ","KW Issue Link")</f>
        <v>KW Issue Link</v>
      </c>
      <c r="O900" s="1" t="s">
        <v>291</v>
      </c>
    </row>
    <row r="901" spans="1:15" ht="60" x14ac:dyDescent="0.25">
      <c r="A901" s="1" t="s">
        <v>1266</v>
      </c>
      <c r="B901" s="1"/>
      <c r="C901" s="1" t="s">
        <v>303</v>
      </c>
      <c r="D901" s="1">
        <v>119602</v>
      </c>
      <c r="E901" s="1">
        <v>533</v>
      </c>
      <c r="F901" s="1" t="s">
        <v>1383</v>
      </c>
      <c r="G901" s="1" t="s">
        <v>1355</v>
      </c>
      <c r="H901" s="1" t="s">
        <v>141</v>
      </c>
      <c r="I901" s="1" t="s">
        <v>65</v>
      </c>
      <c r="J901" s="1">
        <v>3</v>
      </c>
      <c r="K901" s="1" t="s">
        <v>142</v>
      </c>
      <c r="L901" s="1" t="s">
        <v>153</v>
      </c>
      <c r="M901" s="1" t="s">
        <v>1256</v>
      </c>
      <c r="N901" s="1" t="str">
        <f>HYPERLINK("https://klocwork.india.ti.com:443/review/insight-review.html#issuedetails_goto:problemid=119602,project=MCU_PLUS_SDK_AM263X,searchquery=taxonomy:'C and C++' build:Build_Apr_13_2023_11_11_AM grouping:off ","KW Issue Link")</f>
        <v>KW Issue Link</v>
      </c>
      <c r="O901" s="1" t="s">
        <v>291</v>
      </c>
    </row>
    <row r="902" spans="1:15" ht="60" x14ac:dyDescent="0.25">
      <c r="A902" s="1" t="s">
        <v>1266</v>
      </c>
      <c r="B902" s="1"/>
      <c r="C902" s="1" t="s">
        <v>303</v>
      </c>
      <c r="D902" s="1">
        <v>119603</v>
      </c>
      <c r="E902" s="1">
        <v>609</v>
      </c>
      <c r="F902" s="1" t="s">
        <v>1384</v>
      </c>
      <c r="G902" s="1" t="s">
        <v>1385</v>
      </c>
      <c r="H902" s="1" t="s">
        <v>141</v>
      </c>
      <c r="I902" s="1" t="s">
        <v>65</v>
      </c>
      <c r="J902" s="1">
        <v>3</v>
      </c>
      <c r="K902" s="1" t="s">
        <v>142</v>
      </c>
      <c r="L902" s="1" t="s">
        <v>153</v>
      </c>
      <c r="M902" s="1" t="s">
        <v>1256</v>
      </c>
      <c r="N902" s="1" t="str">
        <f>HYPERLINK("https://klocwork.india.ti.com:443/review/insight-review.html#issuedetails_goto:problemid=119603,project=MCU_PLUS_SDK_AM263X,searchquery=taxonomy:'C and C++' build:Build_Apr_13_2023_11_11_AM grouping:off ","KW Issue Link")</f>
        <v>KW Issue Link</v>
      </c>
      <c r="O902" s="1" t="s">
        <v>291</v>
      </c>
    </row>
    <row r="903" spans="1:15" ht="60" x14ac:dyDescent="0.25">
      <c r="A903" s="1" t="s">
        <v>1266</v>
      </c>
      <c r="B903" s="1"/>
      <c r="C903" s="1" t="s">
        <v>303</v>
      </c>
      <c r="D903" s="1">
        <v>119606</v>
      </c>
      <c r="E903" s="1">
        <v>920</v>
      </c>
      <c r="F903" s="1" t="s">
        <v>1386</v>
      </c>
      <c r="G903" s="1" t="s">
        <v>315</v>
      </c>
      <c r="H903" s="1" t="s">
        <v>141</v>
      </c>
      <c r="I903" s="1" t="s">
        <v>65</v>
      </c>
      <c r="J903" s="1">
        <v>3</v>
      </c>
      <c r="K903" s="1" t="s">
        <v>142</v>
      </c>
      <c r="L903" s="1" t="s">
        <v>153</v>
      </c>
      <c r="M903" s="1" t="s">
        <v>1256</v>
      </c>
      <c r="N903" s="1" t="str">
        <f>HYPERLINK("https://klocwork.india.ti.com:443/review/insight-review.html#issuedetails_goto:problemid=119606,project=MCU_PLUS_SDK_AM263X,searchquery=taxonomy:'C and C++' build:Build_Apr_13_2023_11_11_AM grouping:off ","KW Issue Link")</f>
        <v>KW Issue Link</v>
      </c>
      <c r="O903" s="1" t="s">
        <v>291</v>
      </c>
    </row>
    <row r="904" spans="1:15" ht="60" x14ac:dyDescent="0.25">
      <c r="A904" s="1" t="s">
        <v>1266</v>
      </c>
      <c r="B904" s="1"/>
      <c r="C904" s="1" t="s">
        <v>303</v>
      </c>
      <c r="D904" s="1">
        <v>119607</v>
      </c>
      <c r="E904" s="1">
        <v>1113</v>
      </c>
      <c r="F904" s="1" t="s">
        <v>1387</v>
      </c>
      <c r="G904" s="1" t="s">
        <v>322</v>
      </c>
      <c r="H904" s="1" t="s">
        <v>141</v>
      </c>
      <c r="I904" s="1" t="s">
        <v>65</v>
      </c>
      <c r="J904" s="1">
        <v>3</v>
      </c>
      <c r="K904" s="1" t="s">
        <v>142</v>
      </c>
      <c r="L904" s="1" t="s">
        <v>153</v>
      </c>
      <c r="M904" s="1" t="s">
        <v>1256</v>
      </c>
      <c r="N904" s="1" t="str">
        <f>HYPERLINK("https://klocwork.india.ti.com:443/review/insight-review.html#issuedetails_goto:problemid=119607,project=MCU_PLUS_SDK_AM263X,searchquery=taxonomy:'C and C++' build:Build_Apr_13_2023_11_11_AM grouping:off ","KW Issue Link")</f>
        <v>KW Issue Link</v>
      </c>
      <c r="O904" s="1" t="s">
        <v>291</v>
      </c>
    </row>
    <row r="905" spans="1:15" ht="60" x14ac:dyDescent="0.25">
      <c r="A905" s="1" t="s">
        <v>1266</v>
      </c>
      <c r="B905" s="1"/>
      <c r="C905" s="1" t="s">
        <v>303</v>
      </c>
      <c r="D905" s="1">
        <v>119608</v>
      </c>
      <c r="E905" s="1">
        <v>1301</v>
      </c>
      <c r="F905" s="1" t="s">
        <v>1388</v>
      </c>
      <c r="G905" s="1" t="s">
        <v>318</v>
      </c>
      <c r="H905" s="1" t="s">
        <v>141</v>
      </c>
      <c r="I905" s="1" t="s">
        <v>65</v>
      </c>
      <c r="J905" s="1">
        <v>3</v>
      </c>
      <c r="K905" s="1" t="s">
        <v>142</v>
      </c>
      <c r="L905" s="1" t="s">
        <v>153</v>
      </c>
      <c r="M905" s="1" t="s">
        <v>1256</v>
      </c>
      <c r="N905" s="1" t="str">
        <f>HYPERLINK("https://klocwork.india.ti.com:443/review/insight-review.html#issuedetails_goto:problemid=119608,project=MCU_PLUS_SDK_AM263X,searchquery=taxonomy:'C and C++' build:Build_Apr_13_2023_11_11_AM grouping:off ","KW Issue Link")</f>
        <v>KW Issue Link</v>
      </c>
      <c r="O905" s="1" t="s">
        <v>291</v>
      </c>
    </row>
    <row r="906" spans="1:15" ht="60" x14ac:dyDescent="0.25">
      <c r="A906" s="1" t="s">
        <v>1266</v>
      </c>
      <c r="B906" s="1"/>
      <c r="C906" s="1" t="s">
        <v>303</v>
      </c>
      <c r="D906" s="1">
        <v>119609</v>
      </c>
      <c r="E906" s="1">
        <v>1350</v>
      </c>
      <c r="F906" s="1" t="s">
        <v>1389</v>
      </c>
      <c r="G906" s="1" t="s">
        <v>330</v>
      </c>
      <c r="H906" s="1" t="s">
        <v>141</v>
      </c>
      <c r="I906" s="1" t="s">
        <v>65</v>
      </c>
      <c r="J906" s="1">
        <v>3</v>
      </c>
      <c r="K906" s="1" t="s">
        <v>142</v>
      </c>
      <c r="L906" s="1" t="s">
        <v>153</v>
      </c>
      <c r="M906" s="1" t="s">
        <v>1256</v>
      </c>
      <c r="N906" s="1" t="str">
        <f>HYPERLINK("https://klocwork.india.ti.com:443/review/insight-review.html#issuedetails_goto:problemid=119609,project=MCU_PLUS_SDK_AM263X,searchquery=taxonomy:'C and C++' build:Build_Apr_13_2023_11_11_AM grouping:off ","KW Issue Link")</f>
        <v>KW Issue Link</v>
      </c>
      <c r="O906" s="1" t="s">
        <v>291</v>
      </c>
    </row>
    <row r="907" spans="1:15" ht="60" x14ac:dyDescent="0.25">
      <c r="A907" s="1" t="s">
        <v>1266</v>
      </c>
      <c r="B907" s="1"/>
      <c r="C907" s="1" t="s">
        <v>303</v>
      </c>
      <c r="D907" s="1">
        <v>119610</v>
      </c>
      <c r="E907" s="1">
        <v>1449</v>
      </c>
      <c r="F907" s="1" t="s">
        <v>1390</v>
      </c>
      <c r="G907" s="1" t="s">
        <v>1364</v>
      </c>
      <c r="H907" s="1" t="s">
        <v>141</v>
      </c>
      <c r="I907" s="1" t="s">
        <v>65</v>
      </c>
      <c r="J907" s="1">
        <v>3</v>
      </c>
      <c r="K907" s="1" t="s">
        <v>142</v>
      </c>
      <c r="L907" s="1" t="s">
        <v>153</v>
      </c>
      <c r="M907" s="1" t="s">
        <v>1256</v>
      </c>
      <c r="N907" s="1" t="str">
        <f>HYPERLINK("https://klocwork.india.ti.com:443/review/insight-review.html#issuedetails_goto:problemid=119610,project=MCU_PLUS_SDK_AM263X,searchquery=taxonomy:'C and C++' build:Build_Apr_13_2023_11_11_AM grouping:off ","KW Issue Link")</f>
        <v>KW Issue Link</v>
      </c>
      <c r="O907" s="1" t="s">
        <v>291</v>
      </c>
    </row>
    <row r="908" spans="1:15" ht="60" x14ac:dyDescent="0.25">
      <c r="A908" s="1" t="s">
        <v>1266</v>
      </c>
      <c r="B908" s="1"/>
      <c r="C908" s="1" t="s">
        <v>303</v>
      </c>
      <c r="D908" s="1">
        <v>119611</v>
      </c>
      <c r="E908" s="1">
        <v>1640</v>
      </c>
      <c r="F908" s="1" t="s">
        <v>1391</v>
      </c>
      <c r="G908" s="1" t="s">
        <v>320</v>
      </c>
      <c r="H908" s="1" t="s">
        <v>141</v>
      </c>
      <c r="I908" s="1" t="s">
        <v>65</v>
      </c>
      <c r="J908" s="1">
        <v>3</v>
      </c>
      <c r="K908" s="1" t="s">
        <v>142</v>
      </c>
      <c r="L908" s="1" t="s">
        <v>153</v>
      </c>
      <c r="M908" s="1" t="s">
        <v>1256</v>
      </c>
      <c r="N908" s="1" t="str">
        <f>HYPERLINK("https://klocwork.india.ti.com:443/review/insight-review.html#issuedetails_goto:problemid=119611,project=MCU_PLUS_SDK_AM263X,searchquery=taxonomy:'C and C++' build:Build_Apr_13_2023_11_11_AM grouping:off ","KW Issue Link")</f>
        <v>KW Issue Link</v>
      </c>
      <c r="O908" s="1" t="s">
        <v>291</v>
      </c>
    </row>
    <row r="909" spans="1:15" ht="60" x14ac:dyDescent="0.25">
      <c r="A909" s="1" t="s">
        <v>1266</v>
      </c>
      <c r="B909" s="1"/>
      <c r="C909" s="1" t="s">
        <v>303</v>
      </c>
      <c r="D909" s="1">
        <v>119612</v>
      </c>
      <c r="E909" s="1">
        <v>1813</v>
      </c>
      <c r="F909" s="1" t="s">
        <v>1392</v>
      </c>
      <c r="G909" s="1" t="s">
        <v>1369</v>
      </c>
      <c r="H909" s="1" t="s">
        <v>141</v>
      </c>
      <c r="I909" s="1" t="s">
        <v>65</v>
      </c>
      <c r="J909" s="1">
        <v>3</v>
      </c>
      <c r="K909" s="1" t="s">
        <v>142</v>
      </c>
      <c r="L909" s="1" t="s">
        <v>153</v>
      </c>
      <c r="M909" s="1" t="s">
        <v>1256</v>
      </c>
      <c r="N909" s="1" t="str">
        <f>HYPERLINK("https://klocwork.india.ti.com:443/review/insight-review.html#issuedetails_goto:problemid=119612,project=MCU_PLUS_SDK_AM263X,searchquery=taxonomy:'C and C++' build:Build_Apr_13_2023_11_11_AM grouping:off ","KW Issue Link")</f>
        <v>KW Issue Link</v>
      </c>
      <c r="O909" s="1" t="s">
        <v>291</v>
      </c>
    </row>
    <row r="910" spans="1:15" ht="60" x14ac:dyDescent="0.25">
      <c r="A910" s="1" t="s">
        <v>1266</v>
      </c>
      <c r="B910" s="1"/>
      <c r="C910" s="1" t="s">
        <v>303</v>
      </c>
      <c r="D910" s="1">
        <v>119613</v>
      </c>
      <c r="E910" s="1">
        <v>1867</v>
      </c>
      <c r="F910" s="1" t="s">
        <v>1393</v>
      </c>
      <c r="G910" s="1" t="s">
        <v>1371</v>
      </c>
      <c r="H910" s="1" t="s">
        <v>141</v>
      </c>
      <c r="I910" s="1" t="s">
        <v>65</v>
      </c>
      <c r="J910" s="1">
        <v>3</v>
      </c>
      <c r="K910" s="1" t="s">
        <v>142</v>
      </c>
      <c r="L910" s="1" t="s">
        <v>153</v>
      </c>
      <c r="M910" s="1" t="s">
        <v>1256</v>
      </c>
      <c r="N910" s="1" t="str">
        <f>HYPERLINK("https://klocwork.india.ti.com:443/review/insight-review.html#issuedetails_goto:problemid=119613,project=MCU_PLUS_SDK_AM263X,searchquery=taxonomy:'C and C++' build:Build_Apr_13_2023_11_11_AM grouping:off ","KW Issue Link")</f>
        <v>KW Issue Link</v>
      </c>
      <c r="O910" s="1" t="s">
        <v>291</v>
      </c>
    </row>
    <row r="911" spans="1:15" ht="60" x14ac:dyDescent="0.25">
      <c r="A911" s="1" t="s">
        <v>1266</v>
      </c>
      <c r="B911" s="1"/>
      <c r="C911" s="1" t="s">
        <v>303</v>
      </c>
      <c r="D911" s="1">
        <v>119614</v>
      </c>
      <c r="E911" s="1">
        <v>1934</v>
      </c>
      <c r="F911" s="1" t="s">
        <v>1394</v>
      </c>
      <c r="G911" s="1" t="s">
        <v>323</v>
      </c>
      <c r="H911" s="1" t="s">
        <v>141</v>
      </c>
      <c r="I911" s="1" t="s">
        <v>65</v>
      </c>
      <c r="J911" s="1">
        <v>3</v>
      </c>
      <c r="K911" s="1" t="s">
        <v>142</v>
      </c>
      <c r="L911" s="1" t="s">
        <v>153</v>
      </c>
      <c r="M911" s="1" t="s">
        <v>1256</v>
      </c>
      <c r="N911" s="1" t="str">
        <f>HYPERLINK("https://klocwork.india.ti.com:443/review/insight-review.html#issuedetails_goto:problemid=119614,project=MCU_PLUS_SDK_AM263X,searchquery=taxonomy:'C and C++' build:Build_Apr_13_2023_11_11_AM grouping:off ","KW Issue Link")</f>
        <v>KW Issue Link</v>
      </c>
      <c r="O911" s="1" t="s">
        <v>291</v>
      </c>
    </row>
    <row r="912" spans="1:15" ht="60" x14ac:dyDescent="0.25">
      <c r="A912" s="1" t="s">
        <v>1268</v>
      </c>
      <c r="B912" s="1"/>
      <c r="C912" s="1" t="s">
        <v>303</v>
      </c>
      <c r="D912" s="1">
        <v>119615</v>
      </c>
      <c r="E912" s="1">
        <v>218</v>
      </c>
      <c r="F912" s="1" t="s">
        <v>1395</v>
      </c>
      <c r="G912" s="1" t="s">
        <v>1376</v>
      </c>
      <c r="H912" s="1" t="s">
        <v>141</v>
      </c>
      <c r="I912" s="1" t="s">
        <v>65</v>
      </c>
      <c r="J912" s="1">
        <v>3</v>
      </c>
      <c r="K912" s="1" t="s">
        <v>142</v>
      </c>
      <c r="L912" s="1" t="s">
        <v>153</v>
      </c>
      <c r="M912" s="1" t="s">
        <v>1256</v>
      </c>
      <c r="N912" s="1" t="str">
        <f>HYPERLINK("https://klocwork.india.ti.com:443/review/insight-review.html#issuedetails_goto:problemid=119615,project=MCU_PLUS_SDK_AM263X,searchquery=taxonomy:'C and C++' build:Build_Apr_13_2023_11_11_AM grouping:off ","KW Issue Link")</f>
        <v>KW Issue Link</v>
      </c>
      <c r="O912" s="1" t="s">
        <v>291</v>
      </c>
    </row>
    <row r="913" spans="1:15" ht="60" x14ac:dyDescent="0.25">
      <c r="A913" s="1" t="s">
        <v>1268</v>
      </c>
      <c r="B913" s="1"/>
      <c r="C913" s="1" t="s">
        <v>303</v>
      </c>
      <c r="D913" s="1">
        <v>119616</v>
      </c>
      <c r="E913" s="1">
        <v>293</v>
      </c>
      <c r="F913" s="1" t="s">
        <v>1396</v>
      </c>
      <c r="G913" s="1" t="s">
        <v>1378</v>
      </c>
      <c r="H913" s="1" t="s">
        <v>141</v>
      </c>
      <c r="I913" s="1" t="s">
        <v>65</v>
      </c>
      <c r="J913" s="1">
        <v>3</v>
      </c>
      <c r="K913" s="1" t="s">
        <v>142</v>
      </c>
      <c r="L913" s="1" t="s">
        <v>153</v>
      </c>
      <c r="M913" s="1" t="s">
        <v>1256</v>
      </c>
      <c r="N913" s="1" t="str">
        <f>HYPERLINK("https://klocwork.india.ti.com:443/review/insight-review.html#issuedetails_goto:problemid=119616,project=MCU_PLUS_SDK_AM263X,searchquery=taxonomy:'C and C++' build:Build_Apr_13_2023_11_11_AM grouping:off ","KW Issue Link")</f>
        <v>KW Issue Link</v>
      </c>
      <c r="O913" s="1" t="s">
        <v>291</v>
      </c>
    </row>
    <row r="914" spans="1:15" ht="60" x14ac:dyDescent="0.25">
      <c r="A914" s="1" t="s">
        <v>1268</v>
      </c>
      <c r="B914" s="1"/>
      <c r="C914" s="1" t="s">
        <v>303</v>
      </c>
      <c r="D914" s="1">
        <v>119617</v>
      </c>
      <c r="E914" s="1">
        <v>357</v>
      </c>
      <c r="F914" s="1" t="s">
        <v>1397</v>
      </c>
      <c r="G914" s="1" t="s">
        <v>309</v>
      </c>
      <c r="H914" s="1" t="s">
        <v>141</v>
      </c>
      <c r="I914" s="1" t="s">
        <v>65</v>
      </c>
      <c r="J914" s="1">
        <v>3</v>
      </c>
      <c r="K914" s="1" t="s">
        <v>142</v>
      </c>
      <c r="L914" s="1" t="s">
        <v>153</v>
      </c>
      <c r="M914" s="1" t="s">
        <v>1256</v>
      </c>
      <c r="N914" s="1" t="str">
        <f>HYPERLINK("https://klocwork.india.ti.com:443/review/insight-review.html#issuedetails_goto:problemid=119617,project=MCU_PLUS_SDK_AM263X,searchquery=taxonomy:'C and C++' build:Build_Apr_13_2023_11_11_AM grouping:off ","KW Issue Link")</f>
        <v>KW Issue Link</v>
      </c>
      <c r="O914" s="1" t="s">
        <v>291</v>
      </c>
    </row>
    <row r="915" spans="1:15" ht="60" x14ac:dyDescent="0.25">
      <c r="A915" s="1" t="s">
        <v>1268</v>
      </c>
      <c r="B915" s="1"/>
      <c r="C915" s="1" t="s">
        <v>303</v>
      </c>
      <c r="D915" s="1">
        <v>119619</v>
      </c>
      <c r="E915" s="1">
        <v>432</v>
      </c>
      <c r="F915" s="1" t="s">
        <v>1398</v>
      </c>
      <c r="G915" s="1" t="s">
        <v>311</v>
      </c>
      <c r="H915" s="1" t="s">
        <v>141</v>
      </c>
      <c r="I915" s="1" t="s">
        <v>65</v>
      </c>
      <c r="J915" s="1">
        <v>3</v>
      </c>
      <c r="K915" s="1" t="s">
        <v>142</v>
      </c>
      <c r="L915" s="1" t="s">
        <v>153</v>
      </c>
      <c r="M915" s="1" t="s">
        <v>1256</v>
      </c>
      <c r="N915" s="1" t="str">
        <f>HYPERLINK("https://klocwork.india.ti.com:443/review/insight-review.html#issuedetails_goto:problemid=119619,project=MCU_PLUS_SDK_AM263X,searchquery=taxonomy:'C and C++' build:Build_Apr_13_2023_11_11_AM grouping:off ","KW Issue Link")</f>
        <v>KW Issue Link</v>
      </c>
      <c r="O915" s="1" t="s">
        <v>291</v>
      </c>
    </row>
    <row r="916" spans="1:15" ht="60" x14ac:dyDescent="0.25">
      <c r="A916" s="1" t="s">
        <v>1268</v>
      </c>
      <c r="B916" s="1"/>
      <c r="C916" s="1" t="s">
        <v>303</v>
      </c>
      <c r="D916" s="1">
        <v>119620</v>
      </c>
      <c r="E916" s="1">
        <v>533</v>
      </c>
      <c r="F916" s="1" t="s">
        <v>1399</v>
      </c>
      <c r="G916" s="1" t="s">
        <v>1355</v>
      </c>
      <c r="H916" s="1" t="s">
        <v>141</v>
      </c>
      <c r="I916" s="1" t="s">
        <v>65</v>
      </c>
      <c r="J916" s="1">
        <v>3</v>
      </c>
      <c r="K916" s="1" t="s">
        <v>142</v>
      </c>
      <c r="L916" s="1" t="s">
        <v>153</v>
      </c>
      <c r="M916" s="1" t="s">
        <v>1256</v>
      </c>
      <c r="N916" s="1" t="str">
        <f>HYPERLINK("https://klocwork.india.ti.com:443/review/insight-review.html#issuedetails_goto:problemid=119620,project=MCU_PLUS_SDK_AM263X,searchquery=taxonomy:'C and C++' build:Build_Apr_13_2023_11_11_AM grouping:off ","KW Issue Link")</f>
        <v>KW Issue Link</v>
      </c>
      <c r="O916" s="1" t="s">
        <v>291</v>
      </c>
    </row>
    <row r="917" spans="1:15" ht="60" x14ac:dyDescent="0.25">
      <c r="A917" s="1" t="s">
        <v>1268</v>
      </c>
      <c r="B917" s="1"/>
      <c r="C917" s="1" t="s">
        <v>303</v>
      </c>
      <c r="D917" s="1">
        <v>119623</v>
      </c>
      <c r="E917" s="1">
        <v>920</v>
      </c>
      <c r="F917" s="1" t="s">
        <v>1400</v>
      </c>
      <c r="G917" s="1" t="s">
        <v>315</v>
      </c>
      <c r="H917" s="1" t="s">
        <v>141</v>
      </c>
      <c r="I917" s="1" t="s">
        <v>65</v>
      </c>
      <c r="J917" s="1">
        <v>3</v>
      </c>
      <c r="K917" s="1" t="s">
        <v>142</v>
      </c>
      <c r="L917" s="1" t="s">
        <v>153</v>
      </c>
      <c r="M917" s="1" t="s">
        <v>1256</v>
      </c>
      <c r="N917" s="1" t="str">
        <f>HYPERLINK("https://klocwork.india.ti.com:443/review/insight-review.html#issuedetails_goto:problemid=119623,project=MCU_PLUS_SDK_AM263X,searchquery=taxonomy:'C and C++' build:Build_Apr_13_2023_11_11_AM grouping:off ","KW Issue Link")</f>
        <v>KW Issue Link</v>
      </c>
      <c r="O917" s="1" t="s">
        <v>291</v>
      </c>
    </row>
    <row r="918" spans="1:15" ht="60" x14ac:dyDescent="0.25">
      <c r="A918" s="1" t="s">
        <v>1268</v>
      </c>
      <c r="B918" s="1"/>
      <c r="C918" s="1" t="s">
        <v>303</v>
      </c>
      <c r="D918" s="1">
        <v>119624</v>
      </c>
      <c r="E918" s="1">
        <v>1113</v>
      </c>
      <c r="F918" s="1" t="s">
        <v>1401</v>
      </c>
      <c r="G918" s="1" t="s">
        <v>322</v>
      </c>
      <c r="H918" s="1" t="s">
        <v>141</v>
      </c>
      <c r="I918" s="1" t="s">
        <v>65</v>
      </c>
      <c r="J918" s="1">
        <v>3</v>
      </c>
      <c r="K918" s="1" t="s">
        <v>142</v>
      </c>
      <c r="L918" s="1" t="s">
        <v>153</v>
      </c>
      <c r="M918" s="1" t="s">
        <v>1256</v>
      </c>
      <c r="N918" s="1" t="str">
        <f>HYPERLINK("https://klocwork.india.ti.com:443/review/insight-review.html#issuedetails_goto:problemid=119624,project=MCU_PLUS_SDK_AM263X,searchquery=taxonomy:'C and C++' build:Build_Apr_13_2023_11_11_AM grouping:off ","KW Issue Link")</f>
        <v>KW Issue Link</v>
      </c>
      <c r="O918" s="1" t="s">
        <v>291</v>
      </c>
    </row>
    <row r="919" spans="1:15" ht="60" x14ac:dyDescent="0.25">
      <c r="A919" s="1" t="s">
        <v>1268</v>
      </c>
      <c r="B919" s="1"/>
      <c r="C919" s="1" t="s">
        <v>303</v>
      </c>
      <c r="D919" s="1">
        <v>119625</v>
      </c>
      <c r="E919" s="1">
        <v>1301</v>
      </c>
      <c r="F919" s="1" t="s">
        <v>1402</v>
      </c>
      <c r="G919" s="1" t="s">
        <v>318</v>
      </c>
      <c r="H919" s="1" t="s">
        <v>141</v>
      </c>
      <c r="I919" s="1" t="s">
        <v>65</v>
      </c>
      <c r="J919" s="1">
        <v>3</v>
      </c>
      <c r="K919" s="1" t="s">
        <v>142</v>
      </c>
      <c r="L919" s="1" t="s">
        <v>153</v>
      </c>
      <c r="M919" s="1" t="s">
        <v>1256</v>
      </c>
      <c r="N919" s="1" t="str">
        <f>HYPERLINK("https://klocwork.india.ti.com:443/review/insight-review.html#issuedetails_goto:problemid=119625,project=MCU_PLUS_SDK_AM263X,searchquery=taxonomy:'C and C++' build:Build_Apr_13_2023_11_11_AM grouping:off ","KW Issue Link")</f>
        <v>KW Issue Link</v>
      </c>
      <c r="O919" s="1" t="s">
        <v>291</v>
      </c>
    </row>
    <row r="920" spans="1:15" ht="60" x14ac:dyDescent="0.25">
      <c r="A920" s="1" t="s">
        <v>1268</v>
      </c>
      <c r="B920" s="1"/>
      <c r="C920" s="1" t="s">
        <v>303</v>
      </c>
      <c r="D920" s="1">
        <v>119626</v>
      </c>
      <c r="E920" s="1">
        <v>1350</v>
      </c>
      <c r="F920" s="1" t="s">
        <v>1403</v>
      </c>
      <c r="G920" s="1" t="s">
        <v>330</v>
      </c>
      <c r="H920" s="1" t="s">
        <v>141</v>
      </c>
      <c r="I920" s="1" t="s">
        <v>65</v>
      </c>
      <c r="J920" s="1">
        <v>3</v>
      </c>
      <c r="K920" s="1" t="s">
        <v>142</v>
      </c>
      <c r="L920" s="1" t="s">
        <v>153</v>
      </c>
      <c r="M920" s="1" t="s">
        <v>1256</v>
      </c>
      <c r="N920" s="1" t="str">
        <f>HYPERLINK("https://klocwork.india.ti.com:443/review/insight-review.html#issuedetails_goto:problemid=119626,project=MCU_PLUS_SDK_AM263X,searchquery=taxonomy:'C and C++' build:Build_Apr_13_2023_11_11_AM grouping:off ","KW Issue Link")</f>
        <v>KW Issue Link</v>
      </c>
      <c r="O920" s="1" t="s">
        <v>291</v>
      </c>
    </row>
    <row r="921" spans="1:15" ht="60" x14ac:dyDescent="0.25">
      <c r="A921" s="1" t="s">
        <v>1268</v>
      </c>
      <c r="B921" s="1"/>
      <c r="C921" s="1" t="s">
        <v>303</v>
      </c>
      <c r="D921" s="1">
        <v>119627</v>
      </c>
      <c r="E921" s="1">
        <v>1640</v>
      </c>
      <c r="F921" s="1" t="s">
        <v>1404</v>
      </c>
      <c r="G921" s="1" t="s">
        <v>320</v>
      </c>
      <c r="H921" s="1" t="s">
        <v>141</v>
      </c>
      <c r="I921" s="1" t="s">
        <v>65</v>
      </c>
      <c r="J921" s="1">
        <v>3</v>
      </c>
      <c r="K921" s="1" t="s">
        <v>142</v>
      </c>
      <c r="L921" s="1" t="s">
        <v>153</v>
      </c>
      <c r="M921" s="1" t="s">
        <v>1256</v>
      </c>
      <c r="N921" s="1" t="str">
        <f>HYPERLINK("https://klocwork.india.ti.com:443/review/insight-review.html#issuedetails_goto:problemid=119627,project=MCU_PLUS_SDK_AM263X,searchquery=taxonomy:'C and C++' build:Build_Apr_13_2023_11_11_AM grouping:off ","KW Issue Link")</f>
        <v>KW Issue Link</v>
      </c>
      <c r="O921" s="1" t="s">
        <v>291</v>
      </c>
    </row>
    <row r="922" spans="1:15" ht="60" x14ac:dyDescent="0.25">
      <c r="A922" s="1" t="s">
        <v>1268</v>
      </c>
      <c r="B922" s="1"/>
      <c r="C922" s="1" t="s">
        <v>303</v>
      </c>
      <c r="D922" s="1">
        <v>119628</v>
      </c>
      <c r="E922" s="1">
        <v>1813</v>
      </c>
      <c r="F922" s="1" t="s">
        <v>1405</v>
      </c>
      <c r="G922" s="1" t="s">
        <v>1369</v>
      </c>
      <c r="H922" s="1" t="s">
        <v>141</v>
      </c>
      <c r="I922" s="1" t="s">
        <v>65</v>
      </c>
      <c r="J922" s="1">
        <v>3</v>
      </c>
      <c r="K922" s="1" t="s">
        <v>142</v>
      </c>
      <c r="L922" s="1" t="s">
        <v>153</v>
      </c>
      <c r="M922" s="1" t="s">
        <v>1256</v>
      </c>
      <c r="N922" s="1" t="str">
        <f>HYPERLINK("https://klocwork.india.ti.com:443/review/insight-review.html#issuedetails_goto:problemid=119628,project=MCU_PLUS_SDK_AM263X,searchquery=taxonomy:'C and C++' build:Build_Apr_13_2023_11_11_AM grouping:off ","KW Issue Link")</f>
        <v>KW Issue Link</v>
      </c>
      <c r="O922" s="1" t="s">
        <v>291</v>
      </c>
    </row>
    <row r="923" spans="1:15" ht="60" x14ac:dyDescent="0.25">
      <c r="A923" s="1" t="s">
        <v>1268</v>
      </c>
      <c r="B923" s="1"/>
      <c r="C923" s="1" t="s">
        <v>303</v>
      </c>
      <c r="D923" s="1">
        <v>119629</v>
      </c>
      <c r="E923" s="1">
        <v>1934</v>
      </c>
      <c r="F923" s="1" t="s">
        <v>1406</v>
      </c>
      <c r="G923" s="1" t="s">
        <v>323</v>
      </c>
      <c r="H923" s="1" t="s">
        <v>141</v>
      </c>
      <c r="I923" s="1" t="s">
        <v>65</v>
      </c>
      <c r="J923" s="1">
        <v>3</v>
      </c>
      <c r="K923" s="1" t="s">
        <v>142</v>
      </c>
      <c r="L923" s="1" t="s">
        <v>153</v>
      </c>
      <c r="M923" s="1" t="s">
        <v>1256</v>
      </c>
      <c r="N923" s="1" t="str">
        <f>HYPERLINK("https://klocwork.india.ti.com:443/review/insight-review.html#issuedetails_goto:problemid=119629,project=MCU_PLUS_SDK_AM263X,searchquery=taxonomy:'C and C++' build:Build_Apr_13_2023_11_11_AM grouping:off ","KW Issue Link")</f>
        <v>KW Issue Link</v>
      </c>
      <c r="O923" s="1" t="s">
        <v>291</v>
      </c>
    </row>
    <row r="924" spans="1:15" ht="60" x14ac:dyDescent="0.25">
      <c r="A924" s="1" t="s">
        <v>1266</v>
      </c>
      <c r="B924" s="1"/>
      <c r="C924" s="1" t="s">
        <v>256</v>
      </c>
      <c r="D924" s="1">
        <v>119630</v>
      </c>
      <c r="E924" s="1">
        <v>162</v>
      </c>
      <c r="F924" s="1" t="s">
        <v>1407</v>
      </c>
      <c r="G924" s="1" t="s">
        <v>263</v>
      </c>
      <c r="H924" s="1" t="s">
        <v>141</v>
      </c>
      <c r="I924" s="1" t="s">
        <v>65</v>
      </c>
      <c r="J924" s="1">
        <v>3</v>
      </c>
      <c r="K924" s="1" t="s">
        <v>142</v>
      </c>
      <c r="L924" s="1" t="s">
        <v>153</v>
      </c>
      <c r="M924" s="1" t="s">
        <v>1256</v>
      </c>
      <c r="N924" s="1" t="str">
        <f>HYPERLINK("https://klocwork.india.ti.com:443/review/insight-review.html#issuedetails_goto:problemid=119630,project=MCU_PLUS_SDK_AM263X,searchquery=taxonomy:'C and C++' build:Build_Apr_13_2023_11_11_AM grouping:off ","KW Issue Link")</f>
        <v>KW Issue Link</v>
      </c>
      <c r="O924" s="1" t="s">
        <v>259</v>
      </c>
    </row>
    <row r="925" spans="1:15" ht="60" x14ac:dyDescent="0.25">
      <c r="A925" s="1" t="s">
        <v>1266</v>
      </c>
      <c r="B925" s="1"/>
      <c r="C925" s="1" t="s">
        <v>256</v>
      </c>
      <c r="D925" s="1">
        <v>119631</v>
      </c>
      <c r="E925" s="1">
        <v>501</v>
      </c>
      <c r="F925" s="1" t="s">
        <v>1408</v>
      </c>
      <c r="G925" s="1" t="s">
        <v>992</v>
      </c>
      <c r="H925" s="1" t="s">
        <v>141</v>
      </c>
      <c r="I925" s="1" t="s">
        <v>65</v>
      </c>
      <c r="J925" s="1">
        <v>3</v>
      </c>
      <c r="K925" s="1" t="s">
        <v>142</v>
      </c>
      <c r="L925" s="1" t="s">
        <v>153</v>
      </c>
      <c r="M925" s="1" t="s">
        <v>1256</v>
      </c>
      <c r="N925" s="1" t="str">
        <f>HYPERLINK("https://klocwork.india.ti.com:443/review/insight-review.html#issuedetails_goto:problemid=119631,project=MCU_PLUS_SDK_AM263X,searchquery=taxonomy:'C and C++' build:Build_Apr_13_2023_11_11_AM grouping:off ","KW Issue Link")</f>
        <v>KW Issue Link</v>
      </c>
      <c r="O925" s="1" t="s">
        <v>259</v>
      </c>
    </row>
    <row r="926" spans="1:15" ht="60" x14ac:dyDescent="0.25">
      <c r="A926" s="1" t="s">
        <v>1268</v>
      </c>
      <c r="B926" s="1"/>
      <c r="C926" s="1" t="s">
        <v>256</v>
      </c>
      <c r="D926" s="1">
        <v>119632</v>
      </c>
      <c r="E926" s="1">
        <v>162</v>
      </c>
      <c r="F926" s="1" t="s">
        <v>1409</v>
      </c>
      <c r="G926" s="1" t="s">
        <v>263</v>
      </c>
      <c r="H926" s="1" t="s">
        <v>141</v>
      </c>
      <c r="I926" s="1" t="s">
        <v>65</v>
      </c>
      <c r="J926" s="1">
        <v>3</v>
      </c>
      <c r="K926" s="1" t="s">
        <v>142</v>
      </c>
      <c r="L926" s="1" t="s">
        <v>153</v>
      </c>
      <c r="M926" s="1" t="s">
        <v>1256</v>
      </c>
      <c r="N926" s="1" t="str">
        <f>HYPERLINK("https://klocwork.india.ti.com:443/review/insight-review.html#issuedetails_goto:problemid=119632,project=MCU_PLUS_SDK_AM263X,searchquery=taxonomy:'C and C++' build:Build_Apr_13_2023_11_11_AM grouping:off ","KW Issue Link")</f>
        <v>KW Issue Link</v>
      </c>
      <c r="O926" s="1" t="s">
        <v>259</v>
      </c>
    </row>
    <row r="927" spans="1:15" ht="60" x14ac:dyDescent="0.25">
      <c r="A927" s="1" t="s">
        <v>1257</v>
      </c>
      <c r="B927" s="1"/>
      <c r="C927" s="1" t="s">
        <v>256</v>
      </c>
      <c r="D927" s="1">
        <v>119633</v>
      </c>
      <c r="E927" s="1">
        <v>278</v>
      </c>
      <c r="F927" s="1" t="s">
        <v>1410</v>
      </c>
      <c r="G927" s="1" t="s">
        <v>1411</v>
      </c>
      <c r="H927" s="1" t="s">
        <v>141</v>
      </c>
      <c r="I927" s="1" t="s">
        <v>65</v>
      </c>
      <c r="J927" s="1">
        <v>3</v>
      </c>
      <c r="K927" s="1" t="s">
        <v>142</v>
      </c>
      <c r="L927" s="1" t="s">
        <v>153</v>
      </c>
      <c r="M927" s="1" t="s">
        <v>1256</v>
      </c>
      <c r="N927" s="1" t="str">
        <f>HYPERLINK("https://klocwork.india.ti.com:443/review/insight-review.html#issuedetails_goto:problemid=119633,project=MCU_PLUS_SDK_AM263X,searchquery=taxonomy:'C and C++' build:Build_Apr_13_2023_11_11_AM grouping:off ","KW Issue Link")</f>
        <v>KW Issue Link</v>
      </c>
      <c r="O927" s="1" t="s">
        <v>259</v>
      </c>
    </row>
    <row r="928" spans="1:15" ht="60" x14ac:dyDescent="0.25">
      <c r="A928" s="1" t="s">
        <v>1257</v>
      </c>
      <c r="B928" s="1"/>
      <c r="C928" s="1" t="s">
        <v>256</v>
      </c>
      <c r="D928" s="1">
        <v>119634</v>
      </c>
      <c r="E928" s="1">
        <v>400</v>
      </c>
      <c r="F928" s="1" t="s">
        <v>1412</v>
      </c>
      <c r="G928" s="1" t="s">
        <v>1413</v>
      </c>
      <c r="H928" s="1" t="s">
        <v>141</v>
      </c>
      <c r="I928" s="1" t="s">
        <v>65</v>
      </c>
      <c r="J928" s="1">
        <v>3</v>
      </c>
      <c r="K928" s="1" t="s">
        <v>142</v>
      </c>
      <c r="L928" s="1" t="s">
        <v>153</v>
      </c>
      <c r="M928" s="1" t="s">
        <v>1256</v>
      </c>
      <c r="N928" s="1" t="str">
        <f>HYPERLINK("https://klocwork.india.ti.com:443/review/insight-review.html#issuedetails_goto:problemid=119634,project=MCU_PLUS_SDK_AM263X,searchquery=taxonomy:'C and C++' build:Build_Apr_13_2023_11_11_AM grouping:off ","KW Issue Link")</f>
        <v>KW Issue Link</v>
      </c>
      <c r="O928" s="1" t="s">
        <v>259</v>
      </c>
    </row>
    <row r="929" spans="1:15" ht="60" x14ac:dyDescent="0.25">
      <c r="A929" s="1" t="s">
        <v>1257</v>
      </c>
      <c r="B929" s="1"/>
      <c r="C929" s="1" t="s">
        <v>256</v>
      </c>
      <c r="D929" s="1">
        <v>119635</v>
      </c>
      <c r="E929" s="1">
        <v>501</v>
      </c>
      <c r="F929" s="1" t="s">
        <v>1414</v>
      </c>
      <c r="G929" s="1" t="s">
        <v>992</v>
      </c>
      <c r="H929" s="1" t="s">
        <v>141</v>
      </c>
      <c r="I929" s="1" t="s">
        <v>65</v>
      </c>
      <c r="J929" s="1">
        <v>3</v>
      </c>
      <c r="K929" s="1" t="s">
        <v>142</v>
      </c>
      <c r="L929" s="1" t="s">
        <v>153</v>
      </c>
      <c r="M929" s="1" t="s">
        <v>1256</v>
      </c>
      <c r="N929" s="1" t="str">
        <f>HYPERLINK("https://klocwork.india.ti.com:443/review/insight-review.html#issuedetails_goto:problemid=119635,project=MCU_PLUS_SDK_AM263X,searchquery=taxonomy:'C and C++' build:Build_Apr_13_2023_11_11_AM grouping:off ","KW Issue Link")</f>
        <v>KW Issue Link</v>
      </c>
      <c r="O929" s="1" t="s">
        <v>259</v>
      </c>
    </row>
    <row r="930" spans="1:15" ht="60" x14ac:dyDescent="0.25">
      <c r="A930" s="1" t="s">
        <v>1257</v>
      </c>
      <c r="B930" s="1"/>
      <c r="C930" s="1" t="s">
        <v>256</v>
      </c>
      <c r="D930" s="1">
        <v>119636</v>
      </c>
      <c r="E930" s="1">
        <v>627</v>
      </c>
      <c r="F930" s="1" t="s">
        <v>1415</v>
      </c>
      <c r="G930" s="1" t="s">
        <v>994</v>
      </c>
      <c r="H930" s="1" t="s">
        <v>141</v>
      </c>
      <c r="I930" s="1" t="s">
        <v>65</v>
      </c>
      <c r="J930" s="1">
        <v>3</v>
      </c>
      <c r="K930" s="1" t="s">
        <v>142</v>
      </c>
      <c r="L930" s="1" t="s">
        <v>153</v>
      </c>
      <c r="M930" s="1" t="s">
        <v>1256</v>
      </c>
      <c r="N930" s="1" t="str">
        <f>HYPERLINK("https://klocwork.india.ti.com:443/review/insight-review.html#issuedetails_goto:problemid=119636,project=MCU_PLUS_SDK_AM263X,searchquery=taxonomy:'C and C++' build:Build_Apr_13_2023_11_11_AM grouping:off ","KW Issue Link")</f>
        <v>KW Issue Link</v>
      </c>
      <c r="O930" s="1" t="s">
        <v>259</v>
      </c>
    </row>
    <row r="931" spans="1:15" ht="75" x14ac:dyDescent="0.25">
      <c r="A931" s="1" t="s">
        <v>1257</v>
      </c>
      <c r="B931" s="1"/>
      <c r="C931" s="1" t="s">
        <v>1416</v>
      </c>
      <c r="D931" s="1">
        <v>119639</v>
      </c>
      <c r="E931" s="1">
        <v>243</v>
      </c>
      <c r="F931" s="1" t="s">
        <v>1417</v>
      </c>
      <c r="G931" s="1" t="s">
        <v>1418</v>
      </c>
      <c r="H931" s="1" t="s">
        <v>141</v>
      </c>
      <c r="I931" s="1" t="s">
        <v>65</v>
      </c>
      <c r="J931" s="1">
        <v>3</v>
      </c>
      <c r="K931" s="1" t="s">
        <v>142</v>
      </c>
      <c r="L931" s="1" t="s">
        <v>153</v>
      </c>
      <c r="M931" s="1" t="s">
        <v>1256</v>
      </c>
      <c r="N931" s="1" t="str">
        <f>HYPERLINK("https://klocwork.india.ti.com:443/review/insight-review.html#issuedetails_goto:problemid=119639,project=MCU_PLUS_SDK_AM263X,searchquery=taxonomy:'C and C++' build:Build_Apr_13_2023_11_11_AM grouping:off ","KW Issue Link")</f>
        <v>KW Issue Link</v>
      </c>
      <c r="O931" s="1" t="s">
        <v>259</v>
      </c>
    </row>
    <row r="932" spans="1:15" ht="75" x14ac:dyDescent="0.25">
      <c r="A932" s="1" t="s">
        <v>1266</v>
      </c>
      <c r="B932" s="1"/>
      <c r="C932" s="1" t="s">
        <v>1416</v>
      </c>
      <c r="D932" s="1">
        <v>119640</v>
      </c>
      <c r="E932" s="1">
        <v>243</v>
      </c>
      <c r="F932" s="1" t="s">
        <v>1419</v>
      </c>
      <c r="G932" s="1" t="s">
        <v>1418</v>
      </c>
      <c r="H932" s="1" t="s">
        <v>141</v>
      </c>
      <c r="I932" s="1" t="s">
        <v>65</v>
      </c>
      <c r="J932" s="1">
        <v>3</v>
      </c>
      <c r="K932" s="1" t="s">
        <v>142</v>
      </c>
      <c r="L932" s="1" t="s">
        <v>153</v>
      </c>
      <c r="M932" s="1" t="s">
        <v>1256</v>
      </c>
      <c r="N932" s="1" t="str">
        <f>HYPERLINK("https://klocwork.india.ti.com:443/review/insight-review.html#issuedetails_goto:problemid=119640,project=MCU_PLUS_SDK_AM263X,searchquery=taxonomy:'C and C++' build:Build_Apr_13_2023_11_11_AM grouping:off ","KW Issue Link")</f>
        <v>KW Issue Link</v>
      </c>
      <c r="O932" s="1" t="s">
        <v>259</v>
      </c>
    </row>
    <row r="933" spans="1:15" ht="75" x14ac:dyDescent="0.25">
      <c r="A933" s="1" t="s">
        <v>1257</v>
      </c>
      <c r="B933" s="1"/>
      <c r="C933" s="1" t="s">
        <v>264</v>
      </c>
      <c r="D933" s="1">
        <v>119641</v>
      </c>
      <c r="E933" s="1">
        <v>56</v>
      </c>
      <c r="F933" s="1" t="s">
        <v>1420</v>
      </c>
      <c r="G933" s="1" t="s">
        <v>1421</v>
      </c>
      <c r="H933" s="1" t="s">
        <v>141</v>
      </c>
      <c r="I933" s="1" t="s">
        <v>65</v>
      </c>
      <c r="J933" s="1">
        <v>3</v>
      </c>
      <c r="K933" s="1" t="s">
        <v>142</v>
      </c>
      <c r="L933" s="1" t="s">
        <v>153</v>
      </c>
      <c r="M933" s="1" t="s">
        <v>1256</v>
      </c>
      <c r="N933" s="1" t="str">
        <f>HYPERLINK("https://klocwork.india.ti.com:443/review/insight-review.html#issuedetails_goto:problemid=119641,project=MCU_PLUS_SDK_AM263X,searchquery=taxonomy:'C and C++' build:Build_Apr_13_2023_11_11_AM grouping:off ","KW Issue Link")</f>
        <v>KW Issue Link</v>
      </c>
      <c r="O933" s="1" t="s">
        <v>259</v>
      </c>
    </row>
    <row r="934" spans="1:15" ht="60" x14ac:dyDescent="0.25">
      <c r="A934" s="1" t="s">
        <v>1257</v>
      </c>
      <c r="B934" s="1"/>
      <c r="C934" s="1" t="s">
        <v>264</v>
      </c>
      <c r="D934" s="1">
        <v>119642</v>
      </c>
      <c r="E934" s="1">
        <v>214</v>
      </c>
      <c r="F934" s="1" t="s">
        <v>1422</v>
      </c>
      <c r="G934" s="1" t="s">
        <v>1423</v>
      </c>
      <c r="H934" s="1" t="s">
        <v>141</v>
      </c>
      <c r="I934" s="1" t="s">
        <v>65</v>
      </c>
      <c r="J934" s="1">
        <v>3</v>
      </c>
      <c r="K934" s="1" t="s">
        <v>142</v>
      </c>
      <c r="L934" s="1" t="s">
        <v>153</v>
      </c>
      <c r="M934" s="1" t="s">
        <v>1256</v>
      </c>
      <c r="N934" s="1" t="str">
        <f>HYPERLINK("https://klocwork.india.ti.com:443/review/insight-review.html#issuedetails_goto:problemid=119642,project=MCU_PLUS_SDK_AM263X,searchquery=taxonomy:'C and C++' build:Build_Apr_13_2023_11_11_AM grouping:off ","KW Issue Link")</f>
        <v>KW Issue Link</v>
      </c>
      <c r="O934" s="1" t="s">
        <v>259</v>
      </c>
    </row>
    <row r="935" spans="1:15" ht="60" x14ac:dyDescent="0.25">
      <c r="A935" s="1" t="s">
        <v>1257</v>
      </c>
      <c r="B935" s="1"/>
      <c r="C935" s="1" t="s">
        <v>264</v>
      </c>
      <c r="D935" s="1">
        <v>119643</v>
      </c>
      <c r="E935" s="1">
        <v>279</v>
      </c>
      <c r="F935" s="1" t="s">
        <v>1424</v>
      </c>
      <c r="G935" s="1" t="s">
        <v>1425</v>
      </c>
      <c r="H935" s="1" t="s">
        <v>141</v>
      </c>
      <c r="I935" s="1" t="s">
        <v>65</v>
      </c>
      <c r="J935" s="1">
        <v>3</v>
      </c>
      <c r="K935" s="1" t="s">
        <v>142</v>
      </c>
      <c r="L935" s="1" t="s">
        <v>153</v>
      </c>
      <c r="M935" s="1" t="s">
        <v>1256</v>
      </c>
      <c r="N935" s="1" t="str">
        <f>HYPERLINK("https://klocwork.india.ti.com:443/review/insight-review.html#issuedetails_goto:problemid=119643,project=MCU_PLUS_SDK_AM263X,searchquery=taxonomy:'C and C++' build:Build_Apr_13_2023_11_11_AM grouping:off ","KW Issue Link")</f>
        <v>KW Issue Link</v>
      </c>
      <c r="O935" s="1" t="s">
        <v>259</v>
      </c>
    </row>
    <row r="936" spans="1:15" ht="75" x14ac:dyDescent="0.25">
      <c r="A936" s="1" t="s">
        <v>1257</v>
      </c>
      <c r="B936" s="1"/>
      <c r="C936" s="1" t="s">
        <v>264</v>
      </c>
      <c r="D936" s="1">
        <v>119644</v>
      </c>
      <c r="E936" s="1">
        <v>444</v>
      </c>
      <c r="F936" s="1" t="s">
        <v>1426</v>
      </c>
      <c r="G936" s="1" t="s">
        <v>1427</v>
      </c>
      <c r="H936" s="1" t="s">
        <v>141</v>
      </c>
      <c r="I936" s="1" t="s">
        <v>65</v>
      </c>
      <c r="J936" s="1">
        <v>3</v>
      </c>
      <c r="K936" s="1" t="s">
        <v>142</v>
      </c>
      <c r="L936" s="1" t="s">
        <v>153</v>
      </c>
      <c r="M936" s="1" t="s">
        <v>1256</v>
      </c>
      <c r="N936" s="1" t="str">
        <f>HYPERLINK("https://klocwork.india.ti.com:443/review/insight-review.html#issuedetails_goto:problemid=119644,project=MCU_PLUS_SDK_AM263X,searchquery=taxonomy:'C and C++' build:Build_Apr_13_2023_11_11_AM grouping:off ","KW Issue Link")</f>
        <v>KW Issue Link</v>
      </c>
      <c r="O936" s="1" t="s">
        <v>259</v>
      </c>
    </row>
    <row r="937" spans="1:15" ht="75" x14ac:dyDescent="0.25">
      <c r="A937" s="1" t="s">
        <v>1266</v>
      </c>
      <c r="B937" s="1"/>
      <c r="C937" s="1" t="s">
        <v>264</v>
      </c>
      <c r="D937" s="1">
        <v>119645</v>
      </c>
      <c r="E937" s="1">
        <v>56</v>
      </c>
      <c r="F937" s="1" t="s">
        <v>1428</v>
      </c>
      <c r="G937" s="1" t="s">
        <v>1421</v>
      </c>
      <c r="H937" s="1" t="s">
        <v>141</v>
      </c>
      <c r="I937" s="1" t="s">
        <v>65</v>
      </c>
      <c r="J937" s="1">
        <v>3</v>
      </c>
      <c r="K937" s="1" t="s">
        <v>142</v>
      </c>
      <c r="L937" s="1" t="s">
        <v>153</v>
      </c>
      <c r="M937" s="1" t="s">
        <v>1256</v>
      </c>
      <c r="N937" s="1" t="str">
        <f>HYPERLINK("https://klocwork.india.ti.com:443/review/insight-review.html#issuedetails_goto:problemid=119645,project=MCU_PLUS_SDK_AM263X,searchquery=taxonomy:'C and C++' build:Build_Apr_13_2023_11_11_AM grouping:off ","KW Issue Link")</f>
        <v>KW Issue Link</v>
      </c>
      <c r="O937" s="1" t="s">
        <v>259</v>
      </c>
    </row>
    <row r="938" spans="1:15" ht="60" x14ac:dyDescent="0.25">
      <c r="A938" s="1" t="s">
        <v>1252</v>
      </c>
      <c r="B938" s="1"/>
      <c r="C938" s="1" t="s">
        <v>264</v>
      </c>
      <c r="D938" s="1">
        <v>119646</v>
      </c>
      <c r="E938" s="1">
        <v>279</v>
      </c>
      <c r="F938" s="1" t="s">
        <v>1429</v>
      </c>
      <c r="G938" s="1" t="s">
        <v>1425</v>
      </c>
      <c r="H938" s="1" t="s">
        <v>141</v>
      </c>
      <c r="I938" s="1" t="s">
        <v>65</v>
      </c>
      <c r="J938" s="1">
        <v>3</v>
      </c>
      <c r="K938" s="1" t="s">
        <v>142</v>
      </c>
      <c r="L938" s="1" t="s">
        <v>153</v>
      </c>
      <c r="M938" s="1" t="s">
        <v>1256</v>
      </c>
      <c r="N938" s="1" t="str">
        <f>HYPERLINK("https://klocwork.india.ti.com:443/review/insight-review.html#issuedetails_goto:problemid=119646,project=MCU_PLUS_SDK_AM263X,searchquery=taxonomy:'C and C++' build:Build_Apr_13_2023_11_11_AM grouping:off ","KW Issue Link")</f>
        <v>KW Issue Link</v>
      </c>
      <c r="O938" s="1" t="s">
        <v>259</v>
      </c>
    </row>
    <row r="939" spans="1:15" ht="75" x14ac:dyDescent="0.25">
      <c r="A939" s="1" t="s">
        <v>1257</v>
      </c>
      <c r="B939" s="1"/>
      <c r="C939" s="1" t="s">
        <v>331</v>
      </c>
      <c r="D939" s="1">
        <v>119649</v>
      </c>
      <c r="E939" s="1">
        <v>249</v>
      </c>
      <c r="F939" s="1" t="s">
        <v>1430</v>
      </c>
      <c r="G939" s="1" t="s">
        <v>1431</v>
      </c>
      <c r="H939" s="1" t="s">
        <v>141</v>
      </c>
      <c r="I939" s="1" t="s">
        <v>65</v>
      </c>
      <c r="J939" s="1">
        <v>3</v>
      </c>
      <c r="K939" s="1" t="s">
        <v>142</v>
      </c>
      <c r="L939" s="1" t="s">
        <v>153</v>
      </c>
      <c r="M939" s="1" t="s">
        <v>1256</v>
      </c>
      <c r="N939" s="1" t="str">
        <f>HYPERLINK("https://klocwork.india.ti.com:443/review/insight-review.html#issuedetails_goto:problemid=119649,project=MCU_PLUS_SDK_AM263X,searchquery=taxonomy:'C and C++' build:Build_Apr_13_2023_11_11_AM grouping:off ","KW Issue Link")</f>
        <v>KW Issue Link</v>
      </c>
      <c r="O939" s="1" t="s">
        <v>291</v>
      </c>
    </row>
    <row r="940" spans="1:15" ht="75" x14ac:dyDescent="0.25">
      <c r="A940" s="1" t="s">
        <v>1257</v>
      </c>
      <c r="B940" s="1"/>
      <c r="C940" s="1" t="s">
        <v>331</v>
      </c>
      <c r="D940" s="1">
        <v>119650</v>
      </c>
      <c r="E940" s="1">
        <v>326</v>
      </c>
      <c r="F940" s="1" t="s">
        <v>1432</v>
      </c>
      <c r="G940" s="1" t="s">
        <v>1433</v>
      </c>
      <c r="H940" s="1" t="s">
        <v>141</v>
      </c>
      <c r="I940" s="1" t="s">
        <v>65</v>
      </c>
      <c r="J940" s="1">
        <v>3</v>
      </c>
      <c r="K940" s="1" t="s">
        <v>142</v>
      </c>
      <c r="L940" s="1" t="s">
        <v>153</v>
      </c>
      <c r="M940" s="1" t="s">
        <v>1256</v>
      </c>
      <c r="N940" s="1" t="str">
        <f>HYPERLINK("https://klocwork.india.ti.com:443/review/insight-review.html#issuedetails_goto:problemid=119650,project=MCU_PLUS_SDK_AM263X,searchquery=taxonomy:'C and C++' build:Build_Apr_13_2023_11_11_AM grouping:off ","KW Issue Link")</f>
        <v>KW Issue Link</v>
      </c>
      <c r="O940" s="1" t="s">
        <v>291</v>
      </c>
    </row>
    <row r="941" spans="1:15" ht="75" x14ac:dyDescent="0.25">
      <c r="A941" s="1" t="s">
        <v>1257</v>
      </c>
      <c r="B941" s="1"/>
      <c r="C941" s="1" t="s">
        <v>331</v>
      </c>
      <c r="D941" s="1">
        <v>119651</v>
      </c>
      <c r="E941" s="1">
        <v>413</v>
      </c>
      <c r="F941" s="1" t="s">
        <v>1434</v>
      </c>
      <c r="G941" s="1" t="s">
        <v>339</v>
      </c>
      <c r="H941" s="1" t="s">
        <v>141</v>
      </c>
      <c r="I941" s="1" t="s">
        <v>65</v>
      </c>
      <c r="J941" s="1">
        <v>3</v>
      </c>
      <c r="K941" s="1" t="s">
        <v>142</v>
      </c>
      <c r="L941" s="1" t="s">
        <v>153</v>
      </c>
      <c r="M941" s="1" t="s">
        <v>1256</v>
      </c>
      <c r="N941" s="1" t="str">
        <f>HYPERLINK("https://klocwork.india.ti.com:443/review/insight-review.html#issuedetails_goto:problemid=119651,project=MCU_PLUS_SDK_AM263X,searchquery=taxonomy:'C and C++' build:Build_Apr_13_2023_11_11_AM grouping:off ","KW Issue Link")</f>
        <v>KW Issue Link</v>
      </c>
      <c r="O941" s="1" t="s">
        <v>291</v>
      </c>
    </row>
    <row r="942" spans="1:15" ht="75" x14ac:dyDescent="0.25">
      <c r="A942" s="1" t="s">
        <v>1266</v>
      </c>
      <c r="B942" s="1"/>
      <c r="C942" s="1" t="s">
        <v>331</v>
      </c>
      <c r="D942" s="1">
        <v>119655</v>
      </c>
      <c r="E942" s="1">
        <v>249</v>
      </c>
      <c r="F942" s="1" t="s">
        <v>1435</v>
      </c>
      <c r="G942" s="1" t="s">
        <v>1431</v>
      </c>
      <c r="H942" s="1" t="s">
        <v>141</v>
      </c>
      <c r="I942" s="1" t="s">
        <v>65</v>
      </c>
      <c r="J942" s="1">
        <v>3</v>
      </c>
      <c r="K942" s="1" t="s">
        <v>142</v>
      </c>
      <c r="L942" s="1" t="s">
        <v>153</v>
      </c>
      <c r="M942" s="1" t="s">
        <v>1256</v>
      </c>
      <c r="N942" s="1" t="str">
        <f>HYPERLINK("https://klocwork.india.ti.com:443/review/insight-review.html#issuedetails_goto:problemid=119655,project=MCU_PLUS_SDK_AM263X,searchquery=taxonomy:'C and C++' build:Build_Apr_13_2023_11_11_AM grouping:off ","KW Issue Link")</f>
        <v>KW Issue Link</v>
      </c>
      <c r="O942" s="1" t="s">
        <v>291</v>
      </c>
    </row>
    <row r="943" spans="1:15" ht="75" x14ac:dyDescent="0.25">
      <c r="A943" s="1" t="s">
        <v>1266</v>
      </c>
      <c r="B943" s="1"/>
      <c r="C943" s="1" t="s">
        <v>331</v>
      </c>
      <c r="D943" s="1">
        <v>119656</v>
      </c>
      <c r="E943" s="1">
        <v>326</v>
      </c>
      <c r="F943" s="1" t="s">
        <v>1436</v>
      </c>
      <c r="G943" s="1" t="s">
        <v>1433</v>
      </c>
      <c r="H943" s="1" t="s">
        <v>141</v>
      </c>
      <c r="I943" s="1" t="s">
        <v>65</v>
      </c>
      <c r="J943" s="1">
        <v>3</v>
      </c>
      <c r="K943" s="1" t="s">
        <v>142</v>
      </c>
      <c r="L943" s="1" t="s">
        <v>153</v>
      </c>
      <c r="M943" s="1" t="s">
        <v>1256</v>
      </c>
      <c r="N943" s="1" t="str">
        <f>HYPERLINK("https://klocwork.india.ti.com:443/review/insight-review.html#issuedetails_goto:problemid=119656,project=MCU_PLUS_SDK_AM263X,searchquery=taxonomy:'C and C++' build:Build_Apr_13_2023_11_11_AM grouping:off ","KW Issue Link")</f>
        <v>KW Issue Link</v>
      </c>
      <c r="O943" s="1" t="s">
        <v>291</v>
      </c>
    </row>
    <row r="944" spans="1:15" ht="75" x14ac:dyDescent="0.25">
      <c r="A944" s="1" t="s">
        <v>1266</v>
      </c>
      <c r="B944" s="1"/>
      <c r="C944" s="1" t="s">
        <v>331</v>
      </c>
      <c r="D944" s="1">
        <v>119657</v>
      </c>
      <c r="E944" s="1">
        <v>413</v>
      </c>
      <c r="F944" s="1" t="s">
        <v>1437</v>
      </c>
      <c r="G944" s="1" t="s">
        <v>339</v>
      </c>
      <c r="H944" s="1" t="s">
        <v>141</v>
      </c>
      <c r="I944" s="1" t="s">
        <v>65</v>
      </c>
      <c r="J944" s="1">
        <v>3</v>
      </c>
      <c r="K944" s="1" t="s">
        <v>142</v>
      </c>
      <c r="L944" s="1" t="s">
        <v>153</v>
      </c>
      <c r="M944" s="1" t="s">
        <v>1256</v>
      </c>
      <c r="N944" s="1" t="str">
        <f>HYPERLINK("https://klocwork.india.ti.com:443/review/insight-review.html#issuedetails_goto:problemid=119657,project=MCU_PLUS_SDK_AM263X,searchquery=taxonomy:'C and C++' build:Build_Apr_13_2023_11_11_AM grouping:off ","KW Issue Link")</f>
        <v>KW Issue Link</v>
      </c>
      <c r="O944" s="1" t="s">
        <v>291</v>
      </c>
    </row>
    <row r="945" spans="1:15" ht="75" x14ac:dyDescent="0.25">
      <c r="A945" s="1" t="s">
        <v>1266</v>
      </c>
      <c r="B945" s="1"/>
      <c r="C945" s="1" t="s">
        <v>331</v>
      </c>
      <c r="D945" s="1">
        <v>119658</v>
      </c>
      <c r="E945" s="1">
        <v>524</v>
      </c>
      <c r="F945" s="1" t="s">
        <v>1438</v>
      </c>
      <c r="G945" s="1" t="s">
        <v>342</v>
      </c>
      <c r="H945" s="1" t="s">
        <v>141</v>
      </c>
      <c r="I945" s="1" t="s">
        <v>65</v>
      </c>
      <c r="J945" s="1">
        <v>3</v>
      </c>
      <c r="K945" s="1" t="s">
        <v>142</v>
      </c>
      <c r="L945" s="1" t="s">
        <v>153</v>
      </c>
      <c r="M945" s="1" t="s">
        <v>1256</v>
      </c>
      <c r="N945" s="1" t="str">
        <f>HYPERLINK("https://klocwork.india.ti.com:443/review/insight-review.html#issuedetails_goto:problemid=119658,project=MCU_PLUS_SDK_AM263X,searchquery=taxonomy:'C and C++' build:Build_Apr_13_2023_11_11_AM grouping:off ","KW Issue Link")</f>
        <v>KW Issue Link</v>
      </c>
      <c r="O945" s="1" t="s">
        <v>291</v>
      </c>
    </row>
    <row r="946" spans="1:15" ht="75" x14ac:dyDescent="0.25">
      <c r="A946" s="1" t="s">
        <v>1268</v>
      </c>
      <c r="B946" s="1"/>
      <c r="C946" s="1" t="s">
        <v>331</v>
      </c>
      <c r="D946" s="1">
        <v>119661</v>
      </c>
      <c r="E946" s="1">
        <v>326</v>
      </c>
      <c r="F946" s="1" t="s">
        <v>1439</v>
      </c>
      <c r="G946" s="1" t="s">
        <v>1433</v>
      </c>
      <c r="H946" s="1" t="s">
        <v>141</v>
      </c>
      <c r="I946" s="1" t="s">
        <v>65</v>
      </c>
      <c r="J946" s="1">
        <v>3</v>
      </c>
      <c r="K946" s="1" t="s">
        <v>142</v>
      </c>
      <c r="L946" s="1" t="s">
        <v>153</v>
      </c>
      <c r="M946" s="1" t="s">
        <v>1256</v>
      </c>
      <c r="N946" s="1" t="str">
        <f>HYPERLINK("https://klocwork.india.ti.com:443/review/insight-review.html#issuedetails_goto:problemid=119661,project=MCU_PLUS_SDK_AM263X,searchquery=taxonomy:'C and C++' build:Build_Apr_13_2023_11_11_AM grouping:off ","KW Issue Link")</f>
        <v>KW Issue Link</v>
      </c>
      <c r="O946" s="1" t="s">
        <v>291</v>
      </c>
    </row>
    <row r="947" spans="1:15" ht="75" x14ac:dyDescent="0.25">
      <c r="A947" s="1" t="s">
        <v>1268</v>
      </c>
      <c r="B947" s="1"/>
      <c r="C947" s="1" t="s">
        <v>331</v>
      </c>
      <c r="D947" s="1">
        <v>119662</v>
      </c>
      <c r="E947" s="1">
        <v>413</v>
      </c>
      <c r="F947" s="1" t="s">
        <v>1440</v>
      </c>
      <c r="G947" s="1" t="s">
        <v>339</v>
      </c>
      <c r="H947" s="1" t="s">
        <v>141</v>
      </c>
      <c r="I947" s="1" t="s">
        <v>65</v>
      </c>
      <c r="J947" s="1">
        <v>3</v>
      </c>
      <c r="K947" s="1" t="s">
        <v>142</v>
      </c>
      <c r="L947" s="1" t="s">
        <v>153</v>
      </c>
      <c r="M947" s="1" t="s">
        <v>1256</v>
      </c>
      <c r="N947" s="1" t="str">
        <f>HYPERLINK("https://klocwork.india.ti.com:443/review/insight-review.html#issuedetails_goto:problemid=119662,project=MCU_PLUS_SDK_AM263X,searchquery=taxonomy:'C and C++' build:Build_Apr_13_2023_11_11_AM grouping:off ","KW Issue Link")</f>
        <v>KW Issue Link</v>
      </c>
      <c r="O947" s="1" t="s">
        <v>291</v>
      </c>
    </row>
    <row r="948" spans="1:15" ht="75" x14ac:dyDescent="0.25">
      <c r="A948" s="1" t="s">
        <v>1268</v>
      </c>
      <c r="B948" s="1"/>
      <c r="C948" s="1" t="s">
        <v>331</v>
      </c>
      <c r="D948" s="1">
        <v>119663</v>
      </c>
      <c r="E948" s="1">
        <v>524</v>
      </c>
      <c r="F948" s="1" t="s">
        <v>1441</v>
      </c>
      <c r="G948" s="1" t="s">
        <v>342</v>
      </c>
      <c r="H948" s="1" t="s">
        <v>141</v>
      </c>
      <c r="I948" s="1" t="s">
        <v>65</v>
      </c>
      <c r="J948" s="1">
        <v>3</v>
      </c>
      <c r="K948" s="1" t="s">
        <v>142</v>
      </c>
      <c r="L948" s="1" t="s">
        <v>153</v>
      </c>
      <c r="M948" s="1" t="s">
        <v>1256</v>
      </c>
      <c r="N948" s="1" t="str">
        <f>HYPERLINK("https://klocwork.india.ti.com:443/review/insight-review.html#issuedetails_goto:problemid=119663,project=MCU_PLUS_SDK_AM263X,searchquery=taxonomy:'C and C++' build:Build_Apr_13_2023_11_11_AM grouping:off ","KW Issue Link")</f>
        <v>KW Issue Link</v>
      </c>
      <c r="O948" s="1" t="s">
        <v>291</v>
      </c>
    </row>
    <row r="949" spans="1:15" ht="75" x14ac:dyDescent="0.25">
      <c r="A949" s="1" t="s">
        <v>1257</v>
      </c>
      <c r="B949" s="1"/>
      <c r="C949" s="1" t="s">
        <v>345</v>
      </c>
      <c r="D949" s="1">
        <v>119664</v>
      </c>
      <c r="E949" s="1">
        <v>76</v>
      </c>
      <c r="F949" s="1" t="s">
        <v>1442</v>
      </c>
      <c r="G949" s="1" t="s">
        <v>1443</v>
      </c>
      <c r="H949" s="1" t="s">
        <v>141</v>
      </c>
      <c r="I949" s="1" t="s">
        <v>65</v>
      </c>
      <c r="J949" s="1">
        <v>3</v>
      </c>
      <c r="K949" s="1" t="s">
        <v>142</v>
      </c>
      <c r="L949" s="1" t="s">
        <v>153</v>
      </c>
      <c r="M949" s="1" t="s">
        <v>1256</v>
      </c>
      <c r="N949" s="1" t="str">
        <f>HYPERLINK("https://klocwork.india.ti.com:443/review/insight-review.html#issuedetails_goto:problemid=119664,project=MCU_PLUS_SDK_AM263X,searchquery=taxonomy:'C and C++' build:Build_Apr_13_2023_11_11_AM grouping:off ","KW Issue Link")</f>
        <v>KW Issue Link</v>
      </c>
      <c r="O949" s="1" t="s">
        <v>291</v>
      </c>
    </row>
    <row r="950" spans="1:15" ht="75" x14ac:dyDescent="0.25">
      <c r="A950" s="1" t="s">
        <v>1257</v>
      </c>
      <c r="B950" s="1"/>
      <c r="C950" s="1" t="s">
        <v>345</v>
      </c>
      <c r="D950" s="1">
        <v>119665</v>
      </c>
      <c r="E950" s="1">
        <v>153</v>
      </c>
      <c r="F950" s="1" t="s">
        <v>1444</v>
      </c>
      <c r="G950" s="1" t="s">
        <v>347</v>
      </c>
      <c r="H950" s="1" t="s">
        <v>141</v>
      </c>
      <c r="I950" s="1" t="s">
        <v>65</v>
      </c>
      <c r="J950" s="1">
        <v>3</v>
      </c>
      <c r="K950" s="1" t="s">
        <v>142</v>
      </c>
      <c r="L950" s="1" t="s">
        <v>153</v>
      </c>
      <c r="M950" s="1" t="s">
        <v>1256</v>
      </c>
      <c r="N950" s="1" t="str">
        <f>HYPERLINK("https://klocwork.india.ti.com:443/review/insight-review.html#issuedetails_goto:problemid=119665,project=MCU_PLUS_SDK_AM263X,searchquery=taxonomy:'C and C++' build:Build_Apr_13_2023_11_11_AM grouping:off ","KW Issue Link")</f>
        <v>KW Issue Link</v>
      </c>
      <c r="O950" s="1" t="s">
        <v>291</v>
      </c>
    </row>
    <row r="951" spans="1:15" ht="75" x14ac:dyDescent="0.25">
      <c r="A951" s="1" t="s">
        <v>1257</v>
      </c>
      <c r="B951" s="1"/>
      <c r="C951" s="1" t="s">
        <v>345</v>
      </c>
      <c r="D951" s="1">
        <v>119667</v>
      </c>
      <c r="E951" s="1">
        <v>195</v>
      </c>
      <c r="F951" s="1" t="s">
        <v>1445</v>
      </c>
      <c r="G951" s="1" t="s">
        <v>1446</v>
      </c>
      <c r="H951" s="1" t="s">
        <v>141</v>
      </c>
      <c r="I951" s="1" t="s">
        <v>65</v>
      </c>
      <c r="J951" s="1">
        <v>3</v>
      </c>
      <c r="K951" s="1" t="s">
        <v>142</v>
      </c>
      <c r="L951" s="1" t="s">
        <v>153</v>
      </c>
      <c r="M951" s="1" t="s">
        <v>1256</v>
      </c>
      <c r="N951" s="1" t="str">
        <f>HYPERLINK("https://klocwork.india.ti.com:443/review/insight-review.html#issuedetails_goto:problemid=119667,project=MCU_PLUS_SDK_AM263X,searchquery=taxonomy:'C and C++' build:Build_Apr_13_2023_11_11_AM grouping:off ","KW Issue Link")</f>
        <v>KW Issue Link</v>
      </c>
      <c r="O951" s="1" t="s">
        <v>291</v>
      </c>
    </row>
    <row r="952" spans="1:15" ht="75" x14ac:dyDescent="0.25">
      <c r="A952" s="1" t="s">
        <v>1266</v>
      </c>
      <c r="B952" s="1"/>
      <c r="C952" s="1" t="s">
        <v>345</v>
      </c>
      <c r="D952" s="1">
        <v>119668</v>
      </c>
      <c r="E952" s="1">
        <v>76</v>
      </c>
      <c r="F952" s="1" t="s">
        <v>1447</v>
      </c>
      <c r="G952" s="1" t="s">
        <v>1443</v>
      </c>
      <c r="H952" s="1" t="s">
        <v>141</v>
      </c>
      <c r="I952" s="1" t="s">
        <v>65</v>
      </c>
      <c r="J952" s="1">
        <v>3</v>
      </c>
      <c r="K952" s="1" t="s">
        <v>142</v>
      </c>
      <c r="L952" s="1" t="s">
        <v>153</v>
      </c>
      <c r="M952" s="1" t="s">
        <v>1256</v>
      </c>
      <c r="N952" s="1" t="str">
        <f>HYPERLINK("https://klocwork.india.ti.com:443/review/insight-review.html#issuedetails_goto:problemid=119668,project=MCU_PLUS_SDK_AM263X,searchquery=taxonomy:'C and C++' build:Build_Apr_13_2023_11_11_AM grouping:off ","KW Issue Link")</f>
        <v>KW Issue Link</v>
      </c>
      <c r="O952" s="1" t="s">
        <v>291</v>
      </c>
    </row>
    <row r="953" spans="1:15" ht="75" x14ac:dyDescent="0.25">
      <c r="A953" s="1" t="s">
        <v>1257</v>
      </c>
      <c r="B953" s="1"/>
      <c r="C953" s="1" t="s">
        <v>351</v>
      </c>
      <c r="D953" s="1">
        <v>119671</v>
      </c>
      <c r="E953" s="1">
        <v>135</v>
      </c>
      <c r="F953" s="1" t="s">
        <v>1448</v>
      </c>
      <c r="G953" s="1" t="s">
        <v>352</v>
      </c>
      <c r="H953" s="1" t="s">
        <v>141</v>
      </c>
      <c r="I953" s="1" t="s">
        <v>65</v>
      </c>
      <c r="J953" s="1">
        <v>3</v>
      </c>
      <c r="K953" s="1" t="s">
        <v>142</v>
      </c>
      <c r="L953" s="1" t="s">
        <v>153</v>
      </c>
      <c r="M953" s="1" t="s">
        <v>1256</v>
      </c>
      <c r="N953" s="1" t="str">
        <f>HYPERLINK("https://klocwork.india.ti.com:443/review/insight-review.html#issuedetails_goto:problemid=119671,project=MCU_PLUS_SDK_AM263X,searchquery=taxonomy:'C and C++' build:Build_Apr_13_2023_11_11_AM grouping:off ","KW Issue Link")</f>
        <v>KW Issue Link</v>
      </c>
      <c r="O953" s="1" t="s">
        <v>353</v>
      </c>
    </row>
    <row r="954" spans="1:15" ht="75" x14ac:dyDescent="0.25">
      <c r="A954" s="1" t="s">
        <v>1266</v>
      </c>
      <c r="B954" s="1"/>
      <c r="C954" s="1" t="s">
        <v>351</v>
      </c>
      <c r="D954" s="1">
        <v>119672</v>
      </c>
      <c r="E954" s="1">
        <v>135</v>
      </c>
      <c r="F954" s="1" t="s">
        <v>1449</v>
      </c>
      <c r="G954" s="1" t="s">
        <v>352</v>
      </c>
      <c r="H954" s="1" t="s">
        <v>141</v>
      </c>
      <c r="I954" s="1" t="s">
        <v>65</v>
      </c>
      <c r="J954" s="1">
        <v>3</v>
      </c>
      <c r="K954" s="1" t="s">
        <v>142</v>
      </c>
      <c r="L954" s="1" t="s">
        <v>153</v>
      </c>
      <c r="M954" s="1" t="s">
        <v>1256</v>
      </c>
      <c r="N954" s="1" t="str">
        <f>HYPERLINK("https://klocwork.india.ti.com:443/review/insight-review.html#issuedetails_goto:problemid=119672,project=MCU_PLUS_SDK_AM263X,searchquery=taxonomy:'C and C++' build:Build_Apr_13_2023_11_11_AM grouping:off ","KW Issue Link")</f>
        <v>KW Issue Link</v>
      </c>
      <c r="O954" s="1" t="s">
        <v>353</v>
      </c>
    </row>
    <row r="955" spans="1:15" ht="75" x14ac:dyDescent="0.25">
      <c r="A955" s="1" t="s">
        <v>1268</v>
      </c>
      <c r="B955" s="1"/>
      <c r="C955" s="1" t="s">
        <v>351</v>
      </c>
      <c r="D955" s="1">
        <v>119673</v>
      </c>
      <c r="E955" s="1">
        <v>135</v>
      </c>
      <c r="F955" s="1" t="s">
        <v>1450</v>
      </c>
      <c r="G955" s="1" t="s">
        <v>352</v>
      </c>
      <c r="H955" s="1" t="s">
        <v>141</v>
      </c>
      <c r="I955" s="1" t="s">
        <v>65</v>
      </c>
      <c r="J955" s="1">
        <v>3</v>
      </c>
      <c r="K955" s="1" t="s">
        <v>142</v>
      </c>
      <c r="L955" s="1" t="s">
        <v>153</v>
      </c>
      <c r="M955" s="1" t="s">
        <v>1256</v>
      </c>
      <c r="N955" s="1" t="str">
        <f>HYPERLINK("https://klocwork.india.ti.com:443/review/insight-review.html#issuedetails_goto:problemid=119673,project=MCU_PLUS_SDK_AM263X,searchquery=taxonomy:'C and C++' build:Build_Apr_13_2023_11_11_AM grouping:off ","KW Issue Link")</f>
        <v>KW Issue Link</v>
      </c>
      <c r="O955" s="1" t="s">
        <v>353</v>
      </c>
    </row>
    <row r="956" spans="1:15" ht="60" x14ac:dyDescent="0.25">
      <c r="A956" s="1" t="s">
        <v>1257</v>
      </c>
      <c r="B956" s="1"/>
      <c r="C956" s="1" t="s">
        <v>1451</v>
      </c>
      <c r="D956" s="1">
        <v>119674</v>
      </c>
      <c r="E956" s="1">
        <v>311</v>
      </c>
      <c r="F956" s="1" t="s">
        <v>1452</v>
      </c>
      <c r="G956" s="1" t="s">
        <v>1453</v>
      </c>
      <c r="H956" s="1" t="s">
        <v>141</v>
      </c>
      <c r="I956" s="1" t="s">
        <v>65</v>
      </c>
      <c r="J956" s="1">
        <v>3</v>
      </c>
      <c r="K956" s="1" t="s">
        <v>142</v>
      </c>
      <c r="L956" s="1" t="s">
        <v>153</v>
      </c>
      <c r="M956" s="1" t="s">
        <v>1256</v>
      </c>
      <c r="N956" s="1" t="str">
        <f>HYPERLINK("https://klocwork.india.ti.com:443/review/insight-review.html#issuedetails_goto:problemid=119674,project=MCU_PLUS_SDK_AM263X,searchquery=taxonomy:'C and C++' build:Build_Apr_13_2023_11_11_AM grouping:off ","KW Issue Link")</f>
        <v>KW Issue Link</v>
      </c>
      <c r="O956" s="1" t="s">
        <v>144</v>
      </c>
    </row>
    <row r="957" spans="1:15" ht="60" x14ac:dyDescent="0.25">
      <c r="A957" s="1" t="s">
        <v>1252</v>
      </c>
      <c r="B957" s="1"/>
      <c r="C957" s="1" t="s">
        <v>1454</v>
      </c>
      <c r="D957" s="1">
        <v>119675</v>
      </c>
      <c r="E957" s="1">
        <v>163</v>
      </c>
      <c r="F957" s="1" t="s">
        <v>1455</v>
      </c>
      <c r="G957" s="1" t="s">
        <v>1456</v>
      </c>
      <c r="H957" s="1" t="s">
        <v>141</v>
      </c>
      <c r="I957" s="1" t="s">
        <v>65</v>
      </c>
      <c r="J957" s="1">
        <v>3</v>
      </c>
      <c r="K957" s="1" t="s">
        <v>142</v>
      </c>
      <c r="L957" s="1" t="s">
        <v>153</v>
      </c>
      <c r="M957" s="1" t="s">
        <v>1256</v>
      </c>
      <c r="N957" s="1" t="str">
        <f>HYPERLINK("https://klocwork.india.ti.com:443/review/insight-review.html#issuedetails_goto:problemid=119675,project=MCU_PLUS_SDK_AM263X,searchquery=taxonomy:'C and C++' build:Build_Apr_13_2023_11_11_AM grouping:off ","KW Issue Link")</f>
        <v>KW Issue Link</v>
      </c>
      <c r="O957" s="1" t="s">
        <v>1457</v>
      </c>
    </row>
    <row r="958" spans="1:15" ht="60" x14ac:dyDescent="0.25">
      <c r="A958" s="1" t="s">
        <v>1266</v>
      </c>
      <c r="B958" s="1"/>
      <c r="C958" s="1" t="s">
        <v>949</v>
      </c>
      <c r="D958" s="1">
        <v>119676</v>
      </c>
      <c r="E958" s="1">
        <v>314</v>
      </c>
      <c r="F958" s="1" t="s">
        <v>1458</v>
      </c>
      <c r="G958" s="1" t="s">
        <v>1459</v>
      </c>
      <c r="H958" s="1" t="s">
        <v>141</v>
      </c>
      <c r="I958" s="1" t="s">
        <v>65</v>
      </c>
      <c r="J958" s="1">
        <v>3</v>
      </c>
      <c r="K958" s="1" t="s">
        <v>142</v>
      </c>
      <c r="L958" s="1" t="s">
        <v>153</v>
      </c>
      <c r="M958" s="1" t="s">
        <v>1256</v>
      </c>
      <c r="N958" s="1" t="str">
        <f>HYPERLINK("https://klocwork.india.ti.com:443/review/insight-review.html#issuedetails_goto:problemid=119676,project=MCU_PLUS_SDK_AM263X,searchquery=taxonomy:'C and C++' build:Build_Apr_13_2023_11_11_AM grouping:off ","KW Issue Link")</f>
        <v>KW Issue Link</v>
      </c>
      <c r="O958" s="1" t="s">
        <v>356</v>
      </c>
    </row>
    <row r="959" spans="1:15" ht="60" x14ac:dyDescent="0.25">
      <c r="A959" s="1" t="s">
        <v>1266</v>
      </c>
      <c r="B959" s="1"/>
      <c r="C959" s="1" t="s">
        <v>949</v>
      </c>
      <c r="D959" s="1">
        <v>119677</v>
      </c>
      <c r="E959" s="1">
        <v>497</v>
      </c>
      <c r="F959" s="1" t="s">
        <v>1460</v>
      </c>
      <c r="G959" s="1" t="s">
        <v>1461</v>
      </c>
      <c r="H959" s="1" t="s">
        <v>141</v>
      </c>
      <c r="I959" s="1" t="s">
        <v>65</v>
      </c>
      <c r="J959" s="1">
        <v>3</v>
      </c>
      <c r="K959" s="1" t="s">
        <v>142</v>
      </c>
      <c r="L959" s="1" t="s">
        <v>153</v>
      </c>
      <c r="M959" s="1" t="s">
        <v>1256</v>
      </c>
      <c r="N959" s="1" t="str">
        <f>HYPERLINK("https://klocwork.india.ti.com:443/review/insight-review.html#issuedetails_goto:problemid=119677,project=MCU_PLUS_SDK_AM263X,searchquery=taxonomy:'C and C++' build:Build_Apr_13_2023_11_11_AM grouping:off ","KW Issue Link")</f>
        <v>KW Issue Link</v>
      </c>
      <c r="O959" s="1" t="s">
        <v>356</v>
      </c>
    </row>
    <row r="960" spans="1:15" ht="60" x14ac:dyDescent="0.25">
      <c r="A960" s="1" t="s">
        <v>1266</v>
      </c>
      <c r="B960" s="1"/>
      <c r="C960" s="1" t="s">
        <v>949</v>
      </c>
      <c r="D960" s="1">
        <v>119678</v>
      </c>
      <c r="E960" s="1">
        <v>641</v>
      </c>
      <c r="F960" s="1" t="s">
        <v>1462</v>
      </c>
      <c r="G960" s="1" t="s">
        <v>951</v>
      </c>
      <c r="H960" s="1" t="s">
        <v>141</v>
      </c>
      <c r="I960" s="1" t="s">
        <v>65</v>
      </c>
      <c r="J960" s="1">
        <v>3</v>
      </c>
      <c r="K960" s="1" t="s">
        <v>142</v>
      </c>
      <c r="L960" s="1" t="s">
        <v>153</v>
      </c>
      <c r="M960" s="1" t="s">
        <v>1256</v>
      </c>
      <c r="N960" s="1" t="str">
        <f>HYPERLINK("https://klocwork.india.ti.com:443/review/insight-review.html#issuedetails_goto:problemid=119678,project=MCU_PLUS_SDK_AM263X,searchquery=taxonomy:'C and C++' build:Build_Apr_13_2023_11_11_AM grouping:off ","KW Issue Link")</f>
        <v>KW Issue Link</v>
      </c>
      <c r="O960" s="1" t="s">
        <v>356</v>
      </c>
    </row>
    <row r="961" spans="1:15" ht="60" x14ac:dyDescent="0.25">
      <c r="A961" s="1" t="s">
        <v>1266</v>
      </c>
      <c r="B961" s="1"/>
      <c r="C961" s="1" t="s">
        <v>949</v>
      </c>
      <c r="D961" s="1">
        <v>119679</v>
      </c>
      <c r="E961" s="1">
        <v>766</v>
      </c>
      <c r="F961" s="1" t="s">
        <v>1463</v>
      </c>
      <c r="G961" s="1" t="s">
        <v>1464</v>
      </c>
      <c r="H961" s="1" t="s">
        <v>141</v>
      </c>
      <c r="I961" s="1" t="s">
        <v>65</v>
      </c>
      <c r="J961" s="1">
        <v>3</v>
      </c>
      <c r="K961" s="1" t="s">
        <v>142</v>
      </c>
      <c r="L961" s="1" t="s">
        <v>153</v>
      </c>
      <c r="M961" s="1" t="s">
        <v>1256</v>
      </c>
      <c r="N961" s="1" t="str">
        <f>HYPERLINK("https://klocwork.india.ti.com:443/review/insight-review.html#issuedetails_goto:problemid=119679,project=MCU_PLUS_SDK_AM263X,searchquery=taxonomy:'C and C++' build:Build_Apr_13_2023_11_11_AM grouping:off ","KW Issue Link")</f>
        <v>KW Issue Link</v>
      </c>
      <c r="O961" s="1" t="s">
        <v>356</v>
      </c>
    </row>
    <row r="962" spans="1:15" ht="60" x14ac:dyDescent="0.25">
      <c r="A962" s="1" t="s">
        <v>1266</v>
      </c>
      <c r="B962" s="1"/>
      <c r="C962" s="1" t="s">
        <v>949</v>
      </c>
      <c r="D962" s="1">
        <v>119680</v>
      </c>
      <c r="E962" s="1">
        <v>911</v>
      </c>
      <c r="F962" s="1" t="s">
        <v>1465</v>
      </c>
      <c r="G962" s="1" t="s">
        <v>953</v>
      </c>
      <c r="H962" s="1" t="s">
        <v>141</v>
      </c>
      <c r="I962" s="1" t="s">
        <v>65</v>
      </c>
      <c r="J962" s="1">
        <v>3</v>
      </c>
      <c r="K962" s="1" t="s">
        <v>142</v>
      </c>
      <c r="L962" s="1" t="s">
        <v>153</v>
      </c>
      <c r="M962" s="1" t="s">
        <v>1256</v>
      </c>
      <c r="N962" s="1" t="str">
        <f>HYPERLINK("https://klocwork.india.ti.com:443/review/insight-review.html#issuedetails_goto:problemid=119680,project=MCU_PLUS_SDK_AM263X,searchquery=taxonomy:'C and C++' build:Build_Apr_13_2023_11_11_AM grouping:off ","KW Issue Link")</f>
        <v>KW Issue Link</v>
      </c>
      <c r="O962" s="1" t="s">
        <v>356</v>
      </c>
    </row>
    <row r="963" spans="1:15" ht="60" x14ac:dyDescent="0.25">
      <c r="A963" s="1" t="s">
        <v>1266</v>
      </c>
      <c r="B963" s="1"/>
      <c r="C963" s="1" t="s">
        <v>949</v>
      </c>
      <c r="D963" s="1">
        <v>119681</v>
      </c>
      <c r="E963" s="1">
        <v>1271</v>
      </c>
      <c r="F963" s="1" t="s">
        <v>1466</v>
      </c>
      <c r="G963" s="1" t="s">
        <v>1467</v>
      </c>
      <c r="H963" s="1" t="s">
        <v>141</v>
      </c>
      <c r="I963" s="1" t="s">
        <v>65</v>
      </c>
      <c r="J963" s="1">
        <v>3</v>
      </c>
      <c r="K963" s="1" t="s">
        <v>142</v>
      </c>
      <c r="L963" s="1" t="s">
        <v>153</v>
      </c>
      <c r="M963" s="1" t="s">
        <v>1256</v>
      </c>
      <c r="N963" s="1" t="str">
        <f>HYPERLINK("https://klocwork.india.ti.com:443/review/insight-review.html#issuedetails_goto:problemid=119681,project=MCU_PLUS_SDK_AM263X,searchquery=taxonomy:'C and C++' build:Build_Apr_13_2023_11_11_AM grouping:off ","KW Issue Link")</f>
        <v>KW Issue Link</v>
      </c>
      <c r="O963" s="1" t="s">
        <v>356</v>
      </c>
    </row>
    <row r="964" spans="1:15" ht="60" x14ac:dyDescent="0.25">
      <c r="A964" s="1" t="s">
        <v>1266</v>
      </c>
      <c r="B964" s="1"/>
      <c r="C964" s="1" t="s">
        <v>949</v>
      </c>
      <c r="D964" s="1">
        <v>119682</v>
      </c>
      <c r="E964" s="1">
        <v>1328</v>
      </c>
      <c r="F964" s="1" t="s">
        <v>1468</v>
      </c>
      <c r="G964" s="1" t="s">
        <v>1469</v>
      </c>
      <c r="H964" s="1" t="s">
        <v>141</v>
      </c>
      <c r="I964" s="1" t="s">
        <v>65</v>
      </c>
      <c r="J964" s="1">
        <v>3</v>
      </c>
      <c r="K964" s="1" t="s">
        <v>142</v>
      </c>
      <c r="L964" s="1" t="s">
        <v>153</v>
      </c>
      <c r="M964" s="1" t="s">
        <v>1256</v>
      </c>
      <c r="N964" s="1" t="str">
        <f>HYPERLINK("https://klocwork.india.ti.com:443/review/insight-review.html#issuedetails_goto:problemid=119682,project=MCU_PLUS_SDK_AM263X,searchquery=taxonomy:'C and C++' build:Build_Apr_13_2023_11_11_AM grouping:off ","KW Issue Link")</f>
        <v>KW Issue Link</v>
      </c>
      <c r="O964" s="1" t="s">
        <v>356</v>
      </c>
    </row>
    <row r="965" spans="1:15" ht="60" x14ac:dyDescent="0.25">
      <c r="A965" s="1" t="s">
        <v>1266</v>
      </c>
      <c r="B965" s="1"/>
      <c r="C965" s="1" t="s">
        <v>949</v>
      </c>
      <c r="D965" s="1">
        <v>119683</v>
      </c>
      <c r="E965" s="1">
        <v>1471</v>
      </c>
      <c r="F965" s="1" t="s">
        <v>1470</v>
      </c>
      <c r="G965" s="1" t="s">
        <v>1471</v>
      </c>
      <c r="H965" s="1" t="s">
        <v>141</v>
      </c>
      <c r="I965" s="1" t="s">
        <v>65</v>
      </c>
      <c r="J965" s="1">
        <v>3</v>
      </c>
      <c r="K965" s="1" t="s">
        <v>142</v>
      </c>
      <c r="L965" s="1" t="s">
        <v>153</v>
      </c>
      <c r="M965" s="1" t="s">
        <v>1256</v>
      </c>
      <c r="N965" s="1" t="str">
        <f>HYPERLINK("https://klocwork.india.ti.com:443/review/insight-review.html#issuedetails_goto:problemid=119683,project=MCU_PLUS_SDK_AM263X,searchquery=taxonomy:'C and C++' build:Build_Apr_13_2023_11_11_AM grouping:off ","KW Issue Link")</f>
        <v>KW Issue Link</v>
      </c>
      <c r="O965" s="1" t="s">
        <v>356</v>
      </c>
    </row>
    <row r="966" spans="1:15" ht="60" x14ac:dyDescent="0.25">
      <c r="A966" s="1" t="s">
        <v>1268</v>
      </c>
      <c r="B966" s="1"/>
      <c r="C966" s="1" t="s">
        <v>949</v>
      </c>
      <c r="D966" s="1">
        <v>119684</v>
      </c>
      <c r="E966" s="1">
        <v>314</v>
      </c>
      <c r="F966" s="1" t="s">
        <v>1472</v>
      </c>
      <c r="G966" s="1" t="s">
        <v>1459</v>
      </c>
      <c r="H966" s="1" t="s">
        <v>141</v>
      </c>
      <c r="I966" s="1" t="s">
        <v>65</v>
      </c>
      <c r="J966" s="1">
        <v>3</v>
      </c>
      <c r="K966" s="1" t="s">
        <v>142</v>
      </c>
      <c r="L966" s="1" t="s">
        <v>153</v>
      </c>
      <c r="M966" s="1" t="s">
        <v>1256</v>
      </c>
      <c r="N966" s="1" t="str">
        <f>HYPERLINK("https://klocwork.india.ti.com:443/review/insight-review.html#issuedetails_goto:problemid=119684,project=MCU_PLUS_SDK_AM263X,searchquery=taxonomy:'C and C++' build:Build_Apr_13_2023_11_11_AM grouping:off ","KW Issue Link")</f>
        <v>KW Issue Link</v>
      </c>
      <c r="O966" s="1" t="s">
        <v>356</v>
      </c>
    </row>
    <row r="967" spans="1:15" ht="60" x14ac:dyDescent="0.25">
      <c r="A967" s="1" t="s">
        <v>1268</v>
      </c>
      <c r="B967" s="1"/>
      <c r="C967" s="1" t="s">
        <v>949</v>
      </c>
      <c r="D967" s="1">
        <v>119685</v>
      </c>
      <c r="E967" s="1">
        <v>766</v>
      </c>
      <c r="F967" s="1" t="s">
        <v>1473</v>
      </c>
      <c r="G967" s="1" t="s">
        <v>1464</v>
      </c>
      <c r="H967" s="1" t="s">
        <v>141</v>
      </c>
      <c r="I967" s="1" t="s">
        <v>65</v>
      </c>
      <c r="J967" s="1">
        <v>3</v>
      </c>
      <c r="K967" s="1" t="s">
        <v>142</v>
      </c>
      <c r="L967" s="1" t="s">
        <v>153</v>
      </c>
      <c r="M967" s="1" t="s">
        <v>1256</v>
      </c>
      <c r="N967" s="1" t="str">
        <f>HYPERLINK("https://klocwork.india.ti.com:443/review/insight-review.html#issuedetails_goto:problemid=119685,project=MCU_PLUS_SDK_AM263X,searchquery=taxonomy:'C and C++' build:Build_Apr_13_2023_11_11_AM grouping:off ","KW Issue Link")</f>
        <v>KW Issue Link</v>
      </c>
      <c r="O967" s="1" t="s">
        <v>356</v>
      </c>
    </row>
    <row r="968" spans="1:15" ht="60" x14ac:dyDescent="0.25">
      <c r="A968" s="1" t="s">
        <v>1268</v>
      </c>
      <c r="B968" s="1"/>
      <c r="C968" s="1" t="s">
        <v>949</v>
      </c>
      <c r="D968" s="1">
        <v>119686</v>
      </c>
      <c r="E968" s="1">
        <v>911</v>
      </c>
      <c r="F968" s="1" t="s">
        <v>1474</v>
      </c>
      <c r="G968" s="1" t="s">
        <v>953</v>
      </c>
      <c r="H968" s="1" t="s">
        <v>141</v>
      </c>
      <c r="I968" s="1" t="s">
        <v>65</v>
      </c>
      <c r="J968" s="1">
        <v>3</v>
      </c>
      <c r="K968" s="1" t="s">
        <v>142</v>
      </c>
      <c r="L968" s="1" t="s">
        <v>153</v>
      </c>
      <c r="M968" s="1" t="s">
        <v>1256</v>
      </c>
      <c r="N968" s="1" t="str">
        <f>HYPERLINK("https://klocwork.india.ti.com:443/review/insight-review.html#issuedetails_goto:problemid=119686,project=MCU_PLUS_SDK_AM263X,searchquery=taxonomy:'C and C++' build:Build_Apr_13_2023_11_11_AM grouping:off ","KW Issue Link")</f>
        <v>KW Issue Link</v>
      </c>
      <c r="O968" s="1" t="s">
        <v>356</v>
      </c>
    </row>
    <row r="969" spans="1:15" ht="60" x14ac:dyDescent="0.25">
      <c r="A969" s="1" t="s">
        <v>1268</v>
      </c>
      <c r="B969" s="1"/>
      <c r="C969" s="1" t="s">
        <v>949</v>
      </c>
      <c r="D969" s="1">
        <v>119687</v>
      </c>
      <c r="E969" s="1">
        <v>1328</v>
      </c>
      <c r="F969" s="1" t="s">
        <v>1475</v>
      </c>
      <c r="G969" s="1" t="s">
        <v>1469</v>
      </c>
      <c r="H969" s="1" t="s">
        <v>141</v>
      </c>
      <c r="I969" s="1" t="s">
        <v>65</v>
      </c>
      <c r="J969" s="1">
        <v>3</v>
      </c>
      <c r="K969" s="1" t="s">
        <v>142</v>
      </c>
      <c r="L969" s="1" t="s">
        <v>153</v>
      </c>
      <c r="M969" s="1" t="s">
        <v>1256</v>
      </c>
      <c r="N969" s="1" t="str">
        <f>HYPERLINK("https://klocwork.india.ti.com:443/review/insight-review.html#issuedetails_goto:problemid=119687,project=MCU_PLUS_SDK_AM263X,searchquery=taxonomy:'C and C++' build:Build_Apr_13_2023_11_11_AM grouping:off ","KW Issue Link")</f>
        <v>KW Issue Link</v>
      </c>
      <c r="O969" s="1" t="s">
        <v>356</v>
      </c>
    </row>
    <row r="970" spans="1:15" ht="60" x14ac:dyDescent="0.25">
      <c r="A970" s="1" t="s">
        <v>1257</v>
      </c>
      <c r="B970" s="1"/>
      <c r="C970" s="1" t="s">
        <v>949</v>
      </c>
      <c r="D970" s="1">
        <v>119688</v>
      </c>
      <c r="E970" s="1">
        <v>497</v>
      </c>
      <c r="F970" s="1" t="s">
        <v>1476</v>
      </c>
      <c r="G970" s="1" t="s">
        <v>1461</v>
      </c>
      <c r="H970" s="1" t="s">
        <v>141</v>
      </c>
      <c r="I970" s="1" t="s">
        <v>65</v>
      </c>
      <c r="J970" s="1">
        <v>3</v>
      </c>
      <c r="K970" s="1" t="s">
        <v>142</v>
      </c>
      <c r="L970" s="1" t="s">
        <v>153</v>
      </c>
      <c r="M970" s="1" t="s">
        <v>1256</v>
      </c>
      <c r="N970" s="1" t="str">
        <f>HYPERLINK("https://klocwork.india.ti.com:443/review/insight-review.html#issuedetails_goto:problemid=119688,project=MCU_PLUS_SDK_AM263X,searchquery=taxonomy:'C and C++' build:Build_Apr_13_2023_11_11_AM grouping:off ","KW Issue Link")</f>
        <v>KW Issue Link</v>
      </c>
      <c r="O970" s="1" t="s">
        <v>356</v>
      </c>
    </row>
    <row r="971" spans="1:15" ht="60" x14ac:dyDescent="0.25">
      <c r="A971" s="1" t="s">
        <v>1257</v>
      </c>
      <c r="B971" s="1"/>
      <c r="C971" s="1" t="s">
        <v>949</v>
      </c>
      <c r="D971" s="1">
        <v>119689</v>
      </c>
      <c r="E971" s="1">
        <v>641</v>
      </c>
      <c r="F971" s="1" t="s">
        <v>1477</v>
      </c>
      <c r="G971" s="1" t="s">
        <v>951</v>
      </c>
      <c r="H971" s="1" t="s">
        <v>141</v>
      </c>
      <c r="I971" s="1" t="s">
        <v>65</v>
      </c>
      <c r="J971" s="1">
        <v>3</v>
      </c>
      <c r="K971" s="1" t="s">
        <v>142</v>
      </c>
      <c r="L971" s="1" t="s">
        <v>153</v>
      </c>
      <c r="M971" s="1" t="s">
        <v>1256</v>
      </c>
      <c r="N971" s="1" t="str">
        <f>HYPERLINK("https://klocwork.india.ti.com:443/review/insight-review.html#issuedetails_goto:problemid=119689,project=MCU_PLUS_SDK_AM263X,searchquery=taxonomy:'C and C++' build:Build_Apr_13_2023_11_11_AM grouping:off ","KW Issue Link")</f>
        <v>KW Issue Link</v>
      </c>
      <c r="O971" s="1" t="s">
        <v>356</v>
      </c>
    </row>
    <row r="972" spans="1:15" ht="60" x14ac:dyDescent="0.25">
      <c r="A972" s="1" t="s">
        <v>1257</v>
      </c>
      <c r="B972" s="1"/>
      <c r="C972" s="1" t="s">
        <v>949</v>
      </c>
      <c r="D972" s="1">
        <v>119690</v>
      </c>
      <c r="E972" s="1">
        <v>1206</v>
      </c>
      <c r="F972" s="1" t="s">
        <v>1478</v>
      </c>
      <c r="G972" s="1" t="s">
        <v>1479</v>
      </c>
      <c r="H972" s="1" t="s">
        <v>141</v>
      </c>
      <c r="I972" s="1" t="s">
        <v>65</v>
      </c>
      <c r="J972" s="1">
        <v>3</v>
      </c>
      <c r="K972" s="1" t="s">
        <v>142</v>
      </c>
      <c r="L972" s="1" t="s">
        <v>153</v>
      </c>
      <c r="M972" s="1" t="s">
        <v>1256</v>
      </c>
      <c r="N972" s="1" t="str">
        <f>HYPERLINK("https://klocwork.india.ti.com:443/review/insight-review.html#issuedetails_goto:problemid=119690,project=MCU_PLUS_SDK_AM263X,searchquery=taxonomy:'C and C++' build:Build_Apr_13_2023_11_11_AM grouping:off ","KW Issue Link")</f>
        <v>KW Issue Link</v>
      </c>
      <c r="O972" s="1" t="s">
        <v>356</v>
      </c>
    </row>
    <row r="973" spans="1:15" ht="60" x14ac:dyDescent="0.25">
      <c r="A973" s="1" t="s">
        <v>1252</v>
      </c>
      <c r="B973" s="1"/>
      <c r="C973" s="1" t="s">
        <v>354</v>
      </c>
      <c r="D973" s="1">
        <v>119691</v>
      </c>
      <c r="E973" s="1">
        <v>1060</v>
      </c>
      <c r="F973" s="1" t="s">
        <v>1480</v>
      </c>
      <c r="G973" s="1" t="s">
        <v>1481</v>
      </c>
      <c r="H973" s="1" t="s">
        <v>141</v>
      </c>
      <c r="I973" s="1" t="s">
        <v>65</v>
      </c>
      <c r="J973" s="1">
        <v>3</v>
      </c>
      <c r="K973" s="1" t="s">
        <v>142</v>
      </c>
      <c r="L973" s="1" t="s">
        <v>153</v>
      </c>
      <c r="M973" s="1" t="s">
        <v>1256</v>
      </c>
      <c r="N973" s="1" t="str">
        <f>HYPERLINK("https://klocwork.india.ti.com:443/review/insight-review.html#issuedetails_goto:problemid=119691,project=MCU_PLUS_SDK_AM263X,searchquery=taxonomy:'C and C++' build:Build_Apr_13_2023_11_11_AM grouping:off ","KW Issue Link")</f>
        <v>KW Issue Link</v>
      </c>
      <c r="O973" s="1" t="s">
        <v>356</v>
      </c>
    </row>
    <row r="974" spans="1:15" ht="60" x14ac:dyDescent="0.25">
      <c r="A974" s="1" t="s">
        <v>1252</v>
      </c>
      <c r="B974" s="1"/>
      <c r="C974" s="1" t="s">
        <v>354</v>
      </c>
      <c r="D974" s="1">
        <v>119692</v>
      </c>
      <c r="E974" s="1">
        <v>1105</v>
      </c>
      <c r="F974" s="1" t="s">
        <v>1482</v>
      </c>
      <c r="G974" s="1" t="s">
        <v>1483</v>
      </c>
      <c r="H974" s="1" t="s">
        <v>141</v>
      </c>
      <c r="I974" s="1" t="s">
        <v>65</v>
      </c>
      <c r="J974" s="1">
        <v>3</v>
      </c>
      <c r="K974" s="1" t="s">
        <v>142</v>
      </c>
      <c r="L974" s="1" t="s">
        <v>153</v>
      </c>
      <c r="M974" s="1" t="s">
        <v>1256</v>
      </c>
      <c r="N974" s="1" t="str">
        <f>HYPERLINK("https://klocwork.india.ti.com:443/review/insight-review.html#issuedetails_goto:problemid=119692,project=MCU_PLUS_SDK_AM263X,searchquery=taxonomy:'C and C++' build:Build_Apr_13_2023_11_11_AM grouping:off ","KW Issue Link")</f>
        <v>KW Issue Link</v>
      </c>
      <c r="O974" s="1" t="s">
        <v>356</v>
      </c>
    </row>
    <row r="975" spans="1:15" ht="60" x14ac:dyDescent="0.25">
      <c r="A975" s="1" t="s">
        <v>1252</v>
      </c>
      <c r="B975" s="1"/>
      <c r="C975" s="1" t="s">
        <v>354</v>
      </c>
      <c r="D975" s="1">
        <v>119693</v>
      </c>
      <c r="E975" s="1">
        <v>1201</v>
      </c>
      <c r="F975" s="1" t="s">
        <v>1484</v>
      </c>
      <c r="G975" s="1" t="s">
        <v>1485</v>
      </c>
      <c r="H975" s="1" t="s">
        <v>141</v>
      </c>
      <c r="I975" s="1" t="s">
        <v>65</v>
      </c>
      <c r="J975" s="1">
        <v>3</v>
      </c>
      <c r="K975" s="1" t="s">
        <v>142</v>
      </c>
      <c r="L975" s="1" t="s">
        <v>153</v>
      </c>
      <c r="M975" s="1" t="s">
        <v>1256</v>
      </c>
      <c r="N975" s="1" t="str">
        <f>HYPERLINK("https://klocwork.india.ti.com:443/review/insight-review.html#issuedetails_goto:problemid=119693,project=MCU_PLUS_SDK_AM263X,searchquery=taxonomy:'C and C++' build:Build_Apr_13_2023_11_11_AM grouping:off ","KW Issue Link")</f>
        <v>KW Issue Link</v>
      </c>
      <c r="O975" s="1" t="s">
        <v>356</v>
      </c>
    </row>
    <row r="976" spans="1:15" ht="60" x14ac:dyDescent="0.25">
      <c r="A976" s="1" t="s">
        <v>1252</v>
      </c>
      <c r="B976" s="1"/>
      <c r="C976" s="1" t="s">
        <v>354</v>
      </c>
      <c r="D976" s="1">
        <v>119694</v>
      </c>
      <c r="E976" s="1">
        <v>1364</v>
      </c>
      <c r="F976" s="1" t="s">
        <v>1486</v>
      </c>
      <c r="G976" s="1" t="s">
        <v>1077</v>
      </c>
      <c r="H976" s="1" t="s">
        <v>141</v>
      </c>
      <c r="I976" s="1" t="s">
        <v>65</v>
      </c>
      <c r="J976" s="1">
        <v>3</v>
      </c>
      <c r="K976" s="1" t="s">
        <v>142</v>
      </c>
      <c r="L976" s="1" t="s">
        <v>153</v>
      </c>
      <c r="M976" s="1" t="s">
        <v>1256</v>
      </c>
      <c r="N976" s="1" t="str">
        <f>HYPERLINK("https://klocwork.india.ti.com:443/review/insight-review.html#issuedetails_goto:problemid=119694,project=MCU_PLUS_SDK_AM263X,searchquery=taxonomy:'C and C++' build:Build_Apr_13_2023_11_11_AM grouping:off ","KW Issue Link")</f>
        <v>KW Issue Link</v>
      </c>
      <c r="O976" s="1" t="s">
        <v>356</v>
      </c>
    </row>
    <row r="977" spans="1:15" ht="60" x14ac:dyDescent="0.25">
      <c r="A977" s="1" t="s">
        <v>1252</v>
      </c>
      <c r="B977" s="1"/>
      <c r="C977" s="1" t="s">
        <v>354</v>
      </c>
      <c r="D977" s="1">
        <v>119695</v>
      </c>
      <c r="E977" s="1">
        <v>1406</v>
      </c>
      <c r="F977" s="1" t="s">
        <v>1487</v>
      </c>
      <c r="G977" s="1" t="s">
        <v>357</v>
      </c>
      <c r="H977" s="1" t="s">
        <v>141</v>
      </c>
      <c r="I977" s="1" t="s">
        <v>65</v>
      </c>
      <c r="J977" s="1">
        <v>3</v>
      </c>
      <c r="K977" s="1" t="s">
        <v>142</v>
      </c>
      <c r="L977" s="1" t="s">
        <v>153</v>
      </c>
      <c r="M977" s="1" t="s">
        <v>1256</v>
      </c>
      <c r="N977" s="1" t="str">
        <f>HYPERLINK("https://klocwork.india.ti.com:443/review/insight-review.html#issuedetails_goto:problemid=119695,project=MCU_PLUS_SDK_AM263X,searchquery=taxonomy:'C and C++' build:Build_Apr_13_2023_11_11_AM grouping:off ","KW Issue Link")</f>
        <v>KW Issue Link</v>
      </c>
      <c r="O977" s="1" t="s">
        <v>356</v>
      </c>
    </row>
    <row r="978" spans="1:15" ht="60" x14ac:dyDescent="0.25">
      <c r="A978" s="1" t="s">
        <v>1252</v>
      </c>
      <c r="B978" s="1"/>
      <c r="C978" s="1" t="s">
        <v>354</v>
      </c>
      <c r="D978" s="1">
        <v>119696</v>
      </c>
      <c r="E978" s="1">
        <v>1526</v>
      </c>
      <c r="F978" s="1" t="s">
        <v>1488</v>
      </c>
      <c r="G978" s="1" t="s">
        <v>1489</v>
      </c>
      <c r="H978" s="1" t="s">
        <v>141</v>
      </c>
      <c r="I978" s="1" t="s">
        <v>65</v>
      </c>
      <c r="J978" s="1">
        <v>3</v>
      </c>
      <c r="K978" s="1" t="s">
        <v>142</v>
      </c>
      <c r="L978" s="1" t="s">
        <v>153</v>
      </c>
      <c r="M978" s="1" t="s">
        <v>1256</v>
      </c>
      <c r="N978" s="1" t="str">
        <f>HYPERLINK("https://klocwork.india.ti.com:443/review/insight-review.html#issuedetails_goto:problemid=119696,project=MCU_PLUS_SDK_AM263X,searchquery=taxonomy:'C and C++' build:Build_Apr_13_2023_11_11_AM grouping:off ","KW Issue Link")</f>
        <v>KW Issue Link</v>
      </c>
      <c r="O978" s="1" t="s">
        <v>356</v>
      </c>
    </row>
    <row r="979" spans="1:15" ht="60" x14ac:dyDescent="0.25">
      <c r="A979" s="1" t="s">
        <v>1257</v>
      </c>
      <c r="B979" s="1"/>
      <c r="C979" s="1" t="s">
        <v>354</v>
      </c>
      <c r="D979" s="1">
        <v>119697</v>
      </c>
      <c r="E979" s="1">
        <v>1406</v>
      </c>
      <c r="F979" s="1" t="s">
        <v>1490</v>
      </c>
      <c r="G979" s="1" t="s">
        <v>357</v>
      </c>
      <c r="H979" s="1" t="s">
        <v>141</v>
      </c>
      <c r="I979" s="1" t="s">
        <v>65</v>
      </c>
      <c r="J979" s="1">
        <v>3</v>
      </c>
      <c r="K979" s="1" t="s">
        <v>142</v>
      </c>
      <c r="L979" s="1" t="s">
        <v>153</v>
      </c>
      <c r="M979" s="1" t="s">
        <v>1256</v>
      </c>
      <c r="N979" s="1" t="str">
        <f>HYPERLINK("https://klocwork.india.ti.com:443/review/insight-review.html#issuedetails_goto:problemid=119697,project=MCU_PLUS_SDK_AM263X,searchquery=taxonomy:'C and C++' build:Build_Apr_13_2023_11_11_AM grouping:off ","KW Issue Link")</f>
        <v>KW Issue Link</v>
      </c>
      <c r="O979" s="1" t="s">
        <v>356</v>
      </c>
    </row>
    <row r="980" spans="1:15" ht="60" x14ac:dyDescent="0.25">
      <c r="A980" s="1" t="s">
        <v>1257</v>
      </c>
      <c r="B980" s="1"/>
      <c r="C980" s="1" t="s">
        <v>354</v>
      </c>
      <c r="D980" s="1">
        <v>119698</v>
      </c>
      <c r="E980" s="1">
        <v>1526</v>
      </c>
      <c r="F980" s="1" t="s">
        <v>1491</v>
      </c>
      <c r="G980" s="1" t="s">
        <v>1489</v>
      </c>
      <c r="H980" s="1" t="s">
        <v>141</v>
      </c>
      <c r="I980" s="1" t="s">
        <v>65</v>
      </c>
      <c r="J980" s="1">
        <v>3</v>
      </c>
      <c r="K980" s="1" t="s">
        <v>142</v>
      </c>
      <c r="L980" s="1" t="s">
        <v>153</v>
      </c>
      <c r="M980" s="1" t="s">
        <v>1256</v>
      </c>
      <c r="N980" s="1" t="str">
        <f>HYPERLINK("https://klocwork.india.ti.com:443/review/insight-review.html#issuedetails_goto:problemid=119698,project=MCU_PLUS_SDK_AM263X,searchquery=taxonomy:'C and C++' build:Build_Apr_13_2023_11_11_AM grouping:off ","KW Issue Link")</f>
        <v>KW Issue Link</v>
      </c>
      <c r="O980" s="1" t="s">
        <v>356</v>
      </c>
    </row>
    <row r="981" spans="1:15" ht="60" x14ac:dyDescent="0.25">
      <c r="A981" s="1" t="s">
        <v>1266</v>
      </c>
      <c r="B981" s="1"/>
      <c r="C981" s="1" t="s">
        <v>354</v>
      </c>
      <c r="D981" s="1">
        <v>119699</v>
      </c>
      <c r="E981" s="1">
        <v>1406</v>
      </c>
      <c r="F981" s="1" t="s">
        <v>1492</v>
      </c>
      <c r="G981" s="1" t="s">
        <v>357</v>
      </c>
      <c r="H981" s="1" t="s">
        <v>141</v>
      </c>
      <c r="I981" s="1" t="s">
        <v>65</v>
      </c>
      <c r="J981" s="1">
        <v>3</v>
      </c>
      <c r="K981" s="1" t="s">
        <v>142</v>
      </c>
      <c r="L981" s="1" t="s">
        <v>153</v>
      </c>
      <c r="M981" s="1" t="s">
        <v>1256</v>
      </c>
      <c r="N981" s="1" t="str">
        <f>HYPERLINK("https://klocwork.india.ti.com:443/review/insight-review.html#issuedetails_goto:problemid=119699,project=MCU_PLUS_SDK_AM263X,searchquery=taxonomy:'C and C++' build:Build_Apr_13_2023_11_11_AM grouping:off ","KW Issue Link")</f>
        <v>KW Issue Link</v>
      </c>
      <c r="O981" s="1" t="s">
        <v>356</v>
      </c>
    </row>
    <row r="982" spans="1:15" ht="60" x14ac:dyDescent="0.25">
      <c r="A982" s="1" t="s">
        <v>1266</v>
      </c>
      <c r="B982" s="1"/>
      <c r="C982" s="1" t="s">
        <v>354</v>
      </c>
      <c r="D982" s="1">
        <v>119700</v>
      </c>
      <c r="E982" s="1">
        <v>1526</v>
      </c>
      <c r="F982" s="1" t="s">
        <v>1493</v>
      </c>
      <c r="G982" s="1" t="s">
        <v>1489</v>
      </c>
      <c r="H982" s="1" t="s">
        <v>141</v>
      </c>
      <c r="I982" s="1" t="s">
        <v>65</v>
      </c>
      <c r="J982" s="1">
        <v>3</v>
      </c>
      <c r="K982" s="1" t="s">
        <v>142</v>
      </c>
      <c r="L982" s="1" t="s">
        <v>153</v>
      </c>
      <c r="M982" s="1" t="s">
        <v>1256</v>
      </c>
      <c r="N982" s="1" t="str">
        <f>HYPERLINK("https://klocwork.india.ti.com:443/review/insight-review.html#issuedetails_goto:problemid=119700,project=MCU_PLUS_SDK_AM263X,searchquery=taxonomy:'C and C++' build:Build_Apr_13_2023_11_11_AM grouping:off ","KW Issue Link")</f>
        <v>KW Issue Link</v>
      </c>
      <c r="O982" s="1" t="s">
        <v>356</v>
      </c>
    </row>
    <row r="983" spans="1:15" ht="60" x14ac:dyDescent="0.25">
      <c r="A983" s="1" t="s">
        <v>1266</v>
      </c>
      <c r="B983" s="1"/>
      <c r="C983" s="1" t="s">
        <v>354</v>
      </c>
      <c r="D983" s="1">
        <v>119701</v>
      </c>
      <c r="E983" s="1">
        <v>1719</v>
      </c>
      <c r="F983" s="1" t="s">
        <v>1494</v>
      </c>
      <c r="G983" s="1" t="s">
        <v>1495</v>
      </c>
      <c r="H983" s="1" t="s">
        <v>141</v>
      </c>
      <c r="I983" s="1" t="s">
        <v>65</v>
      </c>
      <c r="J983" s="1">
        <v>3</v>
      </c>
      <c r="K983" s="1" t="s">
        <v>142</v>
      </c>
      <c r="L983" s="1" t="s">
        <v>153</v>
      </c>
      <c r="M983" s="1" t="s">
        <v>1256</v>
      </c>
      <c r="N983" s="1" t="str">
        <f>HYPERLINK("https://klocwork.india.ti.com:443/review/insight-review.html#issuedetails_goto:problemid=119701,project=MCU_PLUS_SDK_AM263X,searchquery=taxonomy:'C and C++' build:Build_Apr_13_2023_11_11_AM grouping:off ","KW Issue Link")</f>
        <v>KW Issue Link</v>
      </c>
      <c r="O983" s="1" t="s">
        <v>356</v>
      </c>
    </row>
    <row r="984" spans="1:15" ht="60" x14ac:dyDescent="0.25">
      <c r="A984" s="1" t="s">
        <v>1268</v>
      </c>
      <c r="B984" s="1"/>
      <c r="C984" s="1" t="s">
        <v>354</v>
      </c>
      <c r="D984" s="1">
        <v>119702</v>
      </c>
      <c r="E984" s="1">
        <v>1526</v>
      </c>
      <c r="F984" s="1" t="s">
        <v>1496</v>
      </c>
      <c r="G984" s="1" t="s">
        <v>1489</v>
      </c>
      <c r="H984" s="1" t="s">
        <v>141</v>
      </c>
      <c r="I984" s="1" t="s">
        <v>65</v>
      </c>
      <c r="J984" s="1">
        <v>3</v>
      </c>
      <c r="K984" s="1" t="s">
        <v>142</v>
      </c>
      <c r="L984" s="1" t="s">
        <v>153</v>
      </c>
      <c r="M984" s="1" t="s">
        <v>1256</v>
      </c>
      <c r="N984" s="1" t="str">
        <f>HYPERLINK("https://klocwork.india.ti.com:443/review/insight-review.html#issuedetails_goto:problemid=119702,project=MCU_PLUS_SDK_AM263X,searchquery=taxonomy:'C and C++' build:Build_Apr_13_2023_11_11_AM grouping:off ","KW Issue Link")</f>
        <v>KW Issue Link</v>
      </c>
      <c r="O984" s="1" t="s">
        <v>356</v>
      </c>
    </row>
    <row r="985" spans="1:15" ht="60" x14ac:dyDescent="0.25">
      <c r="A985" s="1" t="s">
        <v>1268</v>
      </c>
      <c r="B985" s="1"/>
      <c r="C985" s="1" t="s">
        <v>354</v>
      </c>
      <c r="D985" s="1">
        <v>119703</v>
      </c>
      <c r="E985" s="1">
        <v>1719</v>
      </c>
      <c r="F985" s="1" t="s">
        <v>1497</v>
      </c>
      <c r="G985" s="1" t="s">
        <v>1495</v>
      </c>
      <c r="H985" s="1" t="s">
        <v>141</v>
      </c>
      <c r="I985" s="1" t="s">
        <v>65</v>
      </c>
      <c r="J985" s="1">
        <v>3</v>
      </c>
      <c r="K985" s="1" t="s">
        <v>142</v>
      </c>
      <c r="L985" s="1" t="s">
        <v>153</v>
      </c>
      <c r="M985" s="1" t="s">
        <v>1256</v>
      </c>
      <c r="N985" s="1" t="str">
        <f>HYPERLINK("https://klocwork.india.ti.com:443/review/insight-review.html#issuedetails_goto:problemid=119703,project=MCU_PLUS_SDK_AM263X,searchquery=taxonomy:'C and C++' build:Build_Apr_13_2023_11_11_AM grouping:off ","KW Issue Link")</f>
        <v>KW Issue Link</v>
      </c>
      <c r="O985" s="1" t="s">
        <v>356</v>
      </c>
    </row>
    <row r="986" spans="1:15" ht="75" x14ac:dyDescent="0.25">
      <c r="A986" s="1" t="s">
        <v>1257</v>
      </c>
      <c r="B986" s="1"/>
      <c r="C986" s="1" t="s">
        <v>1110</v>
      </c>
      <c r="D986" s="1">
        <v>119704</v>
      </c>
      <c r="E986" s="1">
        <v>764</v>
      </c>
      <c r="F986" s="1" t="s">
        <v>1498</v>
      </c>
      <c r="G986" s="1" t="s">
        <v>1111</v>
      </c>
      <c r="H986" s="1" t="s">
        <v>141</v>
      </c>
      <c r="I986" s="1" t="s">
        <v>65</v>
      </c>
      <c r="J986" s="1">
        <v>3</v>
      </c>
      <c r="K986" s="1" t="s">
        <v>142</v>
      </c>
      <c r="L986" s="1" t="s">
        <v>153</v>
      </c>
      <c r="M986" s="1" t="s">
        <v>1256</v>
      </c>
      <c r="N986" s="1" t="str">
        <f>HYPERLINK("https://klocwork.india.ti.com:443/review/insight-review.html#issuedetails_goto:problemid=119704,project=MCU_PLUS_SDK_AM263X,searchquery=taxonomy:'C and C++' build:Build_Apr_13_2023_11_11_AM grouping:off ","KW Issue Link")</f>
        <v>KW Issue Link</v>
      </c>
      <c r="O986" s="1" t="s">
        <v>356</v>
      </c>
    </row>
    <row r="987" spans="1:15" ht="75" x14ac:dyDescent="0.25">
      <c r="A987" s="1" t="s">
        <v>1257</v>
      </c>
      <c r="B987" s="1"/>
      <c r="C987" s="1" t="s">
        <v>1110</v>
      </c>
      <c r="D987" s="1">
        <v>119705</v>
      </c>
      <c r="E987" s="1">
        <v>936</v>
      </c>
      <c r="F987" s="1" t="s">
        <v>1499</v>
      </c>
      <c r="G987" s="1" t="s">
        <v>1500</v>
      </c>
      <c r="H987" s="1" t="s">
        <v>141</v>
      </c>
      <c r="I987" s="1" t="s">
        <v>65</v>
      </c>
      <c r="J987" s="1">
        <v>3</v>
      </c>
      <c r="K987" s="1" t="s">
        <v>142</v>
      </c>
      <c r="L987" s="1" t="s">
        <v>153</v>
      </c>
      <c r="M987" s="1" t="s">
        <v>1256</v>
      </c>
      <c r="N987" s="1" t="str">
        <f>HYPERLINK("https://klocwork.india.ti.com:443/review/insight-review.html#issuedetails_goto:problemid=119705,project=MCU_PLUS_SDK_AM263X,searchquery=taxonomy:'C and C++' build:Build_Apr_13_2023_11_11_AM grouping:off ","KW Issue Link")</f>
        <v>KW Issue Link</v>
      </c>
      <c r="O987" s="1" t="s">
        <v>356</v>
      </c>
    </row>
    <row r="988" spans="1:15" ht="75" x14ac:dyDescent="0.25">
      <c r="A988" s="1" t="s">
        <v>1257</v>
      </c>
      <c r="B988" s="1"/>
      <c r="C988" s="1" t="s">
        <v>1110</v>
      </c>
      <c r="D988" s="1">
        <v>119706</v>
      </c>
      <c r="E988" s="1">
        <v>987</v>
      </c>
      <c r="F988" s="1" t="s">
        <v>1501</v>
      </c>
      <c r="G988" s="1" t="s">
        <v>1502</v>
      </c>
      <c r="H988" s="1" t="s">
        <v>141</v>
      </c>
      <c r="I988" s="1" t="s">
        <v>65</v>
      </c>
      <c r="J988" s="1">
        <v>3</v>
      </c>
      <c r="K988" s="1" t="s">
        <v>142</v>
      </c>
      <c r="L988" s="1" t="s">
        <v>153</v>
      </c>
      <c r="M988" s="1" t="s">
        <v>1256</v>
      </c>
      <c r="N988" s="1" t="str">
        <f>HYPERLINK("https://klocwork.india.ti.com:443/review/insight-review.html#issuedetails_goto:problemid=119706,project=MCU_PLUS_SDK_AM263X,searchquery=taxonomy:'C and C++' build:Build_Apr_13_2023_11_11_AM grouping:off ","KW Issue Link")</f>
        <v>KW Issue Link</v>
      </c>
      <c r="O988" s="1" t="s">
        <v>356</v>
      </c>
    </row>
    <row r="989" spans="1:15" ht="75" x14ac:dyDescent="0.25">
      <c r="A989" s="1" t="s">
        <v>1257</v>
      </c>
      <c r="B989" s="1"/>
      <c r="C989" s="1" t="s">
        <v>1110</v>
      </c>
      <c r="D989" s="1">
        <v>119707</v>
      </c>
      <c r="E989" s="1">
        <v>1089</v>
      </c>
      <c r="F989" s="1" t="s">
        <v>1503</v>
      </c>
      <c r="G989" s="1" t="s">
        <v>1504</v>
      </c>
      <c r="H989" s="1" t="s">
        <v>141</v>
      </c>
      <c r="I989" s="1" t="s">
        <v>65</v>
      </c>
      <c r="J989" s="1">
        <v>3</v>
      </c>
      <c r="K989" s="1" t="s">
        <v>142</v>
      </c>
      <c r="L989" s="1" t="s">
        <v>153</v>
      </c>
      <c r="M989" s="1" t="s">
        <v>1256</v>
      </c>
      <c r="N989" s="1" t="str">
        <f>HYPERLINK("https://klocwork.india.ti.com:443/review/insight-review.html#issuedetails_goto:problemid=119707,project=MCU_PLUS_SDK_AM263X,searchquery=taxonomy:'C and C++' build:Build_Apr_13_2023_11_11_AM grouping:off ","KW Issue Link")</f>
        <v>KW Issue Link</v>
      </c>
      <c r="O989" s="1" t="s">
        <v>356</v>
      </c>
    </row>
    <row r="990" spans="1:15" ht="75" x14ac:dyDescent="0.25">
      <c r="A990" s="1" t="s">
        <v>1257</v>
      </c>
      <c r="B990" s="1"/>
      <c r="C990" s="1" t="s">
        <v>1110</v>
      </c>
      <c r="D990" s="1">
        <v>119708</v>
      </c>
      <c r="E990" s="1">
        <v>1174</v>
      </c>
      <c r="F990" s="1" t="s">
        <v>1505</v>
      </c>
      <c r="G990" s="1" t="s">
        <v>1506</v>
      </c>
      <c r="H990" s="1" t="s">
        <v>141</v>
      </c>
      <c r="I990" s="1" t="s">
        <v>65</v>
      </c>
      <c r="J990" s="1">
        <v>3</v>
      </c>
      <c r="K990" s="1" t="s">
        <v>142</v>
      </c>
      <c r="L990" s="1" t="s">
        <v>153</v>
      </c>
      <c r="M990" s="1" t="s">
        <v>1256</v>
      </c>
      <c r="N990" s="1" t="str">
        <f>HYPERLINK("https://klocwork.india.ti.com:443/review/insight-review.html#issuedetails_goto:problemid=119708,project=MCU_PLUS_SDK_AM263X,searchquery=taxonomy:'C and C++' build:Build_Apr_13_2023_11_11_AM grouping:off ","KW Issue Link")</f>
        <v>KW Issue Link</v>
      </c>
      <c r="O990" s="1" t="s">
        <v>356</v>
      </c>
    </row>
    <row r="991" spans="1:15" ht="75" x14ac:dyDescent="0.25">
      <c r="A991" s="1" t="s">
        <v>1257</v>
      </c>
      <c r="B991" s="1"/>
      <c r="C991" s="1" t="s">
        <v>1110</v>
      </c>
      <c r="D991" s="1">
        <v>119709</v>
      </c>
      <c r="E991" s="1">
        <v>1217</v>
      </c>
      <c r="F991" s="1" t="s">
        <v>1507</v>
      </c>
      <c r="G991" s="1" t="s">
        <v>1508</v>
      </c>
      <c r="H991" s="1" t="s">
        <v>141</v>
      </c>
      <c r="I991" s="1" t="s">
        <v>65</v>
      </c>
      <c r="J991" s="1">
        <v>3</v>
      </c>
      <c r="K991" s="1" t="s">
        <v>142</v>
      </c>
      <c r="L991" s="1" t="s">
        <v>153</v>
      </c>
      <c r="M991" s="1" t="s">
        <v>1256</v>
      </c>
      <c r="N991" s="1" t="str">
        <f>HYPERLINK("https://klocwork.india.ti.com:443/review/insight-review.html#issuedetails_goto:problemid=119709,project=MCU_PLUS_SDK_AM263X,searchquery=taxonomy:'C and C++' build:Build_Apr_13_2023_11_11_AM grouping:off ","KW Issue Link")</f>
        <v>KW Issue Link</v>
      </c>
      <c r="O991" s="1" t="s">
        <v>356</v>
      </c>
    </row>
    <row r="992" spans="1:15" ht="75" x14ac:dyDescent="0.25">
      <c r="A992" s="1" t="s">
        <v>1257</v>
      </c>
      <c r="B992" s="1"/>
      <c r="C992" s="1" t="s">
        <v>1110</v>
      </c>
      <c r="D992" s="1">
        <v>119710</v>
      </c>
      <c r="E992" s="1">
        <v>1268</v>
      </c>
      <c r="F992" s="1" t="s">
        <v>1509</v>
      </c>
      <c r="G992" s="1" t="s">
        <v>1510</v>
      </c>
      <c r="H992" s="1" t="s">
        <v>141</v>
      </c>
      <c r="I992" s="1" t="s">
        <v>65</v>
      </c>
      <c r="J992" s="1">
        <v>3</v>
      </c>
      <c r="K992" s="1" t="s">
        <v>142</v>
      </c>
      <c r="L992" s="1" t="s">
        <v>153</v>
      </c>
      <c r="M992" s="1" t="s">
        <v>1256</v>
      </c>
      <c r="N992" s="1" t="str">
        <f>HYPERLINK("https://klocwork.india.ti.com:443/review/insight-review.html#issuedetails_goto:problemid=119710,project=MCU_PLUS_SDK_AM263X,searchquery=taxonomy:'C and C++' build:Build_Apr_13_2023_11_11_AM grouping:off ","KW Issue Link")</f>
        <v>KW Issue Link</v>
      </c>
      <c r="O992" s="1" t="s">
        <v>356</v>
      </c>
    </row>
    <row r="993" spans="1:15" ht="75" x14ac:dyDescent="0.25">
      <c r="A993" s="1" t="s">
        <v>1257</v>
      </c>
      <c r="B993" s="1"/>
      <c r="C993" s="1" t="s">
        <v>1110</v>
      </c>
      <c r="D993" s="1">
        <v>119711</v>
      </c>
      <c r="E993" s="1">
        <v>1311</v>
      </c>
      <c r="F993" s="1" t="s">
        <v>1511</v>
      </c>
      <c r="G993" s="1" t="s">
        <v>1512</v>
      </c>
      <c r="H993" s="1" t="s">
        <v>141</v>
      </c>
      <c r="I993" s="1" t="s">
        <v>65</v>
      </c>
      <c r="J993" s="1">
        <v>3</v>
      </c>
      <c r="K993" s="1" t="s">
        <v>142</v>
      </c>
      <c r="L993" s="1" t="s">
        <v>153</v>
      </c>
      <c r="M993" s="1" t="s">
        <v>1256</v>
      </c>
      <c r="N993" s="1" t="str">
        <f>HYPERLINK("https://klocwork.india.ti.com:443/review/insight-review.html#issuedetails_goto:problemid=119711,project=MCU_PLUS_SDK_AM263X,searchquery=taxonomy:'C and C++' build:Build_Apr_13_2023_11_11_AM grouping:off ","KW Issue Link")</f>
        <v>KW Issue Link</v>
      </c>
      <c r="O993" s="1" t="s">
        <v>356</v>
      </c>
    </row>
    <row r="994" spans="1:15" ht="75" x14ac:dyDescent="0.25">
      <c r="A994" s="1" t="s">
        <v>1257</v>
      </c>
      <c r="B994" s="1"/>
      <c r="C994" s="1" t="s">
        <v>1110</v>
      </c>
      <c r="D994" s="1">
        <v>119712</v>
      </c>
      <c r="E994" s="1">
        <v>1414</v>
      </c>
      <c r="F994" s="1" t="s">
        <v>1513</v>
      </c>
      <c r="G994" s="1" t="s">
        <v>1514</v>
      </c>
      <c r="H994" s="1" t="s">
        <v>141</v>
      </c>
      <c r="I994" s="1" t="s">
        <v>65</v>
      </c>
      <c r="J994" s="1">
        <v>3</v>
      </c>
      <c r="K994" s="1" t="s">
        <v>142</v>
      </c>
      <c r="L994" s="1" t="s">
        <v>153</v>
      </c>
      <c r="M994" s="1" t="s">
        <v>1256</v>
      </c>
      <c r="N994" s="1" t="str">
        <f>HYPERLINK("https://klocwork.india.ti.com:443/review/insight-review.html#issuedetails_goto:problemid=119712,project=MCU_PLUS_SDK_AM263X,searchquery=taxonomy:'C and C++' build:Build_Apr_13_2023_11_11_AM grouping:off ","KW Issue Link")</f>
        <v>KW Issue Link</v>
      </c>
      <c r="O994" s="1" t="s">
        <v>356</v>
      </c>
    </row>
    <row r="995" spans="1:15" ht="75" x14ac:dyDescent="0.25">
      <c r="A995" s="1" t="s">
        <v>1257</v>
      </c>
      <c r="B995" s="1"/>
      <c r="C995" s="1" t="s">
        <v>1110</v>
      </c>
      <c r="D995" s="1">
        <v>119713</v>
      </c>
      <c r="E995" s="1">
        <v>1979</v>
      </c>
      <c r="F995" s="1" t="s">
        <v>1515</v>
      </c>
      <c r="G995" s="1" t="s">
        <v>1516</v>
      </c>
      <c r="H995" s="1" t="s">
        <v>141</v>
      </c>
      <c r="I995" s="1" t="s">
        <v>65</v>
      </c>
      <c r="J995" s="1">
        <v>3</v>
      </c>
      <c r="K995" s="1" t="s">
        <v>142</v>
      </c>
      <c r="L995" s="1" t="s">
        <v>153</v>
      </c>
      <c r="M995" s="1" t="s">
        <v>1256</v>
      </c>
      <c r="N995" s="1" t="str">
        <f>HYPERLINK("https://klocwork.india.ti.com:443/review/insight-review.html#issuedetails_goto:problemid=119713,project=MCU_PLUS_SDK_AM263X,searchquery=taxonomy:'C and C++' build:Build_Apr_13_2023_11_11_AM grouping:off ","KW Issue Link")</f>
        <v>KW Issue Link</v>
      </c>
      <c r="O995" s="1" t="s">
        <v>356</v>
      </c>
    </row>
    <row r="996" spans="1:15" ht="75" x14ac:dyDescent="0.25">
      <c r="A996" s="1" t="s">
        <v>1257</v>
      </c>
      <c r="B996" s="1"/>
      <c r="C996" s="1" t="s">
        <v>1110</v>
      </c>
      <c r="D996" s="1">
        <v>119714</v>
      </c>
      <c r="E996" s="1">
        <v>2017</v>
      </c>
      <c r="F996" s="1" t="s">
        <v>1517</v>
      </c>
      <c r="G996" s="1" t="s">
        <v>1518</v>
      </c>
      <c r="H996" s="1" t="s">
        <v>141</v>
      </c>
      <c r="I996" s="1" t="s">
        <v>65</v>
      </c>
      <c r="J996" s="1">
        <v>3</v>
      </c>
      <c r="K996" s="1" t="s">
        <v>142</v>
      </c>
      <c r="L996" s="1" t="s">
        <v>153</v>
      </c>
      <c r="M996" s="1" t="s">
        <v>1256</v>
      </c>
      <c r="N996" s="1" t="str">
        <f>HYPERLINK("https://klocwork.india.ti.com:443/review/insight-review.html#issuedetails_goto:problemid=119714,project=MCU_PLUS_SDK_AM263X,searchquery=taxonomy:'C and C++' build:Build_Apr_13_2023_11_11_AM grouping:off ","KW Issue Link")</f>
        <v>KW Issue Link</v>
      </c>
      <c r="O996" s="1" t="s">
        <v>356</v>
      </c>
    </row>
    <row r="997" spans="1:15" ht="75" x14ac:dyDescent="0.25">
      <c r="A997" s="1" t="s">
        <v>1257</v>
      </c>
      <c r="B997" s="1"/>
      <c r="C997" s="1" t="s">
        <v>1110</v>
      </c>
      <c r="D997" s="1">
        <v>119715</v>
      </c>
      <c r="E997" s="1">
        <v>2168</v>
      </c>
      <c r="F997" s="1" t="s">
        <v>1519</v>
      </c>
      <c r="G997" s="1" t="s">
        <v>1520</v>
      </c>
      <c r="H997" s="1" t="s">
        <v>141</v>
      </c>
      <c r="I997" s="1" t="s">
        <v>65</v>
      </c>
      <c r="J997" s="1">
        <v>3</v>
      </c>
      <c r="K997" s="1" t="s">
        <v>142</v>
      </c>
      <c r="L997" s="1" t="s">
        <v>153</v>
      </c>
      <c r="M997" s="1" t="s">
        <v>1256</v>
      </c>
      <c r="N997" s="1" t="str">
        <f>HYPERLINK("https://klocwork.india.ti.com:443/review/insight-review.html#issuedetails_goto:problemid=119715,project=MCU_PLUS_SDK_AM263X,searchquery=taxonomy:'C and C++' build:Build_Apr_13_2023_11_11_AM grouping:off ","KW Issue Link")</f>
        <v>KW Issue Link</v>
      </c>
      <c r="O997" s="1" t="s">
        <v>356</v>
      </c>
    </row>
    <row r="998" spans="1:15" ht="75" x14ac:dyDescent="0.25">
      <c r="A998" s="1" t="s">
        <v>1257</v>
      </c>
      <c r="B998" s="1"/>
      <c r="C998" s="1" t="s">
        <v>1110</v>
      </c>
      <c r="D998" s="1">
        <v>119716</v>
      </c>
      <c r="E998" s="1">
        <v>2316</v>
      </c>
      <c r="F998" s="1" t="s">
        <v>1521</v>
      </c>
      <c r="G998" s="1" t="s">
        <v>1120</v>
      </c>
      <c r="H998" s="1" t="s">
        <v>141</v>
      </c>
      <c r="I998" s="1" t="s">
        <v>65</v>
      </c>
      <c r="J998" s="1">
        <v>3</v>
      </c>
      <c r="K998" s="1" t="s">
        <v>142</v>
      </c>
      <c r="L998" s="1" t="s">
        <v>153</v>
      </c>
      <c r="M998" s="1" t="s">
        <v>1256</v>
      </c>
      <c r="N998" s="1" t="str">
        <f>HYPERLINK("https://klocwork.india.ti.com:443/review/insight-review.html#issuedetails_goto:problemid=119716,project=MCU_PLUS_SDK_AM263X,searchquery=taxonomy:'C and C++' build:Build_Apr_13_2023_11_11_AM grouping:off ","KW Issue Link")</f>
        <v>KW Issue Link</v>
      </c>
      <c r="O998" s="1" t="s">
        <v>356</v>
      </c>
    </row>
    <row r="999" spans="1:15" ht="75" x14ac:dyDescent="0.25">
      <c r="A999" s="1" t="s">
        <v>1257</v>
      </c>
      <c r="B999" s="1"/>
      <c r="C999" s="1" t="s">
        <v>1110</v>
      </c>
      <c r="D999" s="1">
        <v>119717</v>
      </c>
      <c r="E999" s="1">
        <v>3977</v>
      </c>
      <c r="F999" s="1" t="s">
        <v>1522</v>
      </c>
      <c r="G999" s="1" t="s">
        <v>1523</v>
      </c>
      <c r="H999" s="1" t="s">
        <v>141</v>
      </c>
      <c r="I999" s="1" t="s">
        <v>65</v>
      </c>
      <c r="J999" s="1">
        <v>3</v>
      </c>
      <c r="K999" s="1" t="s">
        <v>142</v>
      </c>
      <c r="L999" s="1" t="s">
        <v>153</v>
      </c>
      <c r="M999" s="1" t="s">
        <v>1256</v>
      </c>
      <c r="N999" s="1" t="str">
        <f>HYPERLINK("https://klocwork.india.ti.com:443/review/insight-review.html#issuedetails_goto:problemid=119717,project=MCU_PLUS_SDK_AM263X,searchquery=taxonomy:'C and C++' build:Build_Apr_13_2023_11_11_AM grouping:off ","KW Issue Link")</f>
        <v>KW Issue Link</v>
      </c>
      <c r="O999" s="1" t="s">
        <v>356</v>
      </c>
    </row>
    <row r="1000" spans="1:15" ht="75" x14ac:dyDescent="0.25">
      <c r="A1000" s="1" t="s">
        <v>1257</v>
      </c>
      <c r="B1000" s="1"/>
      <c r="C1000" s="1" t="s">
        <v>1110</v>
      </c>
      <c r="D1000" s="1">
        <v>119718</v>
      </c>
      <c r="E1000" s="1">
        <v>4040</v>
      </c>
      <c r="F1000" s="1" t="s">
        <v>1524</v>
      </c>
      <c r="G1000" s="1" t="s">
        <v>1525</v>
      </c>
      <c r="H1000" s="1" t="s">
        <v>141</v>
      </c>
      <c r="I1000" s="1" t="s">
        <v>65</v>
      </c>
      <c r="J1000" s="1">
        <v>3</v>
      </c>
      <c r="K1000" s="1" t="s">
        <v>142</v>
      </c>
      <c r="L1000" s="1" t="s">
        <v>153</v>
      </c>
      <c r="M1000" s="1" t="s">
        <v>1256</v>
      </c>
      <c r="N1000" s="1" t="str">
        <f>HYPERLINK("https://klocwork.india.ti.com:443/review/insight-review.html#issuedetails_goto:problemid=119718,project=MCU_PLUS_SDK_AM263X,searchquery=taxonomy:'C and C++' build:Build_Apr_13_2023_11_11_AM grouping:off ","KW Issue Link")</f>
        <v>KW Issue Link</v>
      </c>
      <c r="O1000" s="1" t="s">
        <v>356</v>
      </c>
    </row>
    <row r="1001" spans="1:15" ht="75" x14ac:dyDescent="0.25">
      <c r="A1001" s="1" t="s">
        <v>1257</v>
      </c>
      <c r="B1001" s="1"/>
      <c r="C1001" s="1" t="s">
        <v>1110</v>
      </c>
      <c r="D1001" s="1">
        <v>119719</v>
      </c>
      <c r="E1001" s="1">
        <v>4416</v>
      </c>
      <c r="F1001" s="1" t="s">
        <v>1526</v>
      </c>
      <c r="G1001" s="1" t="s">
        <v>1114</v>
      </c>
      <c r="H1001" s="1" t="s">
        <v>141</v>
      </c>
      <c r="I1001" s="1" t="s">
        <v>65</v>
      </c>
      <c r="J1001" s="1">
        <v>3</v>
      </c>
      <c r="K1001" s="1" t="s">
        <v>142</v>
      </c>
      <c r="L1001" s="1" t="s">
        <v>153</v>
      </c>
      <c r="M1001" s="1" t="s">
        <v>1256</v>
      </c>
      <c r="N1001" s="1" t="str">
        <f>HYPERLINK("https://klocwork.india.ti.com:443/review/insight-review.html#issuedetails_goto:problemid=119719,project=MCU_PLUS_SDK_AM263X,searchquery=taxonomy:'C and C++' build:Build_Apr_13_2023_11_11_AM grouping:off ","KW Issue Link")</f>
        <v>KW Issue Link</v>
      </c>
      <c r="O1001" s="1" t="s">
        <v>356</v>
      </c>
    </row>
    <row r="1002" spans="1:15" ht="75" x14ac:dyDescent="0.25">
      <c r="A1002" s="1" t="s">
        <v>1257</v>
      </c>
      <c r="B1002" s="1"/>
      <c r="C1002" s="1" t="s">
        <v>1110</v>
      </c>
      <c r="D1002" s="1">
        <v>119720</v>
      </c>
      <c r="E1002" s="1">
        <v>4573</v>
      </c>
      <c r="F1002" s="1" t="s">
        <v>1527</v>
      </c>
      <c r="G1002" s="1" t="s">
        <v>1528</v>
      </c>
      <c r="H1002" s="1" t="s">
        <v>141</v>
      </c>
      <c r="I1002" s="1" t="s">
        <v>65</v>
      </c>
      <c r="J1002" s="1">
        <v>3</v>
      </c>
      <c r="K1002" s="1" t="s">
        <v>142</v>
      </c>
      <c r="L1002" s="1" t="s">
        <v>153</v>
      </c>
      <c r="M1002" s="1" t="s">
        <v>1256</v>
      </c>
      <c r="N1002" s="1" t="str">
        <f>HYPERLINK("https://klocwork.india.ti.com:443/review/insight-review.html#issuedetails_goto:problemid=119720,project=MCU_PLUS_SDK_AM263X,searchquery=taxonomy:'C and C++' build:Build_Apr_13_2023_11_11_AM grouping:off ","KW Issue Link")</f>
        <v>KW Issue Link</v>
      </c>
      <c r="O1002" s="1" t="s">
        <v>356</v>
      </c>
    </row>
    <row r="1003" spans="1:15" ht="75" x14ac:dyDescent="0.25">
      <c r="A1003" s="1" t="s">
        <v>1257</v>
      </c>
      <c r="B1003" s="1"/>
      <c r="C1003" s="1" t="s">
        <v>1110</v>
      </c>
      <c r="D1003" s="1">
        <v>119721</v>
      </c>
      <c r="E1003" s="1">
        <v>4778</v>
      </c>
      <c r="F1003" s="1" t="s">
        <v>1529</v>
      </c>
      <c r="G1003" s="1" t="s">
        <v>1530</v>
      </c>
      <c r="H1003" s="1" t="s">
        <v>141</v>
      </c>
      <c r="I1003" s="1" t="s">
        <v>65</v>
      </c>
      <c r="J1003" s="1">
        <v>3</v>
      </c>
      <c r="K1003" s="1" t="s">
        <v>142</v>
      </c>
      <c r="L1003" s="1" t="s">
        <v>153</v>
      </c>
      <c r="M1003" s="1" t="s">
        <v>1256</v>
      </c>
      <c r="N1003" s="1" t="str">
        <f>HYPERLINK("https://klocwork.india.ti.com:443/review/insight-review.html#issuedetails_goto:problemid=119721,project=MCU_PLUS_SDK_AM263X,searchquery=taxonomy:'C and C++' build:Build_Apr_13_2023_11_11_AM grouping:off ","KW Issue Link")</f>
        <v>KW Issue Link</v>
      </c>
      <c r="O1003" s="1" t="s">
        <v>356</v>
      </c>
    </row>
    <row r="1004" spans="1:15" ht="75" x14ac:dyDescent="0.25">
      <c r="A1004" s="1" t="s">
        <v>1257</v>
      </c>
      <c r="B1004" s="1"/>
      <c r="C1004" s="1" t="s">
        <v>1110</v>
      </c>
      <c r="D1004" s="1">
        <v>119722</v>
      </c>
      <c r="E1004" s="1">
        <v>4819</v>
      </c>
      <c r="F1004" s="1" t="s">
        <v>1531</v>
      </c>
      <c r="G1004" s="1" t="s">
        <v>1532</v>
      </c>
      <c r="H1004" s="1" t="s">
        <v>141</v>
      </c>
      <c r="I1004" s="1" t="s">
        <v>65</v>
      </c>
      <c r="J1004" s="1">
        <v>3</v>
      </c>
      <c r="K1004" s="1" t="s">
        <v>142</v>
      </c>
      <c r="L1004" s="1" t="s">
        <v>153</v>
      </c>
      <c r="M1004" s="1" t="s">
        <v>1256</v>
      </c>
      <c r="N1004" s="1" t="str">
        <f>HYPERLINK("https://klocwork.india.ti.com:443/review/insight-review.html#issuedetails_goto:problemid=119722,project=MCU_PLUS_SDK_AM263X,searchquery=taxonomy:'C and C++' build:Build_Apr_13_2023_11_11_AM grouping:off ","KW Issue Link")</f>
        <v>KW Issue Link</v>
      </c>
      <c r="O1004" s="1" t="s">
        <v>356</v>
      </c>
    </row>
    <row r="1005" spans="1:15" ht="75" x14ac:dyDescent="0.25">
      <c r="A1005" s="1" t="s">
        <v>1257</v>
      </c>
      <c r="B1005" s="1"/>
      <c r="C1005" s="1" t="s">
        <v>1110</v>
      </c>
      <c r="D1005" s="1">
        <v>119723</v>
      </c>
      <c r="E1005" s="1">
        <v>4985</v>
      </c>
      <c r="F1005" s="1" t="s">
        <v>1533</v>
      </c>
      <c r="G1005" s="1" t="s">
        <v>1534</v>
      </c>
      <c r="H1005" s="1" t="s">
        <v>141</v>
      </c>
      <c r="I1005" s="1" t="s">
        <v>65</v>
      </c>
      <c r="J1005" s="1">
        <v>3</v>
      </c>
      <c r="K1005" s="1" t="s">
        <v>142</v>
      </c>
      <c r="L1005" s="1" t="s">
        <v>153</v>
      </c>
      <c r="M1005" s="1" t="s">
        <v>1256</v>
      </c>
      <c r="N1005" s="1" t="str">
        <f>HYPERLINK("https://klocwork.india.ti.com:443/review/insight-review.html#issuedetails_goto:problemid=119723,project=MCU_PLUS_SDK_AM263X,searchquery=taxonomy:'C and C++' build:Build_Apr_13_2023_11_11_AM grouping:off ","KW Issue Link")</f>
        <v>KW Issue Link</v>
      </c>
      <c r="O1005" s="1" t="s">
        <v>356</v>
      </c>
    </row>
    <row r="1006" spans="1:15" ht="75" x14ac:dyDescent="0.25">
      <c r="A1006" s="1" t="s">
        <v>1266</v>
      </c>
      <c r="B1006" s="1"/>
      <c r="C1006" s="1" t="s">
        <v>1110</v>
      </c>
      <c r="D1006" s="1">
        <v>119724</v>
      </c>
      <c r="E1006" s="1">
        <v>764</v>
      </c>
      <c r="F1006" s="1" t="s">
        <v>1535</v>
      </c>
      <c r="G1006" s="1" t="s">
        <v>1111</v>
      </c>
      <c r="H1006" s="1" t="s">
        <v>141</v>
      </c>
      <c r="I1006" s="1" t="s">
        <v>65</v>
      </c>
      <c r="J1006" s="1">
        <v>3</v>
      </c>
      <c r="K1006" s="1" t="s">
        <v>142</v>
      </c>
      <c r="L1006" s="1" t="s">
        <v>153</v>
      </c>
      <c r="M1006" s="1" t="s">
        <v>1256</v>
      </c>
      <c r="N1006" s="1" t="str">
        <f>HYPERLINK("https://klocwork.india.ti.com:443/review/insight-review.html#issuedetails_goto:problemid=119724,project=MCU_PLUS_SDK_AM263X,searchquery=taxonomy:'C and C++' build:Build_Apr_13_2023_11_11_AM grouping:off ","KW Issue Link")</f>
        <v>KW Issue Link</v>
      </c>
      <c r="O1006" s="1" t="s">
        <v>356</v>
      </c>
    </row>
    <row r="1007" spans="1:15" ht="75" x14ac:dyDescent="0.25">
      <c r="A1007" s="1" t="s">
        <v>1266</v>
      </c>
      <c r="B1007" s="1"/>
      <c r="C1007" s="1" t="s">
        <v>1110</v>
      </c>
      <c r="D1007" s="1">
        <v>119725</v>
      </c>
      <c r="E1007" s="1">
        <v>2168</v>
      </c>
      <c r="F1007" s="1" t="s">
        <v>1536</v>
      </c>
      <c r="G1007" s="1" t="s">
        <v>1520</v>
      </c>
      <c r="H1007" s="1" t="s">
        <v>141</v>
      </c>
      <c r="I1007" s="1" t="s">
        <v>65</v>
      </c>
      <c r="J1007" s="1">
        <v>3</v>
      </c>
      <c r="K1007" s="1" t="s">
        <v>142</v>
      </c>
      <c r="L1007" s="1" t="s">
        <v>153</v>
      </c>
      <c r="M1007" s="1" t="s">
        <v>1256</v>
      </c>
      <c r="N1007" s="1" t="str">
        <f>HYPERLINK("https://klocwork.india.ti.com:443/review/insight-review.html#issuedetails_goto:problemid=119725,project=MCU_PLUS_SDK_AM263X,searchquery=taxonomy:'C and C++' build:Build_Apr_13_2023_11_11_AM grouping:off ","KW Issue Link")</f>
        <v>KW Issue Link</v>
      </c>
      <c r="O1007" s="1" t="s">
        <v>356</v>
      </c>
    </row>
    <row r="1008" spans="1:15" ht="75" x14ac:dyDescent="0.25">
      <c r="A1008" s="1" t="s">
        <v>1266</v>
      </c>
      <c r="B1008" s="1"/>
      <c r="C1008" s="1" t="s">
        <v>1110</v>
      </c>
      <c r="D1008" s="1">
        <v>119726</v>
      </c>
      <c r="E1008" s="1">
        <v>2316</v>
      </c>
      <c r="F1008" s="1" t="s">
        <v>1537</v>
      </c>
      <c r="G1008" s="1" t="s">
        <v>1120</v>
      </c>
      <c r="H1008" s="1" t="s">
        <v>141</v>
      </c>
      <c r="I1008" s="1" t="s">
        <v>65</v>
      </c>
      <c r="J1008" s="1">
        <v>3</v>
      </c>
      <c r="K1008" s="1" t="s">
        <v>142</v>
      </c>
      <c r="L1008" s="1" t="s">
        <v>153</v>
      </c>
      <c r="M1008" s="1" t="s">
        <v>1256</v>
      </c>
      <c r="N1008" s="1" t="str">
        <f>HYPERLINK("https://klocwork.india.ti.com:443/review/insight-review.html#issuedetails_goto:problemid=119726,project=MCU_PLUS_SDK_AM263X,searchquery=taxonomy:'C and C++' build:Build_Apr_13_2023_11_11_AM grouping:off ","KW Issue Link")</f>
        <v>KW Issue Link</v>
      </c>
      <c r="O1008" s="1" t="s">
        <v>356</v>
      </c>
    </row>
    <row r="1009" spans="1:15" ht="75" x14ac:dyDescent="0.25">
      <c r="A1009" s="1" t="s">
        <v>1266</v>
      </c>
      <c r="B1009" s="1"/>
      <c r="C1009" s="1" t="s">
        <v>1110</v>
      </c>
      <c r="D1009" s="1">
        <v>119727</v>
      </c>
      <c r="E1009" s="1">
        <v>2932</v>
      </c>
      <c r="F1009" s="1" t="s">
        <v>1538</v>
      </c>
      <c r="G1009" s="1" t="s">
        <v>1539</v>
      </c>
      <c r="H1009" s="1" t="s">
        <v>141</v>
      </c>
      <c r="I1009" s="1" t="s">
        <v>65</v>
      </c>
      <c r="J1009" s="1">
        <v>3</v>
      </c>
      <c r="K1009" s="1" t="s">
        <v>142</v>
      </c>
      <c r="L1009" s="1" t="s">
        <v>153</v>
      </c>
      <c r="M1009" s="1" t="s">
        <v>1256</v>
      </c>
      <c r="N1009" s="1" t="str">
        <f>HYPERLINK("https://klocwork.india.ti.com:443/review/insight-review.html#issuedetails_goto:problemid=119727,project=MCU_PLUS_SDK_AM263X,searchquery=taxonomy:'C and C++' build:Build_Apr_13_2023_11_11_AM grouping:off ","KW Issue Link")</f>
        <v>KW Issue Link</v>
      </c>
      <c r="O1009" s="1" t="s">
        <v>356</v>
      </c>
    </row>
    <row r="1010" spans="1:15" ht="75" x14ac:dyDescent="0.25">
      <c r="A1010" s="1" t="s">
        <v>1266</v>
      </c>
      <c r="B1010" s="1"/>
      <c r="C1010" s="1" t="s">
        <v>1110</v>
      </c>
      <c r="D1010" s="1">
        <v>119728</v>
      </c>
      <c r="E1010" s="1">
        <v>3141</v>
      </c>
      <c r="F1010" s="1" t="s">
        <v>1540</v>
      </c>
      <c r="G1010" s="1" t="s">
        <v>1541</v>
      </c>
      <c r="H1010" s="1" t="s">
        <v>141</v>
      </c>
      <c r="I1010" s="1" t="s">
        <v>65</v>
      </c>
      <c r="J1010" s="1">
        <v>3</v>
      </c>
      <c r="K1010" s="1" t="s">
        <v>142</v>
      </c>
      <c r="L1010" s="1" t="s">
        <v>153</v>
      </c>
      <c r="M1010" s="1" t="s">
        <v>1256</v>
      </c>
      <c r="N1010" s="1" t="str">
        <f>HYPERLINK("https://klocwork.india.ti.com:443/review/insight-review.html#issuedetails_goto:problemid=119728,project=MCU_PLUS_SDK_AM263X,searchquery=taxonomy:'C and C++' build:Build_Apr_13_2023_11_11_AM grouping:off ","KW Issue Link")</f>
        <v>KW Issue Link</v>
      </c>
      <c r="O1010" s="1" t="s">
        <v>356</v>
      </c>
    </row>
    <row r="1011" spans="1:15" ht="75" x14ac:dyDescent="0.25">
      <c r="A1011" s="1" t="s">
        <v>1266</v>
      </c>
      <c r="B1011" s="1"/>
      <c r="C1011" s="1" t="s">
        <v>1110</v>
      </c>
      <c r="D1011" s="1">
        <v>119729</v>
      </c>
      <c r="E1011" s="1">
        <v>3540</v>
      </c>
      <c r="F1011" s="1" t="s">
        <v>1542</v>
      </c>
      <c r="G1011" s="1" t="s">
        <v>1543</v>
      </c>
      <c r="H1011" s="1" t="s">
        <v>141</v>
      </c>
      <c r="I1011" s="1" t="s">
        <v>65</v>
      </c>
      <c r="J1011" s="1">
        <v>3</v>
      </c>
      <c r="K1011" s="1" t="s">
        <v>142</v>
      </c>
      <c r="L1011" s="1" t="s">
        <v>153</v>
      </c>
      <c r="M1011" s="1" t="s">
        <v>1256</v>
      </c>
      <c r="N1011" s="1" t="str">
        <f>HYPERLINK("https://klocwork.india.ti.com:443/review/insight-review.html#issuedetails_goto:problemid=119729,project=MCU_PLUS_SDK_AM263X,searchquery=taxonomy:'C and C++' build:Build_Apr_13_2023_11_11_AM grouping:off ","KW Issue Link")</f>
        <v>KW Issue Link</v>
      </c>
      <c r="O1011" s="1" t="s">
        <v>356</v>
      </c>
    </row>
    <row r="1012" spans="1:15" ht="75" x14ac:dyDescent="0.25">
      <c r="A1012" s="1" t="s">
        <v>1266</v>
      </c>
      <c r="B1012" s="1"/>
      <c r="C1012" s="1" t="s">
        <v>1110</v>
      </c>
      <c r="D1012" s="1">
        <v>119730</v>
      </c>
      <c r="E1012" s="1">
        <v>3741</v>
      </c>
      <c r="F1012" s="1" t="s">
        <v>1544</v>
      </c>
      <c r="G1012" s="1" t="s">
        <v>1545</v>
      </c>
      <c r="H1012" s="1" t="s">
        <v>141</v>
      </c>
      <c r="I1012" s="1" t="s">
        <v>65</v>
      </c>
      <c r="J1012" s="1">
        <v>3</v>
      </c>
      <c r="K1012" s="1" t="s">
        <v>142</v>
      </c>
      <c r="L1012" s="1" t="s">
        <v>153</v>
      </c>
      <c r="M1012" s="1" t="s">
        <v>1256</v>
      </c>
      <c r="N1012" s="1" t="str">
        <f>HYPERLINK("https://klocwork.india.ti.com:443/review/insight-review.html#issuedetails_goto:problemid=119730,project=MCU_PLUS_SDK_AM263X,searchquery=taxonomy:'C and C++' build:Build_Apr_13_2023_11_11_AM grouping:off ","KW Issue Link")</f>
        <v>KW Issue Link</v>
      </c>
      <c r="O1012" s="1" t="s">
        <v>356</v>
      </c>
    </row>
    <row r="1013" spans="1:15" ht="75" x14ac:dyDescent="0.25">
      <c r="A1013" s="1" t="s">
        <v>1266</v>
      </c>
      <c r="B1013" s="1"/>
      <c r="C1013" s="1" t="s">
        <v>1110</v>
      </c>
      <c r="D1013" s="1">
        <v>119731</v>
      </c>
      <c r="E1013" s="1">
        <v>4679</v>
      </c>
      <c r="F1013" s="1" t="s">
        <v>1546</v>
      </c>
      <c r="G1013" s="1" t="s">
        <v>1127</v>
      </c>
      <c r="H1013" s="1" t="s">
        <v>141</v>
      </c>
      <c r="I1013" s="1" t="s">
        <v>65</v>
      </c>
      <c r="J1013" s="1">
        <v>3</v>
      </c>
      <c r="K1013" s="1" t="s">
        <v>142</v>
      </c>
      <c r="L1013" s="1" t="s">
        <v>153</v>
      </c>
      <c r="M1013" s="1" t="s">
        <v>1256</v>
      </c>
      <c r="N1013" s="1" t="str">
        <f>HYPERLINK("https://klocwork.india.ti.com:443/review/insight-review.html#issuedetails_goto:problemid=119731,project=MCU_PLUS_SDK_AM263X,searchquery=taxonomy:'C and C++' build:Build_Apr_13_2023_11_11_AM grouping:off ","KW Issue Link")</f>
        <v>KW Issue Link</v>
      </c>
      <c r="O1013" s="1" t="s">
        <v>356</v>
      </c>
    </row>
    <row r="1014" spans="1:15" ht="75" x14ac:dyDescent="0.25">
      <c r="A1014" s="1" t="s">
        <v>1266</v>
      </c>
      <c r="B1014" s="1"/>
      <c r="C1014" s="1" t="s">
        <v>1110</v>
      </c>
      <c r="D1014" s="1">
        <v>119732</v>
      </c>
      <c r="E1014" s="1">
        <v>4985</v>
      </c>
      <c r="F1014" s="1" t="s">
        <v>1547</v>
      </c>
      <c r="G1014" s="1" t="s">
        <v>1534</v>
      </c>
      <c r="H1014" s="1" t="s">
        <v>141</v>
      </c>
      <c r="I1014" s="1" t="s">
        <v>65</v>
      </c>
      <c r="J1014" s="1">
        <v>3</v>
      </c>
      <c r="K1014" s="1" t="s">
        <v>142</v>
      </c>
      <c r="L1014" s="1" t="s">
        <v>153</v>
      </c>
      <c r="M1014" s="1" t="s">
        <v>1256</v>
      </c>
      <c r="N1014" s="1" t="str">
        <f>HYPERLINK("https://klocwork.india.ti.com:443/review/insight-review.html#issuedetails_goto:problemid=119732,project=MCU_PLUS_SDK_AM263X,searchquery=taxonomy:'C and C++' build:Build_Apr_13_2023_11_11_AM grouping:off ","KW Issue Link")</f>
        <v>KW Issue Link</v>
      </c>
      <c r="O1014" s="1" t="s">
        <v>356</v>
      </c>
    </row>
    <row r="1015" spans="1:15" ht="75" x14ac:dyDescent="0.25">
      <c r="A1015" s="1" t="s">
        <v>1268</v>
      </c>
      <c r="B1015" s="1"/>
      <c r="C1015" s="1" t="s">
        <v>1110</v>
      </c>
      <c r="D1015" s="1">
        <v>119733</v>
      </c>
      <c r="E1015" s="1">
        <v>764</v>
      </c>
      <c r="F1015" s="1" t="s">
        <v>1548</v>
      </c>
      <c r="G1015" s="1" t="s">
        <v>1111</v>
      </c>
      <c r="H1015" s="1" t="s">
        <v>141</v>
      </c>
      <c r="I1015" s="1" t="s">
        <v>65</v>
      </c>
      <c r="J1015" s="1">
        <v>3</v>
      </c>
      <c r="K1015" s="1" t="s">
        <v>142</v>
      </c>
      <c r="L1015" s="1" t="s">
        <v>153</v>
      </c>
      <c r="M1015" s="1" t="s">
        <v>1256</v>
      </c>
      <c r="N1015" s="1" t="str">
        <f>HYPERLINK("https://klocwork.india.ti.com:443/review/insight-review.html#issuedetails_goto:problemid=119733,project=MCU_PLUS_SDK_AM263X,searchquery=taxonomy:'C and C++' build:Build_Apr_13_2023_11_11_AM grouping:off ","KW Issue Link")</f>
        <v>KW Issue Link</v>
      </c>
      <c r="O1015" s="1" t="s">
        <v>356</v>
      </c>
    </row>
    <row r="1016" spans="1:15" ht="75" x14ac:dyDescent="0.25">
      <c r="A1016" s="1" t="s">
        <v>1268</v>
      </c>
      <c r="B1016" s="1"/>
      <c r="C1016" s="1" t="s">
        <v>1110</v>
      </c>
      <c r="D1016" s="1">
        <v>119734</v>
      </c>
      <c r="E1016" s="1">
        <v>2168</v>
      </c>
      <c r="F1016" s="1" t="s">
        <v>1549</v>
      </c>
      <c r="G1016" s="1" t="s">
        <v>1520</v>
      </c>
      <c r="H1016" s="1" t="s">
        <v>141</v>
      </c>
      <c r="I1016" s="1" t="s">
        <v>65</v>
      </c>
      <c r="J1016" s="1">
        <v>3</v>
      </c>
      <c r="K1016" s="1" t="s">
        <v>142</v>
      </c>
      <c r="L1016" s="1" t="s">
        <v>153</v>
      </c>
      <c r="M1016" s="1" t="s">
        <v>1256</v>
      </c>
      <c r="N1016" s="1" t="str">
        <f>HYPERLINK("https://klocwork.india.ti.com:443/review/insight-review.html#issuedetails_goto:problemid=119734,project=MCU_PLUS_SDK_AM263X,searchquery=taxonomy:'C and C++' build:Build_Apr_13_2023_11_11_AM grouping:off ","KW Issue Link")</f>
        <v>KW Issue Link</v>
      </c>
      <c r="O1016" s="1" t="s">
        <v>356</v>
      </c>
    </row>
    <row r="1017" spans="1:15" ht="75" x14ac:dyDescent="0.25">
      <c r="A1017" s="1" t="s">
        <v>1268</v>
      </c>
      <c r="B1017" s="1"/>
      <c r="C1017" s="1" t="s">
        <v>1110</v>
      </c>
      <c r="D1017" s="1">
        <v>119735</v>
      </c>
      <c r="E1017" s="1">
        <v>2316</v>
      </c>
      <c r="F1017" s="1" t="s">
        <v>1550</v>
      </c>
      <c r="G1017" s="1" t="s">
        <v>1120</v>
      </c>
      <c r="H1017" s="1" t="s">
        <v>141</v>
      </c>
      <c r="I1017" s="1" t="s">
        <v>65</v>
      </c>
      <c r="J1017" s="1">
        <v>3</v>
      </c>
      <c r="K1017" s="1" t="s">
        <v>142</v>
      </c>
      <c r="L1017" s="1" t="s">
        <v>153</v>
      </c>
      <c r="M1017" s="1" t="s">
        <v>1256</v>
      </c>
      <c r="N1017" s="1" t="str">
        <f>HYPERLINK("https://klocwork.india.ti.com:443/review/insight-review.html#issuedetails_goto:problemid=119735,project=MCU_PLUS_SDK_AM263X,searchquery=taxonomy:'C and C++' build:Build_Apr_13_2023_11_11_AM grouping:off ","KW Issue Link")</f>
        <v>KW Issue Link</v>
      </c>
      <c r="O1017" s="1" t="s">
        <v>356</v>
      </c>
    </row>
    <row r="1018" spans="1:15" ht="75" x14ac:dyDescent="0.25">
      <c r="A1018" s="1" t="s">
        <v>1268</v>
      </c>
      <c r="B1018" s="1"/>
      <c r="C1018" s="1" t="s">
        <v>1110</v>
      </c>
      <c r="D1018" s="1">
        <v>119736</v>
      </c>
      <c r="E1018" s="1">
        <v>2932</v>
      </c>
      <c r="F1018" s="1" t="s">
        <v>1551</v>
      </c>
      <c r="G1018" s="1" t="s">
        <v>1539</v>
      </c>
      <c r="H1018" s="1" t="s">
        <v>141</v>
      </c>
      <c r="I1018" s="1" t="s">
        <v>65</v>
      </c>
      <c r="J1018" s="1">
        <v>3</v>
      </c>
      <c r="K1018" s="1" t="s">
        <v>142</v>
      </c>
      <c r="L1018" s="1" t="s">
        <v>153</v>
      </c>
      <c r="M1018" s="1" t="s">
        <v>1256</v>
      </c>
      <c r="N1018" s="1" t="str">
        <f>HYPERLINK("https://klocwork.india.ti.com:443/review/insight-review.html#issuedetails_goto:problemid=119736,project=MCU_PLUS_SDK_AM263X,searchquery=taxonomy:'C and C++' build:Build_Apr_13_2023_11_11_AM grouping:off ","KW Issue Link")</f>
        <v>KW Issue Link</v>
      </c>
      <c r="O1018" s="1" t="s">
        <v>356</v>
      </c>
    </row>
    <row r="1019" spans="1:15" ht="75" x14ac:dyDescent="0.25">
      <c r="A1019" s="1" t="s">
        <v>1268</v>
      </c>
      <c r="B1019" s="1"/>
      <c r="C1019" s="1" t="s">
        <v>1110</v>
      </c>
      <c r="D1019" s="1">
        <v>119737</v>
      </c>
      <c r="E1019" s="1">
        <v>3141</v>
      </c>
      <c r="F1019" s="1" t="s">
        <v>1552</v>
      </c>
      <c r="G1019" s="1" t="s">
        <v>1541</v>
      </c>
      <c r="H1019" s="1" t="s">
        <v>141</v>
      </c>
      <c r="I1019" s="1" t="s">
        <v>65</v>
      </c>
      <c r="J1019" s="1">
        <v>3</v>
      </c>
      <c r="K1019" s="1" t="s">
        <v>142</v>
      </c>
      <c r="L1019" s="1" t="s">
        <v>153</v>
      </c>
      <c r="M1019" s="1" t="s">
        <v>1256</v>
      </c>
      <c r="N1019" s="1" t="str">
        <f>HYPERLINK("https://klocwork.india.ti.com:443/review/insight-review.html#issuedetails_goto:problemid=119737,project=MCU_PLUS_SDK_AM263X,searchquery=taxonomy:'C and C++' build:Build_Apr_13_2023_11_11_AM grouping:off ","KW Issue Link")</f>
        <v>KW Issue Link</v>
      </c>
      <c r="O1019" s="1" t="s">
        <v>356</v>
      </c>
    </row>
    <row r="1020" spans="1:15" ht="75" x14ac:dyDescent="0.25">
      <c r="A1020" s="1" t="s">
        <v>1268</v>
      </c>
      <c r="B1020" s="1"/>
      <c r="C1020" s="1" t="s">
        <v>1110</v>
      </c>
      <c r="D1020" s="1">
        <v>119738</v>
      </c>
      <c r="E1020" s="1">
        <v>3540</v>
      </c>
      <c r="F1020" s="1" t="s">
        <v>1553</v>
      </c>
      <c r="G1020" s="1" t="s">
        <v>1543</v>
      </c>
      <c r="H1020" s="1" t="s">
        <v>141</v>
      </c>
      <c r="I1020" s="1" t="s">
        <v>65</v>
      </c>
      <c r="J1020" s="1">
        <v>3</v>
      </c>
      <c r="K1020" s="1" t="s">
        <v>142</v>
      </c>
      <c r="L1020" s="1" t="s">
        <v>153</v>
      </c>
      <c r="M1020" s="1" t="s">
        <v>1256</v>
      </c>
      <c r="N1020" s="1" t="str">
        <f>HYPERLINK("https://klocwork.india.ti.com:443/review/insight-review.html#issuedetails_goto:problemid=119738,project=MCU_PLUS_SDK_AM263X,searchquery=taxonomy:'C and C++' build:Build_Apr_13_2023_11_11_AM grouping:off ","KW Issue Link")</f>
        <v>KW Issue Link</v>
      </c>
      <c r="O1020" s="1" t="s">
        <v>356</v>
      </c>
    </row>
    <row r="1021" spans="1:15" ht="75" x14ac:dyDescent="0.25">
      <c r="A1021" s="1" t="s">
        <v>1268</v>
      </c>
      <c r="B1021" s="1"/>
      <c r="C1021" s="1" t="s">
        <v>1110</v>
      </c>
      <c r="D1021" s="1">
        <v>119739</v>
      </c>
      <c r="E1021" s="1">
        <v>3741</v>
      </c>
      <c r="F1021" s="1" t="s">
        <v>1554</v>
      </c>
      <c r="G1021" s="1" t="s">
        <v>1545</v>
      </c>
      <c r="H1021" s="1" t="s">
        <v>141</v>
      </c>
      <c r="I1021" s="1" t="s">
        <v>65</v>
      </c>
      <c r="J1021" s="1">
        <v>3</v>
      </c>
      <c r="K1021" s="1" t="s">
        <v>142</v>
      </c>
      <c r="L1021" s="1" t="s">
        <v>153</v>
      </c>
      <c r="M1021" s="1" t="s">
        <v>1256</v>
      </c>
      <c r="N1021" s="1" t="str">
        <f>HYPERLINK("https://klocwork.india.ti.com:443/review/insight-review.html#issuedetails_goto:problemid=119739,project=MCU_PLUS_SDK_AM263X,searchquery=taxonomy:'C and C++' build:Build_Apr_13_2023_11_11_AM grouping:off ","KW Issue Link")</f>
        <v>KW Issue Link</v>
      </c>
      <c r="O1021" s="1" t="s">
        <v>356</v>
      </c>
    </row>
    <row r="1022" spans="1:15" ht="75" x14ac:dyDescent="0.25">
      <c r="A1022" s="1" t="s">
        <v>1268</v>
      </c>
      <c r="B1022" s="1"/>
      <c r="C1022" s="1" t="s">
        <v>1110</v>
      </c>
      <c r="D1022" s="1">
        <v>119740</v>
      </c>
      <c r="E1022" s="1">
        <v>4679</v>
      </c>
      <c r="F1022" s="1" t="s">
        <v>1555</v>
      </c>
      <c r="G1022" s="1" t="s">
        <v>1127</v>
      </c>
      <c r="H1022" s="1" t="s">
        <v>141</v>
      </c>
      <c r="I1022" s="1" t="s">
        <v>65</v>
      </c>
      <c r="J1022" s="1">
        <v>3</v>
      </c>
      <c r="K1022" s="1" t="s">
        <v>142</v>
      </c>
      <c r="L1022" s="1" t="s">
        <v>153</v>
      </c>
      <c r="M1022" s="1" t="s">
        <v>1256</v>
      </c>
      <c r="N1022" s="1" t="str">
        <f>HYPERLINK("https://klocwork.india.ti.com:443/review/insight-review.html#issuedetails_goto:problemid=119740,project=MCU_PLUS_SDK_AM263X,searchquery=taxonomy:'C and C++' build:Build_Apr_13_2023_11_11_AM grouping:off ","KW Issue Link")</f>
        <v>KW Issue Link</v>
      </c>
      <c r="O1022" s="1" t="s">
        <v>356</v>
      </c>
    </row>
    <row r="1023" spans="1:15" ht="75" x14ac:dyDescent="0.25">
      <c r="A1023" s="1" t="s">
        <v>1252</v>
      </c>
      <c r="B1023" s="1"/>
      <c r="C1023" s="1" t="s">
        <v>1110</v>
      </c>
      <c r="D1023" s="1">
        <v>119741</v>
      </c>
      <c r="E1023" s="1">
        <v>987</v>
      </c>
      <c r="F1023" s="1" t="s">
        <v>1556</v>
      </c>
      <c r="G1023" s="1" t="s">
        <v>1502</v>
      </c>
      <c r="H1023" s="1" t="s">
        <v>141</v>
      </c>
      <c r="I1023" s="1" t="s">
        <v>65</v>
      </c>
      <c r="J1023" s="1">
        <v>3</v>
      </c>
      <c r="K1023" s="1" t="s">
        <v>142</v>
      </c>
      <c r="L1023" s="1" t="s">
        <v>153</v>
      </c>
      <c r="M1023" s="1" t="s">
        <v>1256</v>
      </c>
      <c r="N1023" s="1" t="str">
        <f>HYPERLINK("https://klocwork.india.ti.com:443/review/insight-review.html#issuedetails_goto:problemid=119741,project=MCU_PLUS_SDK_AM263X,searchquery=taxonomy:'C and C++' build:Build_Apr_13_2023_11_11_AM grouping:off ","KW Issue Link")</f>
        <v>KW Issue Link</v>
      </c>
      <c r="O1023" s="1" t="s">
        <v>356</v>
      </c>
    </row>
    <row r="1024" spans="1:15" ht="75" x14ac:dyDescent="0.25">
      <c r="A1024" s="1" t="s">
        <v>1252</v>
      </c>
      <c r="B1024" s="1"/>
      <c r="C1024" s="1" t="s">
        <v>1110</v>
      </c>
      <c r="D1024" s="1">
        <v>119742</v>
      </c>
      <c r="E1024" s="1">
        <v>1089</v>
      </c>
      <c r="F1024" s="1" t="s">
        <v>1557</v>
      </c>
      <c r="G1024" s="1" t="s">
        <v>1504</v>
      </c>
      <c r="H1024" s="1" t="s">
        <v>141</v>
      </c>
      <c r="I1024" s="1" t="s">
        <v>65</v>
      </c>
      <c r="J1024" s="1">
        <v>3</v>
      </c>
      <c r="K1024" s="1" t="s">
        <v>142</v>
      </c>
      <c r="L1024" s="1" t="s">
        <v>153</v>
      </c>
      <c r="M1024" s="1" t="s">
        <v>1256</v>
      </c>
      <c r="N1024" s="1" t="str">
        <f>HYPERLINK("https://klocwork.india.ti.com:443/review/insight-review.html#issuedetails_goto:problemid=119742,project=MCU_PLUS_SDK_AM263X,searchquery=taxonomy:'C and C++' build:Build_Apr_13_2023_11_11_AM grouping:off ","KW Issue Link")</f>
        <v>KW Issue Link</v>
      </c>
      <c r="O1024" s="1" t="s">
        <v>356</v>
      </c>
    </row>
    <row r="1025" spans="1:15" ht="75" x14ac:dyDescent="0.25">
      <c r="A1025" s="1" t="s">
        <v>1252</v>
      </c>
      <c r="B1025" s="1"/>
      <c r="C1025" s="1" t="s">
        <v>1110</v>
      </c>
      <c r="D1025" s="1">
        <v>119743</v>
      </c>
      <c r="E1025" s="1">
        <v>1268</v>
      </c>
      <c r="F1025" s="1" t="s">
        <v>1558</v>
      </c>
      <c r="G1025" s="1" t="s">
        <v>1510</v>
      </c>
      <c r="H1025" s="1" t="s">
        <v>141</v>
      </c>
      <c r="I1025" s="1" t="s">
        <v>65</v>
      </c>
      <c r="J1025" s="1">
        <v>3</v>
      </c>
      <c r="K1025" s="1" t="s">
        <v>142</v>
      </c>
      <c r="L1025" s="1" t="s">
        <v>153</v>
      </c>
      <c r="M1025" s="1" t="s">
        <v>1256</v>
      </c>
      <c r="N1025" s="1" t="str">
        <f>HYPERLINK("https://klocwork.india.ti.com:443/review/insight-review.html#issuedetails_goto:problemid=119743,project=MCU_PLUS_SDK_AM263X,searchquery=taxonomy:'C and C++' build:Build_Apr_13_2023_11_11_AM grouping:off ","KW Issue Link")</f>
        <v>KW Issue Link</v>
      </c>
      <c r="O1025" s="1" t="s">
        <v>356</v>
      </c>
    </row>
    <row r="1026" spans="1:15" ht="75" x14ac:dyDescent="0.25">
      <c r="A1026" s="1" t="s">
        <v>1252</v>
      </c>
      <c r="B1026" s="1"/>
      <c r="C1026" s="1" t="s">
        <v>1110</v>
      </c>
      <c r="D1026" s="1">
        <v>119744</v>
      </c>
      <c r="E1026" s="1">
        <v>1414</v>
      </c>
      <c r="F1026" s="1" t="s">
        <v>1559</v>
      </c>
      <c r="G1026" s="1" t="s">
        <v>1514</v>
      </c>
      <c r="H1026" s="1" t="s">
        <v>141</v>
      </c>
      <c r="I1026" s="1" t="s">
        <v>65</v>
      </c>
      <c r="J1026" s="1">
        <v>3</v>
      </c>
      <c r="K1026" s="1" t="s">
        <v>142</v>
      </c>
      <c r="L1026" s="1" t="s">
        <v>153</v>
      </c>
      <c r="M1026" s="1" t="s">
        <v>1256</v>
      </c>
      <c r="N1026" s="1" t="str">
        <f>HYPERLINK("https://klocwork.india.ti.com:443/review/insight-review.html#issuedetails_goto:problemid=119744,project=MCU_PLUS_SDK_AM263X,searchquery=taxonomy:'C and C++' build:Build_Apr_13_2023_11_11_AM grouping:off ","KW Issue Link")</f>
        <v>KW Issue Link</v>
      </c>
      <c r="O1026" s="1" t="s">
        <v>356</v>
      </c>
    </row>
    <row r="1027" spans="1:15" ht="75" x14ac:dyDescent="0.25">
      <c r="A1027" s="1" t="s">
        <v>1252</v>
      </c>
      <c r="B1027" s="1"/>
      <c r="C1027" s="1" t="s">
        <v>1110</v>
      </c>
      <c r="D1027" s="1">
        <v>119745</v>
      </c>
      <c r="E1027" s="1">
        <v>1636</v>
      </c>
      <c r="F1027" s="1" t="s">
        <v>1560</v>
      </c>
      <c r="G1027" s="1" t="s">
        <v>1561</v>
      </c>
      <c r="H1027" s="1" t="s">
        <v>141</v>
      </c>
      <c r="I1027" s="1" t="s">
        <v>65</v>
      </c>
      <c r="J1027" s="1">
        <v>3</v>
      </c>
      <c r="K1027" s="1" t="s">
        <v>142</v>
      </c>
      <c r="L1027" s="1" t="s">
        <v>153</v>
      </c>
      <c r="M1027" s="1" t="s">
        <v>1256</v>
      </c>
      <c r="N1027" s="1" t="str">
        <f>HYPERLINK("https://klocwork.india.ti.com:443/review/insight-review.html#issuedetails_goto:problemid=119745,project=MCU_PLUS_SDK_AM263X,searchquery=taxonomy:'C and C++' build:Build_Apr_13_2023_11_11_AM grouping:off ","KW Issue Link")</f>
        <v>KW Issue Link</v>
      </c>
      <c r="O1027" s="1" t="s">
        <v>356</v>
      </c>
    </row>
    <row r="1028" spans="1:15" ht="75" x14ac:dyDescent="0.25">
      <c r="A1028" s="1" t="s">
        <v>1252</v>
      </c>
      <c r="B1028" s="1"/>
      <c r="C1028" s="1" t="s">
        <v>1110</v>
      </c>
      <c r="D1028" s="1">
        <v>119746</v>
      </c>
      <c r="E1028" s="1">
        <v>1677</v>
      </c>
      <c r="F1028" s="1" t="s">
        <v>1562</v>
      </c>
      <c r="G1028" s="1" t="s">
        <v>1563</v>
      </c>
      <c r="H1028" s="1" t="s">
        <v>141</v>
      </c>
      <c r="I1028" s="1" t="s">
        <v>65</v>
      </c>
      <c r="J1028" s="1">
        <v>3</v>
      </c>
      <c r="K1028" s="1" t="s">
        <v>142</v>
      </c>
      <c r="L1028" s="1" t="s">
        <v>153</v>
      </c>
      <c r="M1028" s="1" t="s">
        <v>1256</v>
      </c>
      <c r="N1028" s="1" t="str">
        <f>HYPERLINK("https://klocwork.india.ti.com:443/review/insight-review.html#issuedetails_goto:problemid=119746,project=MCU_PLUS_SDK_AM263X,searchquery=taxonomy:'C and C++' build:Build_Apr_13_2023_11_11_AM grouping:off ","KW Issue Link")</f>
        <v>KW Issue Link</v>
      </c>
      <c r="O1028" s="1" t="s">
        <v>356</v>
      </c>
    </row>
    <row r="1029" spans="1:15" ht="75" x14ac:dyDescent="0.25">
      <c r="A1029" s="1" t="s">
        <v>1252</v>
      </c>
      <c r="B1029" s="1"/>
      <c r="C1029" s="1" t="s">
        <v>1110</v>
      </c>
      <c r="D1029" s="1">
        <v>119747</v>
      </c>
      <c r="E1029" s="1">
        <v>1758</v>
      </c>
      <c r="F1029" s="1" t="s">
        <v>1564</v>
      </c>
      <c r="G1029" s="1" t="s">
        <v>1116</v>
      </c>
      <c r="H1029" s="1" t="s">
        <v>141</v>
      </c>
      <c r="I1029" s="1" t="s">
        <v>65</v>
      </c>
      <c r="J1029" s="1">
        <v>3</v>
      </c>
      <c r="K1029" s="1" t="s">
        <v>142</v>
      </c>
      <c r="L1029" s="1" t="s">
        <v>153</v>
      </c>
      <c r="M1029" s="1" t="s">
        <v>1256</v>
      </c>
      <c r="N1029" s="1" t="str">
        <f>HYPERLINK("https://klocwork.india.ti.com:443/review/insight-review.html#issuedetails_goto:problemid=119747,project=MCU_PLUS_SDK_AM263X,searchquery=taxonomy:'C and C++' build:Build_Apr_13_2023_11_11_AM grouping:off ","KW Issue Link")</f>
        <v>KW Issue Link</v>
      </c>
      <c r="O1029" s="1" t="s">
        <v>356</v>
      </c>
    </row>
    <row r="1030" spans="1:15" ht="75" x14ac:dyDescent="0.25">
      <c r="A1030" s="1" t="s">
        <v>1252</v>
      </c>
      <c r="B1030" s="1"/>
      <c r="C1030" s="1" t="s">
        <v>1110</v>
      </c>
      <c r="D1030" s="1">
        <v>119748</v>
      </c>
      <c r="E1030" s="1">
        <v>1813</v>
      </c>
      <c r="F1030" s="1" t="s">
        <v>1565</v>
      </c>
      <c r="G1030" s="1" t="s">
        <v>1566</v>
      </c>
      <c r="H1030" s="1" t="s">
        <v>141</v>
      </c>
      <c r="I1030" s="1" t="s">
        <v>65</v>
      </c>
      <c r="J1030" s="1">
        <v>3</v>
      </c>
      <c r="K1030" s="1" t="s">
        <v>142</v>
      </c>
      <c r="L1030" s="1" t="s">
        <v>153</v>
      </c>
      <c r="M1030" s="1" t="s">
        <v>1256</v>
      </c>
      <c r="N1030" s="1" t="str">
        <f>HYPERLINK("https://klocwork.india.ti.com:443/review/insight-review.html#issuedetails_goto:problemid=119748,project=MCU_PLUS_SDK_AM263X,searchquery=taxonomy:'C and C++' build:Build_Apr_13_2023_11_11_AM grouping:off ","KW Issue Link")</f>
        <v>KW Issue Link</v>
      </c>
      <c r="O1030" s="1" t="s">
        <v>356</v>
      </c>
    </row>
    <row r="1031" spans="1:15" ht="75" x14ac:dyDescent="0.25">
      <c r="A1031" s="1" t="s">
        <v>1252</v>
      </c>
      <c r="B1031" s="1"/>
      <c r="C1031" s="1" t="s">
        <v>1110</v>
      </c>
      <c r="D1031" s="1">
        <v>119749</v>
      </c>
      <c r="E1031" s="1">
        <v>1924</v>
      </c>
      <c r="F1031" s="1" t="s">
        <v>1567</v>
      </c>
      <c r="G1031" s="1" t="s">
        <v>1117</v>
      </c>
      <c r="H1031" s="1" t="s">
        <v>141</v>
      </c>
      <c r="I1031" s="1" t="s">
        <v>65</v>
      </c>
      <c r="J1031" s="1">
        <v>3</v>
      </c>
      <c r="K1031" s="1" t="s">
        <v>142</v>
      </c>
      <c r="L1031" s="1" t="s">
        <v>153</v>
      </c>
      <c r="M1031" s="1" t="s">
        <v>1256</v>
      </c>
      <c r="N1031" s="1" t="str">
        <f>HYPERLINK("https://klocwork.india.ti.com:443/review/insight-review.html#issuedetails_goto:problemid=119749,project=MCU_PLUS_SDK_AM263X,searchquery=taxonomy:'C and C++' build:Build_Apr_13_2023_11_11_AM grouping:off ","KW Issue Link")</f>
        <v>KW Issue Link</v>
      </c>
      <c r="O1031" s="1" t="s">
        <v>356</v>
      </c>
    </row>
    <row r="1032" spans="1:15" ht="75" x14ac:dyDescent="0.25">
      <c r="A1032" s="1" t="s">
        <v>1252</v>
      </c>
      <c r="B1032" s="1"/>
      <c r="C1032" s="1" t="s">
        <v>1110</v>
      </c>
      <c r="D1032" s="1">
        <v>119750</v>
      </c>
      <c r="E1032" s="1">
        <v>2095</v>
      </c>
      <c r="F1032" s="1" t="s">
        <v>1568</v>
      </c>
      <c r="G1032" s="1" t="s">
        <v>1118</v>
      </c>
      <c r="H1032" s="1" t="s">
        <v>141</v>
      </c>
      <c r="I1032" s="1" t="s">
        <v>65</v>
      </c>
      <c r="J1032" s="1">
        <v>3</v>
      </c>
      <c r="K1032" s="1" t="s">
        <v>142</v>
      </c>
      <c r="L1032" s="1" t="s">
        <v>153</v>
      </c>
      <c r="M1032" s="1" t="s">
        <v>1256</v>
      </c>
      <c r="N1032" s="1" t="str">
        <f>HYPERLINK("https://klocwork.india.ti.com:443/review/insight-review.html#issuedetails_goto:problemid=119750,project=MCU_PLUS_SDK_AM263X,searchquery=taxonomy:'C and C++' build:Build_Apr_13_2023_11_11_AM grouping:off ","KW Issue Link")</f>
        <v>KW Issue Link</v>
      </c>
      <c r="O1032" s="1" t="s">
        <v>356</v>
      </c>
    </row>
    <row r="1033" spans="1:15" ht="75" x14ac:dyDescent="0.25">
      <c r="A1033" s="1" t="s">
        <v>1252</v>
      </c>
      <c r="B1033" s="1"/>
      <c r="C1033" s="1" t="s">
        <v>1110</v>
      </c>
      <c r="D1033" s="1">
        <v>119751</v>
      </c>
      <c r="E1033" s="1">
        <v>2142</v>
      </c>
      <c r="F1033" s="1" t="s">
        <v>1569</v>
      </c>
      <c r="G1033" s="1" t="s">
        <v>1570</v>
      </c>
      <c r="H1033" s="1" t="s">
        <v>141</v>
      </c>
      <c r="I1033" s="1" t="s">
        <v>65</v>
      </c>
      <c r="J1033" s="1">
        <v>3</v>
      </c>
      <c r="K1033" s="1" t="s">
        <v>142</v>
      </c>
      <c r="L1033" s="1" t="s">
        <v>153</v>
      </c>
      <c r="M1033" s="1" t="s">
        <v>1256</v>
      </c>
      <c r="N1033" s="1" t="str">
        <f>HYPERLINK("https://klocwork.india.ti.com:443/review/insight-review.html#issuedetails_goto:problemid=119751,project=MCU_PLUS_SDK_AM263X,searchquery=taxonomy:'C and C++' build:Build_Apr_13_2023_11_11_AM grouping:off ","KW Issue Link")</f>
        <v>KW Issue Link</v>
      </c>
      <c r="O1033" s="1" t="s">
        <v>356</v>
      </c>
    </row>
    <row r="1034" spans="1:15" ht="75" x14ac:dyDescent="0.25">
      <c r="A1034" s="1" t="s">
        <v>1252</v>
      </c>
      <c r="B1034" s="1"/>
      <c r="C1034" s="1" t="s">
        <v>1110</v>
      </c>
      <c r="D1034" s="1">
        <v>119752</v>
      </c>
      <c r="E1034" s="1">
        <v>2168</v>
      </c>
      <c r="F1034" s="1" t="s">
        <v>1571</v>
      </c>
      <c r="G1034" s="1" t="s">
        <v>1520</v>
      </c>
      <c r="H1034" s="1" t="s">
        <v>141</v>
      </c>
      <c r="I1034" s="1" t="s">
        <v>65</v>
      </c>
      <c r="J1034" s="1">
        <v>3</v>
      </c>
      <c r="K1034" s="1" t="s">
        <v>142</v>
      </c>
      <c r="L1034" s="1" t="s">
        <v>153</v>
      </c>
      <c r="M1034" s="1" t="s">
        <v>1256</v>
      </c>
      <c r="N1034" s="1" t="str">
        <f>HYPERLINK("https://klocwork.india.ti.com:443/review/insight-review.html#issuedetails_goto:problemid=119752,project=MCU_PLUS_SDK_AM263X,searchquery=taxonomy:'C and C++' build:Build_Apr_13_2023_11_11_AM grouping:off ","KW Issue Link")</f>
        <v>KW Issue Link</v>
      </c>
      <c r="O1034" s="1" t="s">
        <v>356</v>
      </c>
    </row>
    <row r="1035" spans="1:15" ht="75" x14ac:dyDescent="0.25">
      <c r="A1035" s="1" t="s">
        <v>1252</v>
      </c>
      <c r="B1035" s="1"/>
      <c r="C1035" s="1" t="s">
        <v>1110</v>
      </c>
      <c r="D1035" s="1">
        <v>119753</v>
      </c>
      <c r="E1035" s="1">
        <v>2316</v>
      </c>
      <c r="F1035" s="1" t="s">
        <v>1572</v>
      </c>
      <c r="G1035" s="1" t="s">
        <v>1120</v>
      </c>
      <c r="H1035" s="1" t="s">
        <v>141</v>
      </c>
      <c r="I1035" s="1" t="s">
        <v>65</v>
      </c>
      <c r="J1035" s="1">
        <v>3</v>
      </c>
      <c r="K1035" s="1" t="s">
        <v>142</v>
      </c>
      <c r="L1035" s="1" t="s">
        <v>153</v>
      </c>
      <c r="M1035" s="1" t="s">
        <v>1256</v>
      </c>
      <c r="N1035" s="1" t="str">
        <f>HYPERLINK("https://klocwork.india.ti.com:443/review/insight-review.html#issuedetails_goto:problemid=119753,project=MCU_PLUS_SDK_AM263X,searchquery=taxonomy:'C and C++' build:Build_Apr_13_2023_11_11_AM grouping:off ","KW Issue Link")</f>
        <v>KW Issue Link</v>
      </c>
      <c r="O1035" s="1" t="s">
        <v>356</v>
      </c>
    </row>
    <row r="1036" spans="1:15" ht="75" x14ac:dyDescent="0.25">
      <c r="A1036" s="1" t="s">
        <v>1252</v>
      </c>
      <c r="B1036" s="1"/>
      <c r="C1036" s="1" t="s">
        <v>1110</v>
      </c>
      <c r="D1036" s="1">
        <v>119754</v>
      </c>
      <c r="E1036" s="1">
        <v>2406</v>
      </c>
      <c r="F1036" s="1" t="s">
        <v>1573</v>
      </c>
      <c r="G1036" s="1" t="s">
        <v>1574</v>
      </c>
      <c r="H1036" s="1" t="s">
        <v>141</v>
      </c>
      <c r="I1036" s="1" t="s">
        <v>65</v>
      </c>
      <c r="J1036" s="1">
        <v>3</v>
      </c>
      <c r="K1036" s="1" t="s">
        <v>142</v>
      </c>
      <c r="L1036" s="1" t="s">
        <v>153</v>
      </c>
      <c r="M1036" s="1" t="s">
        <v>1256</v>
      </c>
      <c r="N1036" s="1" t="str">
        <f>HYPERLINK("https://klocwork.india.ti.com:443/review/insight-review.html#issuedetails_goto:problemid=119754,project=MCU_PLUS_SDK_AM263X,searchquery=taxonomy:'C and C++' build:Build_Apr_13_2023_11_11_AM grouping:off ","KW Issue Link")</f>
        <v>KW Issue Link</v>
      </c>
      <c r="O1036" s="1" t="s">
        <v>356</v>
      </c>
    </row>
    <row r="1037" spans="1:15" ht="75" x14ac:dyDescent="0.25">
      <c r="A1037" s="1" t="s">
        <v>1252</v>
      </c>
      <c r="B1037" s="1"/>
      <c r="C1037" s="1" t="s">
        <v>1110</v>
      </c>
      <c r="D1037" s="1">
        <v>119755</v>
      </c>
      <c r="E1037" s="1">
        <v>2464</v>
      </c>
      <c r="F1037" s="1" t="s">
        <v>1575</v>
      </c>
      <c r="G1037" s="1" t="s">
        <v>1576</v>
      </c>
      <c r="H1037" s="1" t="s">
        <v>141</v>
      </c>
      <c r="I1037" s="1" t="s">
        <v>65</v>
      </c>
      <c r="J1037" s="1">
        <v>3</v>
      </c>
      <c r="K1037" s="1" t="s">
        <v>142</v>
      </c>
      <c r="L1037" s="1" t="s">
        <v>153</v>
      </c>
      <c r="M1037" s="1" t="s">
        <v>1256</v>
      </c>
      <c r="N1037" s="1" t="str">
        <f>HYPERLINK("https://klocwork.india.ti.com:443/review/insight-review.html#issuedetails_goto:problemid=119755,project=MCU_PLUS_SDK_AM263X,searchquery=taxonomy:'C and C++' build:Build_Apr_13_2023_11_11_AM grouping:off ","KW Issue Link")</f>
        <v>KW Issue Link</v>
      </c>
      <c r="O1037" s="1" t="s">
        <v>356</v>
      </c>
    </row>
    <row r="1038" spans="1:15" ht="75" x14ac:dyDescent="0.25">
      <c r="A1038" s="1" t="s">
        <v>1252</v>
      </c>
      <c r="B1038" s="1"/>
      <c r="C1038" s="1" t="s">
        <v>1110</v>
      </c>
      <c r="D1038" s="1">
        <v>119756</v>
      </c>
      <c r="E1038" s="1">
        <v>2562</v>
      </c>
      <c r="F1038" s="1" t="s">
        <v>1577</v>
      </c>
      <c r="G1038" s="1" t="s">
        <v>1578</v>
      </c>
      <c r="H1038" s="1" t="s">
        <v>141</v>
      </c>
      <c r="I1038" s="1" t="s">
        <v>65</v>
      </c>
      <c r="J1038" s="1">
        <v>3</v>
      </c>
      <c r="K1038" s="1" t="s">
        <v>142</v>
      </c>
      <c r="L1038" s="1" t="s">
        <v>153</v>
      </c>
      <c r="M1038" s="1" t="s">
        <v>1256</v>
      </c>
      <c r="N1038" s="1" t="str">
        <f>HYPERLINK("https://klocwork.india.ti.com:443/review/insight-review.html#issuedetails_goto:problemid=119756,project=MCU_PLUS_SDK_AM263X,searchquery=taxonomy:'C and C++' build:Build_Apr_13_2023_11_11_AM grouping:off ","KW Issue Link")</f>
        <v>KW Issue Link</v>
      </c>
      <c r="O1038" s="1" t="s">
        <v>356</v>
      </c>
    </row>
    <row r="1039" spans="1:15" ht="75" x14ac:dyDescent="0.25">
      <c r="A1039" s="1" t="s">
        <v>1252</v>
      </c>
      <c r="B1039" s="1"/>
      <c r="C1039" s="1" t="s">
        <v>1110</v>
      </c>
      <c r="D1039" s="1">
        <v>119757</v>
      </c>
      <c r="E1039" s="1">
        <v>2586</v>
      </c>
      <c r="F1039" s="1" t="s">
        <v>1579</v>
      </c>
      <c r="G1039" s="1" t="s">
        <v>1580</v>
      </c>
      <c r="H1039" s="1" t="s">
        <v>141</v>
      </c>
      <c r="I1039" s="1" t="s">
        <v>65</v>
      </c>
      <c r="J1039" s="1">
        <v>3</v>
      </c>
      <c r="K1039" s="1" t="s">
        <v>142</v>
      </c>
      <c r="L1039" s="1" t="s">
        <v>153</v>
      </c>
      <c r="M1039" s="1" t="s">
        <v>1256</v>
      </c>
      <c r="N1039" s="1" t="str">
        <f>HYPERLINK("https://klocwork.india.ti.com:443/review/insight-review.html#issuedetails_goto:problemid=119757,project=MCU_PLUS_SDK_AM263X,searchquery=taxonomy:'C and C++' build:Build_Apr_13_2023_11_11_AM grouping:off ","KW Issue Link")</f>
        <v>KW Issue Link</v>
      </c>
      <c r="O1039" s="1" t="s">
        <v>356</v>
      </c>
    </row>
    <row r="1040" spans="1:15" ht="75" x14ac:dyDescent="0.25">
      <c r="A1040" s="1" t="s">
        <v>1252</v>
      </c>
      <c r="B1040" s="1"/>
      <c r="C1040" s="1" t="s">
        <v>1110</v>
      </c>
      <c r="D1040" s="1">
        <v>119758</v>
      </c>
      <c r="E1040" s="1">
        <v>2852</v>
      </c>
      <c r="F1040" s="1" t="s">
        <v>1581</v>
      </c>
      <c r="G1040" s="1" t="s">
        <v>1582</v>
      </c>
      <c r="H1040" s="1" t="s">
        <v>141</v>
      </c>
      <c r="I1040" s="1" t="s">
        <v>65</v>
      </c>
      <c r="J1040" s="1">
        <v>3</v>
      </c>
      <c r="K1040" s="1" t="s">
        <v>142</v>
      </c>
      <c r="L1040" s="1" t="s">
        <v>153</v>
      </c>
      <c r="M1040" s="1" t="s">
        <v>1256</v>
      </c>
      <c r="N1040" s="1" t="str">
        <f>HYPERLINK("https://klocwork.india.ti.com:443/review/insight-review.html#issuedetails_goto:problemid=119758,project=MCU_PLUS_SDK_AM263X,searchquery=taxonomy:'C and C++' build:Build_Apr_13_2023_11_11_AM grouping:off ","KW Issue Link")</f>
        <v>KW Issue Link</v>
      </c>
      <c r="O1040" s="1" t="s">
        <v>356</v>
      </c>
    </row>
    <row r="1041" spans="1:15" ht="75" x14ac:dyDescent="0.25">
      <c r="A1041" s="1" t="s">
        <v>1252</v>
      </c>
      <c r="B1041" s="1"/>
      <c r="C1041" s="1" t="s">
        <v>1110</v>
      </c>
      <c r="D1041" s="1">
        <v>119759</v>
      </c>
      <c r="E1041" s="1">
        <v>2891</v>
      </c>
      <c r="F1041" s="1" t="s">
        <v>1583</v>
      </c>
      <c r="G1041" s="1" t="s">
        <v>1124</v>
      </c>
      <c r="H1041" s="1" t="s">
        <v>141</v>
      </c>
      <c r="I1041" s="1" t="s">
        <v>65</v>
      </c>
      <c r="J1041" s="1">
        <v>3</v>
      </c>
      <c r="K1041" s="1" t="s">
        <v>142</v>
      </c>
      <c r="L1041" s="1" t="s">
        <v>153</v>
      </c>
      <c r="M1041" s="1" t="s">
        <v>1256</v>
      </c>
      <c r="N1041" s="1" t="str">
        <f>HYPERLINK("https://klocwork.india.ti.com:443/review/insight-review.html#issuedetails_goto:problemid=119759,project=MCU_PLUS_SDK_AM263X,searchquery=taxonomy:'C and C++' build:Build_Apr_13_2023_11_11_AM grouping:off ","KW Issue Link")</f>
        <v>KW Issue Link</v>
      </c>
      <c r="O1041" s="1" t="s">
        <v>356</v>
      </c>
    </row>
    <row r="1042" spans="1:15" ht="75" x14ac:dyDescent="0.25">
      <c r="A1042" s="1" t="s">
        <v>1252</v>
      </c>
      <c r="B1042" s="1"/>
      <c r="C1042" s="1" t="s">
        <v>1110</v>
      </c>
      <c r="D1042" s="1">
        <v>119760</v>
      </c>
      <c r="E1042" s="1">
        <v>3141</v>
      </c>
      <c r="F1042" s="1" t="s">
        <v>1584</v>
      </c>
      <c r="G1042" s="1" t="s">
        <v>1541</v>
      </c>
      <c r="H1042" s="1" t="s">
        <v>141</v>
      </c>
      <c r="I1042" s="1" t="s">
        <v>65</v>
      </c>
      <c r="J1042" s="1">
        <v>3</v>
      </c>
      <c r="K1042" s="1" t="s">
        <v>142</v>
      </c>
      <c r="L1042" s="1" t="s">
        <v>153</v>
      </c>
      <c r="M1042" s="1" t="s">
        <v>1256</v>
      </c>
      <c r="N1042" s="1" t="str">
        <f>HYPERLINK("https://klocwork.india.ti.com:443/review/insight-review.html#issuedetails_goto:problemid=119760,project=MCU_PLUS_SDK_AM263X,searchquery=taxonomy:'C and C++' build:Build_Apr_13_2023_11_11_AM grouping:off ","KW Issue Link")</f>
        <v>KW Issue Link</v>
      </c>
      <c r="O1042" s="1" t="s">
        <v>356</v>
      </c>
    </row>
    <row r="1043" spans="1:15" ht="75" x14ac:dyDescent="0.25">
      <c r="A1043" s="1" t="s">
        <v>1252</v>
      </c>
      <c r="B1043" s="1"/>
      <c r="C1043" s="1" t="s">
        <v>1110</v>
      </c>
      <c r="D1043" s="1">
        <v>119761</v>
      </c>
      <c r="E1043" s="1">
        <v>3408</v>
      </c>
      <c r="F1043" s="1" t="s">
        <v>1585</v>
      </c>
      <c r="G1043" s="1" t="s">
        <v>1586</v>
      </c>
      <c r="H1043" s="1" t="s">
        <v>141</v>
      </c>
      <c r="I1043" s="1" t="s">
        <v>65</v>
      </c>
      <c r="J1043" s="1">
        <v>3</v>
      </c>
      <c r="K1043" s="1" t="s">
        <v>142</v>
      </c>
      <c r="L1043" s="1" t="s">
        <v>153</v>
      </c>
      <c r="M1043" s="1" t="s">
        <v>1256</v>
      </c>
      <c r="N1043" s="1" t="str">
        <f>HYPERLINK("https://klocwork.india.ti.com:443/review/insight-review.html#issuedetails_goto:problemid=119761,project=MCU_PLUS_SDK_AM263X,searchquery=taxonomy:'C and C++' build:Build_Apr_13_2023_11_11_AM grouping:off ","KW Issue Link")</f>
        <v>KW Issue Link</v>
      </c>
      <c r="O1043" s="1" t="s">
        <v>356</v>
      </c>
    </row>
    <row r="1044" spans="1:15" ht="75" x14ac:dyDescent="0.25">
      <c r="A1044" s="1" t="s">
        <v>1252</v>
      </c>
      <c r="B1044" s="1"/>
      <c r="C1044" s="1" t="s">
        <v>1110</v>
      </c>
      <c r="D1044" s="1">
        <v>119762</v>
      </c>
      <c r="E1044" s="1">
        <v>3459</v>
      </c>
      <c r="F1044" s="1" t="s">
        <v>1587</v>
      </c>
      <c r="G1044" s="1" t="s">
        <v>1588</v>
      </c>
      <c r="H1044" s="1" t="s">
        <v>141</v>
      </c>
      <c r="I1044" s="1" t="s">
        <v>65</v>
      </c>
      <c r="J1044" s="1">
        <v>3</v>
      </c>
      <c r="K1044" s="1" t="s">
        <v>142</v>
      </c>
      <c r="L1044" s="1" t="s">
        <v>153</v>
      </c>
      <c r="M1044" s="1" t="s">
        <v>1256</v>
      </c>
      <c r="N1044" s="1" t="str">
        <f>HYPERLINK("https://klocwork.india.ti.com:443/review/insight-review.html#issuedetails_goto:problemid=119762,project=MCU_PLUS_SDK_AM263X,searchquery=taxonomy:'C and C++' build:Build_Apr_13_2023_11_11_AM grouping:off ","KW Issue Link")</f>
        <v>KW Issue Link</v>
      </c>
      <c r="O1044" s="1" t="s">
        <v>356</v>
      </c>
    </row>
    <row r="1045" spans="1:15" ht="75" x14ac:dyDescent="0.25">
      <c r="A1045" s="1" t="s">
        <v>1252</v>
      </c>
      <c r="B1045" s="1"/>
      <c r="C1045" s="1" t="s">
        <v>1110</v>
      </c>
      <c r="D1045" s="1">
        <v>119763</v>
      </c>
      <c r="E1045" s="1">
        <v>3945</v>
      </c>
      <c r="F1045" s="1" t="s">
        <v>1589</v>
      </c>
      <c r="G1045" s="1" t="s">
        <v>1590</v>
      </c>
      <c r="H1045" s="1" t="s">
        <v>141</v>
      </c>
      <c r="I1045" s="1" t="s">
        <v>65</v>
      </c>
      <c r="J1045" s="1">
        <v>3</v>
      </c>
      <c r="K1045" s="1" t="s">
        <v>142</v>
      </c>
      <c r="L1045" s="1" t="s">
        <v>153</v>
      </c>
      <c r="M1045" s="1" t="s">
        <v>1256</v>
      </c>
      <c r="N1045" s="1" t="str">
        <f>HYPERLINK("https://klocwork.india.ti.com:443/review/insight-review.html#issuedetails_goto:problemid=119763,project=MCU_PLUS_SDK_AM263X,searchquery=taxonomy:'C and C++' build:Build_Apr_13_2023_11_11_AM grouping:off ","KW Issue Link")</f>
        <v>KW Issue Link</v>
      </c>
      <c r="O1045" s="1" t="s">
        <v>356</v>
      </c>
    </row>
    <row r="1046" spans="1:15" ht="75" x14ac:dyDescent="0.25">
      <c r="A1046" s="1" t="s">
        <v>1252</v>
      </c>
      <c r="B1046" s="1"/>
      <c r="C1046" s="1" t="s">
        <v>1110</v>
      </c>
      <c r="D1046" s="1">
        <v>119764</v>
      </c>
      <c r="E1046" s="1">
        <v>4522</v>
      </c>
      <c r="F1046" s="1" t="s">
        <v>1591</v>
      </c>
      <c r="G1046" s="1" t="s">
        <v>1592</v>
      </c>
      <c r="H1046" s="1" t="s">
        <v>141</v>
      </c>
      <c r="I1046" s="1" t="s">
        <v>65</v>
      </c>
      <c r="J1046" s="1">
        <v>3</v>
      </c>
      <c r="K1046" s="1" t="s">
        <v>142</v>
      </c>
      <c r="L1046" s="1" t="s">
        <v>153</v>
      </c>
      <c r="M1046" s="1" t="s">
        <v>1256</v>
      </c>
      <c r="N1046" s="1" t="str">
        <f>HYPERLINK("https://klocwork.india.ti.com:443/review/insight-review.html#issuedetails_goto:problemid=119764,project=MCU_PLUS_SDK_AM263X,searchquery=taxonomy:'C and C++' build:Build_Apr_13_2023_11_11_AM grouping:off ","KW Issue Link")</f>
        <v>KW Issue Link</v>
      </c>
      <c r="O1046" s="1" t="s">
        <v>356</v>
      </c>
    </row>
    <row r="1047" spans="1:15" ht="75" x14ac:dyDescent="0.25">
      <c r="A1047" s="1" t="s">
        <v>1252</v>
      </c>
      <c r="B1047" s="1"/>
      <c r="C1047" s="1" t="s">
        <v>1110</v>
      </c>
      <c r="D1047" s="1">
        <v>119765</v>
      </c>
      <c r="E1047" s="1">
        <v>4573</v>
      </c>
      <c r="F1047" s="1" t="s">
        <v>1593</v>
      </c>
      <c r="G1047" s="1" t="s">
        <v>1528</v>
      </c>
      <c r="H1047" s="1" t="s">
        <v>141</v>
      </c>
      <c r="I1047" s="1" t="s">
        <v>65</v>
      </c>
      <c r="J1047" s="1">
        <v>3</v>
      </c>
      <c r="K1047" s="1" t="s">
        <v>142</v>
      </c>
      <c r="L1047" s="1" t="s">
        <v>153</v>
      </c>
      <c r="M1047" s="1" t="s">
        <v>1256</v>
      </c>
      <c r="N1047" s="1" t="str">
        <f>HYPERLINK("https://klocwork.india.ti.com:443/review/insight-review.html#issuedetails_goto:problemid=119765,project=MCU_PLUS_SDK_AM263X,searchquery=taxonomy:'C and C++' build:Build_Apr_13_2023_11_11_AM grouping:off ","KW Issue Link")</f>
        <v>KW Issue Link</v>
      </c>
      <c r="O1047" s="1" t="s">
        <v>356</v>
      </c>
    </row>
    <row r="1048" spans="1:15" ht="75" x14ac:dyDescent="0.25">
      <c r="A1048" s="1" t="s">
        <v>1252</v>
      </c>
      <c r="B1048" s="1"/>
      <c r="C1048" s="1" t="s">
        <v>1110</v>
      </c>
      <c r="D1048" s="1">
        <v>119766</v>
      </c>
      <c r="E1048" s="1">
        <v>4819</v>
      </c>
      <c r="F1048" s="1" t="s">
        <v>1594</v>
      </c>
      <c r="G1048" s="1" t="s">
        <v>1532</v>
      </c>
      <c r="H1048" s="1" t="s">
        <v>141</v>
      </c>
      <c r="I1048" s="1" t="s">
        <v>65</v>
      </c>
      <c r="J1048" s="1">
        <v>3</v>
      </c>
      <c r="K1048" s="1" t="s">
        <v>142</v>
      </c>
      <c r="L1048" s="1" t="s">
        <v>153</v>
      </c>
      <c r="M1048" s="1" t="s">
        <v>1256</v>
      </c>
      <c r="N1048" s="1" t="str">
        <f>HYPERLINK("https://klocwork.india.ti.com:443/review/insight-review.html#issuedetails_goto:problemid=119766,project=MCU_PLUS_SDK_AM263X,searchquery=taxonomy:'C and C++' build:Build_Apr_13_2023_11_11_AM grouping:off ","KW Issue Link")</f>
        <v>KW Issue Link</v>
      </c>
      <c r="O1048" s="1" t="s">
        <v>356</v>
      </c>
    </row>
    <row r="1049" spans="1:15" ht="75" x14ac:dyDescent="0.25">
      <c r="A1049" s="1" t="s">
        <v>1252</v>
      </c>
      <c r="B1049" s="1"/>
      <c r="C1049" s="1" t="s">
        <v>1110</v>
      </c>
      <c r="D1049" s="1">
        <v>119767</v>
      </c>
      <c r="E1049" s="1">
        <v>4908</v>
      </c>
      <c r="F1049" s="1" t="s">
        <v>1595</v>
      </c>
      <c r="G1049" s="1" t="s">
        <v>1596</v>
      </c>
      <c r="H1049" s="1" t="s">
        <v>141</v>
      </c>
      <c r="I1049" s="1" t="s">
        <v>65</v>
      </c>
      <c r="J1049" s="1">
        <v>3</v>
      </c>
      <c r="K1049" s="1" t="s">
        <v>142</v>
      </c>
      <c r="L1049" s="1" t="s">
        <v>153</v>
      </c>
      <c r="M1049" s="1" t="s">
        <v>1256</v>
      </c>
      <c r="N1049" s="1" t="str">
        <f>HYPERLINK("https://klocwork.india.ti.com:443/review/insight-review.html#issuedetails_goto:problemid=119767,project=MCU_PLUS_SDK_AM263X,searchquery=taxonomy:'C and C++' build:Build_Apr_13_2023_11_11_AM grouping:off ","KW Issue Link")</f>
        <v>KW Issue Link</v>
      </c>
      <c r="O1049" s="1" t="s">
        <v>356</v>
      </c>
    </row>
    <row r="1050" spans="1:15" ht="75" x14ac:dyDescent="0.25">
      <c r="A1050" s="1" t="s">
        <v>1257</v>
      </c>
      <c r="B1050" s="1"/>
      <c r="C1050" s="1" t="s">
        <v>1132</v>
      </c>
      <c r="D1050" s="1">
        <v>119768</v>
      </c>
      <c r="E1050" s="1">
        <v>762</v>
      </c>
      <c r="F1050" s="1" t="s">
        <v>1597</v>
      </c>
      <c r="G1050" s="1" t="s">
        <v>1141</v>
      </c>
      <c r="H1050" s="1" t="s">
        <v>141</v>
      </c>
      <c r="I1050" s="1" t="s">
        <v>65</v>
      </c>
      <c r="J1050" s="1">
        <v>3</v>
      </c>
      <c r="K1050" s="1" t="s">
        <v>142</v>
      </c>
      <c r="L1050" s="1" t="s">
        <v>153</v>
      </c>
      <c r="M1050" s="1" t="s">
        <v>1256</v>
      </c>
      <c r="N1050" s="1" t="str">
        <f>HYPERLINK("https://klocwork.india.ti.com:443/review/insight-review.html#issuedetails_goto:problemid=119768,project=MCU_PLUS_SDK_AM263X,searchquery=taxonomy:'C and C++' build:Build_Apr_13_2023_11_11_AM grouping:off ","KW Issue Link")</f>
        <v>KW Issue Link</v>
      </c>
      <c r="O1050" s="1" t="s">
        <v>356</v>
      </c>
    </row>
    <row r="1051" spans="1:15" ht="75" x14ac:dyDescent="0.25">
      <c r="A1051" s="1" t="s">
        <v>1257</v>
      </c>
      <c r="B1051" s="1"/>
      <c r="C1051" s="1" t="s">
        <v>1132</v>
      </c>
      <c r="D1051" s="1">
        <v>119769</v>
      </c>
      <c r="E1051" s="1">
        <v>1057</v>
      </c>
      <c r="F1051" s="1" t="s">
        <v>1598</v>
      </c>
      <c r="G1051" s="1" t="s">
        <v>1599</v>
      </c>
      <c r="H1051" s="1" t="s">
        <v>141</v>
      </c>
      <c r="I1051" s="1" t="s">
        <v>65</v>
      </c>
      <c r="J1051" s="1">
        <v>3</v>
      </c>
      <c r="K1051" s="1" t="s">
        <v>142</v>
      </c>
      <c r="L1051" s="1" t="s">
        <v>153</v>
      </c>
      <c r="M1051" s="1" t="s">
        <v>1256</v>
      </c>
      <c r="N1051" s="1" t="str">
        <f>HYPERLINK("https://klocwork.india.ti.com:443/review/insight-review.html#issuedetails_goto:problemid=119769,project=MCU_PLUS_SDK_AM263X,searchquery=taxonomy:'C and C++' build:Build_Apr_13_2023_11_11_AM grouping:off ","KW Issue Link")</f>
        <v>KW Issue Link</v>
      </c>
      <c r="O1051" s="1" t="s">
        <v>356</v>
      </c>
    </row>
    <row r="1052" spans="1:15" ht="75" x14ac:dyDescent="0.25">
      <c r="A1052" s="1" t="s">
        <v>1266</v>
      </c>
      <c r="B1052" s="1"/>
      <c r="C1052" s="1" t="s">
        <v>1132</v>
      </c>
      <c r="D1052" s="1">
        <v>119770</v>
      </c>
      <c r="E1052" s="1">
        <v>762</v>
      </c>
      <c r="F1052" s="1" t="s">
        <v>1600</v>
      </c>
      <c r="G1052" s="1" t="s">
        <v>1141</v>
      </c>
      <c r="H1052" s="1" t="s">
        <v>141</v>
      </c>
      <c r="I1052" s="1" t="s">
        <v>65</v>
      </c>
      <c r="J1052" s="1">
        <v>3</v>
      </c>
      <c r="K1052" s="1" t="s">
        <v>142</v>
      </c>
      <c r="L1052" s="1" t="s">
        <v>153</v>
      </c>
      <c r="M1052" s="1" t="s">
        <v>1256</v>
      </c>
      <c r="N1052" s="1" t="str">
        <f>HYPERLINK("https://klocwork.india.ti.com:443/review/insight-review.html#issuedetails_goto:problemid=119770,project=MCU_PLUS_SDK_AM263X,searchquery=taxonomy:'C and C++' build:Build_Apr_13_2023_11_11_AM grouping:off ","KW Issue Link")</f>
        <v>KW Issue Link</v>
      </c>
      <c r="O1052" s="1" t="s">
        <v>356</v>
      </c>
    </row>
    <row r="1053" spans="1:15" ht="75" x14ac:dyDescent="0.25">
      <c r="A1053" s="1" t="s">
        <v>1266</v>
      </c>
      <c r="B1053" s="1"/>
      <c r="C1053" s="1" t="s">
        <v>1132</v>
      </c>
      <c r="D1053" s="1">
        <v>119771</v>
      </c>
      <c r="E1053" s="1">
        <v>1057</v>
      </c>
      <c r="F1053" s="1" t="s">
        <v>1601</v>
      </c>
      <c r="G1053" s="1" t="s">
        <v>1599</v>
      </c>
      <c r="H1053" s="1" t="s">
        <v>141</v>
      </c>
      <c r="I1053" s="1" t="s">
        <v>65</v>
      </c>
      <c r="J1053" s="1">
        <v>3</v>
      </c>
      <c r="K1053" s="1" t="s">
        <v>142</v>
      </c>
      <c r="L1053" s="1" t="s">
        <v>153</v>
      </c>
      <c r="M1053" s="1" t="s">
        <v>1256</v>
      </c>
      <c r="N1053" s="1" t="str">
        <f>HYPERLINK("https://klocwork.india.ti.com:443/review/insight-review.html#issuedetails_goto:problemid=119771,project=MCU_PLUS_SDK_AM263X,searchquery=taxonomy:'C and C++' build:Build_Apr_13_2023_11_11_AM grouping:off ","KW Issue Link")</f>
        <v>KW Issue Link</v>
      </c>
      <c r="O1053" s="1" t="s">
        <v>356</v>
      </c>
    </row>
    <row r="1054" spans="1:15" ht="75" x14ac:dyDescent="0.25">
      <c r="A1054" s="1" t="s">
        <v>1268</v>
      </c>
      <c r="B1054" s="1"/>
      <c r="C1054" s="1" t="s">
        <v>1132</v>
      </c>
      <c r="D1054" s="1">
        <v>119772</v>
      </c>
      <c r="E1054" s="1">
        <v>762</v>
      </c>
      <c r="F1054" s="1" t="s">
        <v>1602</v>
      </c>
      <c r="G1054" s="1" t="s">
        <v>1141</v>
      </c>
      <c r="H1054" s="1" t="s">
        <v>141</v>
      </c>
      <c r="I1054" s="1" t="s">
        <v>65</v>
      </c>
      <c r="J1054" s="1">
        <v>3</v>
      </c>
      <c r="K1054" s="1" t="s">
        <v>142</v>
      </c>
      <c r="L1054" s="1" t="s">
        <v>153</v>
      </c>
      <c r="M1054" s="1" t="s">
        <v>1256</v>
      </c>
      <c r="N1054" s="1" t="str">
        <f>HYPERLINK("https://klocwork.india.ti.com:443/review/insight-review.html#issuedetails_goto:problemid=119772,project=MCU_PLUS_SDK_AM263X,searchquery=taxonomy:'C and C++' build:Build_Apr_13_2023_11_11_AM grouping:off ","KW Issue Link")</f>
        <v>KW Issue Link</v>
      </c>
      <c r="O1054" s="1" t="s">
        <v>356</v>
      </c>
    </row>
    <row r="1055" spans="1:15" ht="90" x14ac:dyDescent="0.25">
      <c r="A1055" s="1" t="s">
        <v>1257</v>
      </c>
      <c r="B1055" s="1"/>
      <c r="C1055" s="1" t="s">
        <v>1603</v>
      </c>
      <c r="D1055" s="1">
        <v>119773</v>
      </c>
      <c r="E1055" s="1">
        <v>137</v>
      </c>
      <c r="F1055" s="1" t="s">
        <v>1604</v>
      </c>
      <c r="G1055" s="1" t="s">
        <v>1605</v>
      </c>
      <c r="H1055" s="1" t="s">
        <v>141</v>
      </c>
      <c r="I1055" s="1" t="s">
        <v>65</v>
      </c>
      <c r="J1055" s="1">
        <v>3</v>
      </c>
      <c r="K1055" s="1" t="s">
        <v>142</v>
      </c>
      <c r="L1055" s="1" t="s">
        <v>153</v>
      </c>
      <c r="M1055" s="1" t="s">
        <v>1256</v>
      </c>
      <c r="N1055" s="1" t="str">
        <f>HYPERLINK("https://klocwork.india.ti.com:443/review/insight-review.html#issuedetails_goto:problemid=119773,project=MCU_PLUS_SDK_AM263X,searchquery=taxonomy:'C and C++' build:Build_Apr_13_2023_11_11_AM grouping:off ","KW Issue Link")</f>
        <v>KW Issue Link</v>
      </c>
      <c r="O1055" s="1" t="s">
        <v>356</v>
      </c>
    </row>
    <row r="1056" spans="1:15" ht="90" x14ac:dyDescent="0.25">
      <c r="A1056" s="1" t="s">
        <v>1266</v>
      </c>
      <c r="B1056" s="1"/>
      <c r="C1056" s="1" t="s">
        <v>1603</v>
      </c>
      <c r="D1056" s="1">
        <v>119774</v>
      </c>
      <c r="E1056" s="1">
        <v>137</v>
      </c>
      <c r="F1056" s="1" t="s">
        <v>1606</v>
      </c>
      <c r="G1056" s="1" t="s">
        <v>1605</v>
      </c>
      <c r="H1056" s="1" t="s">
        <v>141</v>
      </c>
      <c r="I1056" s="1" t="s">
        <v>65</v>
      </c>
      <c r="J1056" s="1">
        <v>3</v>
      </c>
      <c r="K1056" s="1" t="s">
        <v>142</v>
      </c>
      <c r="L1056" s="1" t="s">
        <v>153</v>
      </c>
      <c r="M1056" s="1" t="s">
        <v>1256</v>
      </c>
      <c r="N1056" s="1" t="str">
        <f>HYPERLINK("https://klocwork.india.ti.com:443/review/insight-review.html#issuedetails_goto:problemid=119774,project=MCU_PLUS_SDK_AM263X,searchquery=taxonomy:'C and C++' build:Build_Apr_13_2023_11_11_AM grouping:off ","KW Issue Link")</f>
        <v>KW Issue Link</v>
      </c>
      <c r="O1056" s="1" t="s">
        <v>356</v>
      </c>
    </row>
    <row r="1057" spans="1:15" ht="60" x14ac:dyDescent="0.25">
      <c r="A1057" s="1" t="s">
        <v>1252</v>
      </c>
      <c r="B1057" s="1"/>
      <c r="C1057" s="1" t="s">
        <v>1607</v>
      </c>
      <c r="D1057" s="1">
        <v>119775</v>
      </c>
      <c r="E1057" s="1">
        <v>422</v>
      </c>
      <c r="F1057" s="1" t="s">
        <v>1608</v>
      </c>
      <c r="G1057" s="1" t="s">
        <v>1609</v>
      </c>
      <c r="H1057" s="1" t="s">
        <v>141</v>
      </c>
      <c r="I1057" s="1" t="s">
        <v>65</v>
      </c>
      <c r="J1057" s="1">
        <v>3</v>
      </c>
      <c r="K1057" s="1" t="s">
        <v>142</v>
      </c>
      <c r="L1057" s="1" t="s">
        <v>153</v>
      </c>
      <c r="M1057" s="1" t="s">
        <v>1256</v>
      </c>
      <c r="N1057" s="1" t="str">
        <f>HYPERLINK("https://klocwork.india.ti.com:443/review/insight-review.html#issuedetails_goto:problemid=119775,project=MCU_PLUS_SDK_AM263X,searchquery=taxonomy:'C and C++' build:Build_Apr_13_2023_11_11_AM grouping:off ","KW Issue Link")</f>
        <v>KW Issue Link</v>
      </c>
      <c r="O1057" s="1" t="s">
        <v>356</v>
      </c>
    </row>
    <row r="1058" spans="1:15" ht="60" x14ac:dyDescent="0.25">
      <c r="A1058" s="1" t="s">
        <v>1252</v>
      </c>
      <c r="B1058" s="1"/>
      <c r="C1058" s="1" t="s">
        <v>1607</v>
      </c>
      <c r="D1058" s="1">
        <v>119776</v>
      </c>
      <c r="E1058" s="1">
        <v>574</v>
      </c>
      <c r="F1058" s="1" t="s">
        <v>1610</v>
      </c>
      <c r="G1058" s="1" t="s">
        <v>1611</v>
      </c>
      <c r="H1058" s="1" t="s">
        <v>141</v>
      </c>
      <c r="I1058" s="1" t="s">
        <v>65</v>
      </c>
      <c r="J1058" s="1">
        <v>3</v>
      </c>
      <c r="K1058" s="1" t="s">
        <v>142</v>
      </c>
      <c r="L1058" s="1" t="s">
        <v>153</v>
      </c>
      <c r="M1058" s="1" t="s">
        <v>1256</v>
      </c>
      <c r="N1058" s="1" t="str">
        <f>HYPERLINK("https://klocwork.india.ti.com:443/review/insight-review.html#issuedetails_goto:problemid=119776,project=MCU_PLUS_SDK_AM263X,searchquery=taxonomy:'C and C++' build:Build_Apr_13_2023_11_11_AM grouping:off ","KW Issue Link")</f>
        <v>KW Issue Link</v>
      </c>
      <c r="O1058" s="1" t="s">
        <v>356</v>
      </c>
    </row>
    <row r="1059" spans="1:15" ht="60" x14ac:dyDescent="0.25">
      <c r="A1059" s="1" t="s">
        <v>1266</v>
      </c>
      <c r="B1059" s="1"/>
      <c r="C1059" s="1" t="s">
        <v>1607</v>
      </c>
      <c r="D1059" s="1">
        <v>119777</v>
      </c>
      <c r="E1059" s="1">
        <v>487</v>
      </c>
      <c r="F1059" s="1" t="s">
        <v>1612</v>
      </c>
      <c r="G1059" s="1" t="s">
        <v>1613</v>
      </c>
      <c r="H1059" s="1" t="s">
        <v>141</v>
      </c>
      <c r="I1059" s="1" t="s">
        <v>65</v>
      </c>
      <c r="J1059" s="1">
        <v>3</v>
      </c>
      <c r="K1059" s="1" t="s">
        <v>142</v>
      </c>
      <c r="L1059" s="1" t="s">
        <v>153</v>
      </c>
      <c r="M1059" s="1" t="s">
        <v>1256</v>
      </c>
      <c r="N1059" s="1" t="str">
        <f>HYPERLINK("https://klocwork.india.ti.com:443/review/insight-review.html#issuedetails_goto:problemid=119777,project=MCU_PLUS_SDK_AM263X,searchquery=taxonomy:'C and C++' build:Build_Apr_13_2023_11_11_AM grouping:off ","KW Issue Link")</f>
        <v>KW Issue Link</v>
      </c>
      <c r="O1059" s="1" t="s">
        <v>356</v>
      </c>
    </row>
    <row r="1060" spans="1:15" ht="60" x14ac:dyDescent="0.25">
      <c r="A1060" s="1" t="s">
        <v>1266</v>
      </c>
      <c r="B1060" s="1"/>
      <c r="C1060" s="1" t="s">
        <v>1607</v>
      </c>
      <c r="D1060" s="1">
        <v>119778</v>
      </c>
      <c r="E1060" s="1">
        <v>843</v>
      </c>
      <c r="F1060" s="1" t="s">
        <v>1614</v>
      </c>
      <c r="G1060" s="1" t="s">
        <v>1615</v>
      </c>
      <c r="H1060" s="1" t="s">
        <v>141</v>
      </c>
      <c r="I1060" s="1" t="s">
        <v>65</v>
      </c>
      <c r="J1060" s="1">
        <v>3</v>
      </c>
      <c r="K1060" s="1" t="s">
        <v>142</v>
      </c>
      <c r="L1060" s="1" t="s">
        <v>153</v>
      </c>
      <c r="M1060" s="1" t="s">
        <v>1256</v>
      </c>
      <c r="N1060" s="1" t="str">
        <f>HYPERLINK("https://klocwork.india.ti.com:443/review/insight-review.html#issuedetails_goto:problemid=119778,project=MCU_PLUS_SDK_AM263X,searchquery=taxonomy:'C and C++' build:Build_Apr_13_2023_11_11_AM grouping:off ","KW Issue Link")</f>
        <v>KW Issue Link</v>
      </c>
      <c r="O1060" s="1" t="s">
        <v>356</v>
      </c>
    </row>
    <row r="1061" spans="1:15" ht="60" x14ac:dyDescent="0.25">
      <c r="A1061" s="1" t="s">
        <v>1266</v>
      </c>
      <c r="B1061" s="1"/>
      <c r="C1061" s="1" t="s">
        <v>1607</v>
      </c>
      <c r="D1061" s="1">
        <v>119779</v>
      </c>
      <c r="E1061" s="1">
        <v>960</v>
      </c>
      <c r="F1061" s="1" t="s">
        <v>1616</v>
      </c>
      <c r="G1061" s="1" t="s">
        <v>1617</v>
      </c>
      <c r="H1061" s="1" t="s">
        <v>141</v>
      </c>
      <c r="I1061" s="1" t="s">
        <v>65</v>
      </c>
      <c r="J1061" s="1">
        <v>3</v>
      </c>
      <c r="K1061" s="1" t="s">
        <v>142</v>
      </c>
      <c r="L1061" s="1" t="s">
        <v>153</v>
      </c>
      <c r="M1061" s="1" t="s">
        <v>1256</v>
      </c>
      <c r="N1061" s="1" t="str">
        <f>HYPERLINK("https://klocwork.india.ti.com:443/review/insight-review.html#issuedetails_goto:problemid=119779,project=MCU_PLUS_SDK_AM263X,searchquery=taxonomy:'C and C++' build:Build_Apr_13_2023_11_11_AM grouping:off ","KW Issue Link")</f>
        <v>KW Issue Link</v>
      </c>
      <c r="O1061" s="1" t="s">
        <v>356</v>
      </c>
    </row>
    <row r="1062" spans="1:15" ht="60" x14ac:dyDescent="0.25">
      <c r="A1062" s="1" t="s">
        <v>1268</v>
      </c>
      <c r="B1062" s="1"/>
      <c r="C1062" s="1" t="s">
        <v>1607</v>
      </c>
      <c r="D1062" s="1">
        <v>119780</v>
      </c>
      <c r="E1062" s="1">
        <v>487</v>
      </c>
      <c r="F1062" s="1" t="s">
        <v>1618</v>
      </c>
      <c r="G1062" s="1" t="s">
        <v>1613</v>
      </c>
      <c r="H1062" s="1" t="s">
        <v>141</v>
      </c>
      <c r="I1062" s="1" t="s">
        <v>65</v>
      </c>
      <c r="J1062" s="1">
        <v>3</v>
      </c>
      <c r="K1062" s="1" t="s">
        <v>142</v>
      </c>
      <c r="L1062" s="1" t="s">
        <v>153</v>
      </c>
      <c r="M1062" s="1" t="s">
        <v>1256</v>
      </c>
      <c r="N1062" s="1" t="str">
        <f>HYPERLINK("https://klocwork.india.ti.com:443/review/insight-review.html#issuedetails_goto:problemid=119780,project=MCU_PLUS_SDK_AM263X,searchquery=taxonomy:'C and C++' build:Build_Apr_13_2023_11_11_AM grouping:off ","KW Issue Link")</f>
        <v>KW Issue Link</v>
      </c>
      <c r="O1062" s="1" t="s">
        <v>356</v>
      </c>
    </row>
    <row r="1063" spans="1:15" ht="60" x14ac:dyDescent="0.25">
      <c r="A1063" s="1" t="s">
        <v>1268</v>
      </c>
      <c r="B1063" s="1"/>
      <c r="C1063" s="1" t="s">
        <v>1607</v>
      </c>
      <c r="D1063" s="1">
        <v>119781</v>
      </c>
      <c r="E1063" s="1">
        <v>843</v>
      </c>
      <c r="F1063" s="1" t="s">
        <v>1619</v>
      </c>
      <c r="G1063" s="1" t="s">
        <v>1615</v>
      </c>
      <c r="H1063" s="1" t="s">
        <v>141</v>
      </c>
      <c r="I1063" s="1" t="s">
        <v>65</v>
      </c>
      <c r="J1063" s="1">
        <v>3</v>
      </c>
      <c r="K1063" s="1" t="s">
        <v>142</v>
      </c>
      <c r="L1063" s="1" t="s">
        <v>153</v>
      </c>
      <c r="M1063" s="1" t="s">
        <v>1256</v>
      </c>
      <c r="N1063" s="1" t="str">
        <f>HYPERLINK("https://klocwork.india.ti.com:443/review/insight-review.html#issuedetails_goto:problemid=119781,project=MCU_PLUS_SDK_AM263X,searchquery=taxonomy:'C and C++' build:Build_Apr_13_2023_11_11_AM grouping:off ","KW Issue Link")</f>
        <v>KW Issue Link</v>
      </c>
      <c r="O1063" s="1" t="s">
        <v>356</v>
      </c>
    </row>
    <row r="1064" spans="1:15" ht="60" x14ac:dyDescent="0.25">
      <c r="A1064" s="1" t="s">
        <v>1257</v>
      </c>
      <c r="B1064" s="1"/>
      <c r="C1064" s="1" t="s">
        <v>1607</v>
      </c>
      <c r="D1064" s="1">
        <v>119782</v>
      </c>
      <c r="E1064" s="1">
        <v>687</v>
      </c>
      <c r="F1064" s="1" t="s">
        <v>1620</v>
      </c>
      <c r="G1064" s="1" t="s">
        <v>1621</v>
      </c>
      <c r="H1064" s="1" t="s">
        <v>141</v>
      </c>
      <c r="I1064" s="1" t="s">
        <v>65</v>
      </c>
      <c r="J1064" s="1">
        <v>3</v>
      </c>
      <c r="K1064" s="1" t="s">
        <v>142</v>
      </c>
      <c r="L1064" s="1" t="s">
        <v>153</v>
      </c>
      <c r="M1064" s="1" t="s">
        <v>1256</v>
      </c>
      <c r="N1064" s="1" t="str">
        <f>HYPERLINK("https://klocwork.india.ti.com:443/review/insight-review.html#issuedetails_goto:problemid=119782,project=MCU_PLUS_SDK_AM263X,searchquery=taxonomy:'C and C++' build:Build_Apr_13_2023_11_11_AM grouping:off ","KW Issue Link")</f>
        <v>KW Issue Link</v>
      </c>
      <c r="O1064" s="1" t="s">
        <v>356</v>
      </c>
    </row>
    <row r="1065" spans="1:15" ht="60" x14ac:dyDescent="0.25">
      <c r="A1065" s="1" t="s">
        <v>1257</v>
      </c>
      <c r="B1065" s="1"/>
      <c r="C1065" s="1" t="s">
        <v>1607</v>
      </c>
      <c r="D1065" s="1">
        <v>119783</v>
      </c>
      <c r="E1065" s="1">
        <v>795</v>
      </c>
      <c r="F1065" s="1" t="s">
        <v>1622</v>
      </c>
      <c r="G1065" s="1" t="s">
        <v>1623</v>
      </c>
      <c r="H1065" s="1" t="s">
        <v>141</v>
      </c>
      <c r="I1065" s="1" t="s">
        <v>65</v>
      </c>
      <c r="J1065" s="1">
        <v>3</v>
      </c>
      <c r="K1065" s="1" t="s">
        <v>142</v>
      </c>
      <c r="L1065" s="1" t="s">
        <v>153</v>
      </c>
      <c r="M1065" s="1" t="s">
        <v>1256</v>
      </c>
      <c r="N1065" s="1" t="str">
        <f>HYPERLINK("https://klocwork.india.ti.com:443/review/insight-review.html#issuedetails_goto:problemid=119783,project=MCU_PLUS_SDK_AM263X,searchquery=taxonomy:'C and C++' build:Build_Apr_13_2023_11_11_AM grouping:off ","KW Issue Link")</f>
        <v>KW Issue Link</v>
      </c>
      <c r="O1065" s="1" t="s">
        <v>356</v>
      </c>
    </row>
    <row r="1066" spans="1:15" ht="60" x14ac:dyDescent="0.25">
      <c r="A1066" s="1" t="s">
        <v>1257</v>
      </c>
      <c r="B1066" s="1"/>
      <c r="C1066" s="1" t="s">
        <v>1607</v>
      </c>
      <c r="D1066" s="1">
        <v>119784</v>
      </c>
      <c r="E1066" s="1">
        <v>843</v>
      </c>
      <c r="F1066" s="1" t="s">
        <v>1624</v>
      </c>
      <c r="G1066" s="1" t="s">
        <v>1615</v>
      </c>
      <c r="H1066" s="1" t="s">
        <v>141</v>
      </c>
      <c r="I1066" s="1" t="s">
        <v>65</v>
      </c>
      <c r="J1066" s="1">
        <v>3</v>
      </c>
      <c r="K1066" s="1" t="s">
        <v>142</v>
      </c>
      <c r="L1066" s="1" t="s">
        <v>153</v>
      </c>
      <c r="M1066" s="1" t="s">
        <v>1256</v>
      </c>
      <c r="N1066" s="1" t="str">
        <f>HYPERLINK("https://klocwork.india.ti.com:443/review/insight-review.html#issuedetails_goto:problemid=119784,project=MCU_PLUS_SDK_AM263X,searchquery=taxonomy:'C and C++' build:Build_Apr_13_2023_11_11_AM grouping:off ","KW Issue Link")</f>
        <v>KW Issue Link</v>
      </c>
      <c r="O1066" s="1" t="s">
        <v>356</v>
      </c>
    </row>
    <row r="1067" spans="1:15" ht="60" x14ac:dyDescent="0.25">
      <c r="A1067" s="1" t="s">
        <v>1257</v>
      </c>
      <c r="B1067" s="1"/>
      <c r="C1067" s="1" t="s">
        <v>1607</v>
      </c>
      <c r="D1067" s="1">
        <v>119785</v>
      </c>
      <c r="E1067" s="1">
        <v>918</v>
      </c>
      <c r="F1067" s="1" t="s">
        <v>1625</v>
      </c>
      <c r="G1067" s="1" t="s">
        <v>1626</v>
      </c>
      <c r="H1067" s="1" t="s">
        <v>141</v>
      </c>
      <c r="I1067" s="1" t="s">
        <v>65</v>
      </c>
      <c r="J1067" s="1">
        <v>3</v>
      </c>
      <c r="K1067" s="1" t="s">
        <v>142</v>
      </c>
      <c r="L1067" s="1" t="s">
        <v>153</v>
      </c>
      <c r="M1067" s="1" t="s">
        <v>1256</v>
      </c>
      <c r="N1067" s="1" t="str">
        <f>HYPERLINK("https://klocwork.india.ti.com:443/review/insight-review.html#issuedetails_goto:problemid=119785,project=MCU_PLUS_SDK_AM263X,searchquery=taxonomy:'C and C++' build:Build_Apr_13_2023_11_11_AM grouping:off ","KW Issue Link")</f>
        <v>KW Issue Link</v>
      </c>
      <c r="O1067" s="1" t="s">
        <v>356</v>
      </c>
    </row>
    <row r="1068" spans="1:15" ht="60" x14ac:dyDescent="0.25">
      <c r="A1068" s="1" t="s">
        <v>1266</v>
      </c>
      <c r="B1068" s="1"/>
      <c r="C1068" s="1" t="s">
        <v>362</v>
      </c>
      <c r="D1068" s="1">
        <v>119786</v>
      </c>
      <c r="E1068" s="1">
        <v>401</v>
      </c>
      <c r="F1068" s="1" t="s">
        <v>1627</v>
      </c>
      <c r="G1068" s="1" t="s">
        <v>1628</v>
      </c>
      <c r="H1068" s="1" t="s">
        <v>141</v>
      </c>
      <c r="I1068" s="1" t="s">
        <v>65</v>
      </c>
      <c r="J1068" s="1">
        <v>3</v>
      </c>
      <c r="K1068" s="1" t="s">
        <v>142</v>
      </c>
      <c r="L1068" s="1" t="s">
        <v>153</v>
      </c>
      <c r="M1068" s="1" t="s">
        <v>1256</v>
      </c>
      <c r="N1068" s="1" t="str">
        <f>HYPERLINK("https://klocwork.india.ti.com:443/review/insight-review.html#issuedetails_goto:problemid=119786,project=MCU_PLUS_SDK_AM263X,searchquery=taxonomy:'C and C++' build:Build_Apr_13_2023_11_11_AM grouping:off ","KW Issue Link")</f>
        <v>KW Issue Link</v>
      </c>
      <c r="O1068" s="1" t="s">
        <v>356</v>
      </c>
    </row>
    <row r="1069" spans="1:15" ht="60" x14ac:dyDescent="0.25">
      <c r="A1069" s="1" t="s">
        <v>1266</v>
      </c>
      <c r="B1069" s="1"/>
      <c r="C1069" s="1" t="s">
        <v>362</v>
      </c>
      <c r="D1069" s="1">
        <v>119787</v>
      </c>
      <c r="E1069" s="1">
        <v>783</v>
      </c>
      <c r="F1069" s="1" t="s">
        <v>1629</v>
      </c>
      <c r="G1069" s="1" t="s">
        <v>1630</v>
      </c>
      <c r="H1069" s="1" t="s">
        <v>141</v>
      </c>
      <c r="I1069" s="1" t="s">
        <v>65</v>
      </c>
      <c r="J1069" s="1">
        <v>3</v>
      </c>
      <c r="K1069" s="1" t="s">
        <v>142</v>
      </c>
      <c r="L1069" s="1" t="s">
        <v>153</v>
      </c>
      <c r="M1069" s="1" t="s">
        <v>1256</v>
      </c>
      <c r="N1069" s="1" t="str">
        <f>HYPERLINK("https://klocwork.india.ti.com:443/review/insight-review.html#issuedetails_goto:problemid=119787,project=MCU_PLUS_SDK_AM263X,searchquery=taxonomy:'C and C++' build:Build_Apr_13_2023_11_11_AM grouping:off ","KW Issue Link")</f>
        <v>KW Issue Link</v>
      </c>
      <c r="O1069" s="1" t="s">
        <v>356</v>
      </c>
    </row>
    <row r="1070" spans="1:15" ht="60" x14ac:dyDescent="0.25">
      <c r="A1070" s="1" t="s">
        <v>1268</v>
      </c>
      <c r="B1070" s="1"/>
      <c r="C1070" s="1" t="s">
        <v>362</v>
      </c>
      <c r="D1070" s="1">
        <v>119788</v>
      </c>
      <c r="E1070" s="1">
        <v>401</v>
      </c>
      <c r="F1070" s="1" t="s">
        <v>1631</v>
      </c>
      <c r="G1070" s="1" t="s">
        <v>1628</v>
      </c>
      <c r="H1070" s="1" t="s">
        <v>141</v>
      </c>
      <c r="I1070" s="1" t="s">
        <v>65</v>
      </c>
      <c r="J1070" s="1">
        <v>3</v>
      </c>
      <c r="K1070" s="1" t="s">
        <v>142</v>
      </c>
      <c r="L1070" s="1" t="s">
        <v>153</v>
      </c>
      <c r="M1070" s="1" t="s">
        <v>1256</v>
      </c>
      <c r="N1070" s="1" t="str">
        <f>HYPERLINK("https://klocwork.india.ti.com:443/review/insight-review.html#issuedetails_goto:problemid=119788,project=MCU_PLUS_SDK_AM263X,searchquery=taxonomy:'C and C++' build:Build_Apr_13_2023_11_11_AM grouping:off ","KW Issue Link")</f>
        <v>KW Issue Link</v>
      </c>
      <c r="O1070" s="1" t="s">
        <v>356</v>
      </c>
    </row>
    <row r="1071" spans="1:15" ht="75" x14ac:dyDescent="0.25">
      <c r="A1071" s="1" t="s">
        <v>1266</v>
      </c>
      <c r="B1071" s="1"/>
      <c r="C1071" s="1" t="s">
        <v>1142</v>
      </c>
      <c r="D1071" s="1">
        <v>119789</v>
      </c>
      <c r="E1071" s="1">
        <v>214</v>
      </c>
      <c r="F1071" s="1" t="s">
        <v>1632</v>
      </c>
      <c r="G1071" s="1" t="s">
        <v>1633</v>
      </c>
      <c r="H1071" s="1" t="s">
        <v>141</v>
      </c>
      <c r="I1071" s="1" t="s">
        <v>65</v>
      </c>
      <c r="J1071" s="1">
        <v>3</v>
      </c>
      <c r="K1071" s="1" t="s">
        <v>142</v>
      </c>
      <c r="L1071" s="1" t="s">
        <v>153</v>
      </c>
      <c r="M1071" s="1" t="s">
        <v>1256</v>
      </c>
      <c r="N1071" s="1" t="str">
        <f>HYPERLINK("https://klocwork.india.ti.com:443/review/insight-review.html#issuedetails_goto:problemid=119789,project=MCU_PLUS_SDK_AM263X,searchquery=taxonomy:'C and C++' build:Build_Apr_13_2023_11_11_AM grouping:off ","KW Issue Link")</f>
        <v>KW Issue Link</v>
      </c>
      <c r="O1071" s="1" t="s">
        <v>356</v>
      </c>
    </row>
    <row r="1072" spans="1:15" ht="75" x14ac:dyDescent="0.25">
      <c r="A1072" s="1" t="s">
        <v>1266</v>
      </c>
      <c r="B1072" s="1"/>
      <c r="C1072" s="1" t="s">
        <v>1142</v>
      </c>
      <c r="D1072" s="1">
        <v>119790</v>
      </c>
      <c r="E1072" s="1">
        <v>549</v>
      </c>
      <c r="F1072" s="1" t="s">
        <v>1634</v>
      </c>
      <c r="G1072" s="1" t="s">
        <v>1635</v>
      </c>
      <c r="H1072" s="1" t="s">
        <v>141</v>
      </c>
      <c r="I1072" s="1" t="s">
        <v>65</v>
      </c>
      <c r="J1072" s="1">
        <v>3</v>
      </c>
      <c r="K1072" s="1" t="s">
        <v>142</v>
      </c>
      <c r="L1072" s="1" t="s">
        <v>153</v>
      </c>
      <c r="M1072" s="1" t="s">
        <v>1256</v>
      </c>
      <c r="N1072" s="1" t="str">
        <f>HYPERLINK("https://klocwork.india.ti.com:443/review/insight-review.html#issuedetails_goto:problemid=119790,project=MCU_PLUS_SDK_AM263X,searchquery=taxonomy:'C and C++' build:Build_Apr_13_2023_11_11_AM grouping:off ","KW Issue Link")</f>
        <v>KW Issue Link</v>
      </c>
      <c r="O1072" s="1" t="s">
        <v>356</v>
      </c>
    </row>
    <row r="1073" spans="1:15" ht="75" x14ac:dyDescent="0.25">
      <c r="A1073" s="1" t="s">
        <v>1266</v>
      </c>
      <c r="B1073" s="1"/>
      <c r="C1073" s="1" t="s">
        <v>1142</v>
      </c>
      <c r="D1073" s="1">
        <v>119791</v>
      </c>
      <c r="E1073" s="1">
        <v>636</v>
      </c>
      <c r="F1073" s="1" t="s">
        <v>1636</v>
      </c>
      <c r="G1073" s="1" t="s">
        <v>1145</v>
      </c>
      <c r="H1073" s="1" t="s">
        <v>141</v>
      </c>
      <c r="I1073" s="1" t="s">
        <v>65</v>
      </c>
      <c r="J1073" s="1">
        <v>3</v>
      </c>
      <c r="K1073" s="1" t="s">
        <v>142</v>
      </c>
      <c r="L1073" s="1" t="s">
        <v>153</v>
      </c>
      <c r="M1073" s="1" t="s">
        <v>1256</v>
      </c>
      <c r="N1073" s="1" t="str">
        <f>HYPERLINK("https://klocwork.india.ti.com:443/review/insight-review.html#issuedetails_goto:problemid=119791,project=MCU_PLUS_SDK_AM263X,searchquery=taxonomy:'C and C++' build:Build_Apr_13_2023_11_11_AM grouping:off ","KW Issue Link")</f>
        <v>KW Issue Link</v>
      </c>
      <c r="O1073" s="1" t="s">
        <v>356</v>
      </c>
    </row>
    <row r="1074" spans="1:15" ht="75" x14ac:dyDescent="0.25">
      <c r="A1074" s="1" t="s">
        <v>1268</v>
      </c>
      <c r="B1074" s="1"/>
      <c r="C1074" s="1" t="s">
        <v>1142</v>
      </c>
      <c r="D1074" s="1">
        <v>119792</v>
      </c>
      <c r="E1074" s="1">
        <v>214</v>
      </c>
      <c r="F1074" s="1" t="s">
        <v>1637</v>
      </c>
      <c r="G1074" s="1" t="s">
        <v>1633</v>
      </c>
      <c r="H1074" s="1" t="s">
        <v>141</v>
      </c>
      <c r="I1074" s="1" t="s">
        <v>65</v>
      </c>
      <c r="J1074" s="1">
        <v>3</v>
      </c>
      <c r="K1074" s="1" t="s">
        <v>142</v>
      </c>
      <c r="L1074" s="1" t="s">
        <v>153</v>
      </c>
      <c r="M1074" s="1" t="s">
        <v>1256</v>
      </c>
      <c r="N1074" s="1" t="str">
        <f>HYPERLINK("https://klocwork.india.ti.com:443/review/insight-review.html#issuedetails_goto:problemid=119792,project=MCU_PLUS_SDK_AM263X,searchquery=taxonomy:'C and C++' build:Build_Apr_13_2023_11_11_AM grouping:off ","KW Issue Link")</f>
        <v>KW Issue Link</v>
      </c>
      <c r="O1074" s="1" t="s">
        <v>356</v>
      </c>
    </row>
    <row r="1075" spans="1:15" ht="75" x14ac:dyDescent="0.25">
      <c r="A1075" s="1" t="s">
        <v>1257</v>
      </c>
      <c r="B1075" s="1"/>
      <c r="C1075" s="1" t="s">
        <v>1142</v>
      </c>
      <c r="D1075" s="1">
        <v>119793</v>
      </c>
      <c r="E1075" s="1">
        <v>549</v>
      </c>
      <c r="F1075" s="1" t="s">
        <v>1638</v>
      </c>
      <c r="G1075" s="1" t="s">
        <v>1635</v>
      </c>
      <c r="H1075" s="1" t="s">
        <v>141</v>
      </c>
      <c r="I1075" s="1" t="s">
        <v>65</v>
      </c>
      <c r="J1075" s="1">
        <v>3</v>
      </c>
      <c r="K1075" s="1" t="s">
        <v>142</v>
      </c>
      <c r="L1075" s="1" t="s">
        <v>153</v>
      </c>
      <c r="M1075" s="1" t="s">
        <v>1256</v>
      </c>
      <c r="N1075" s="1" t="str">
        <f>HYPERLINK("https://klocwork.india.ti.com:443/review/insight-review.html#issuedetails_goto:problemid=119793,project=MCU_PLUS_SDK_AM263X,searchquery=taxonomy:'C and C++' build:Build_Apr_13_2023_11_11_AM grouping:off ","KW Issue Link")</f>
        <v>KW Issue Link</v>
      </c>
      <c r="O1075" s="1" t="s">
        <v>356</v>
      </c>
    </row>
    <row r="1076" spans="1:15" ht="75" x14ac:dyDescent="0.25">
      <c r="A1076" s="1" t="s">
        <v>1257</v>
      </c>
      <c r="B1076" s="1"/>
      <c r="C1076" s="1" t="s">
        <v>1639</v>
      </c>
      <c r="D1076" s="1">
        <v>119794</v>
      </c>
      <c r="E1076" s="1">
        <v>1119</v>
      </c>
      <c r="F1076" s="1" t="s">
        <v>1640</v>
      </c>
      <c r="G1076" s="1" t="s">
        <v>1641</v>
      </c>
      <c r="H1076" s="1" t="s">
        <v>141</v>
      </c>
      <c r="I1076" s="1" t="s">
        <v>65</v>
      </c>
      <c r="J1076" s="1">
        <v>3</v>
      </c>
      <c r="K1076" s="1" t="s">
        <v>142</v>
      </c>
      <c r="L1076" s="1" t="s">
        <v>153</v>
      </c>
      <c r="M1076" s="1" t="s">
        <v>1256</v>
      </c>
      <c r="N1076" s="1" t="str">
        <f>HYPERLINK("https://klocwork.india.ti.com:443/review/insight-review.html#issuedetails_goto:problemid=119794,project=MCU_PLUS_SDK_AM263X,searchquery=taxonomy:'C and C++' build:Build_Apr_13_2023_11_11_AM grouping:off ","KW Issue Link")</f>
        <v>KW Issue Link</v>
      </c>
      <c r="O1076" s="1" t="s">
        <v>356</v>
      </c>
    </row>
    <row r="1077" spans="1:15" ht="75" x14ac:dyDescent="0.25">
      <c r="A1077" s="1" t="s">
        <v>1266</v>
      </c>
      <c r="B1077" s="1"/>
      <c r="C1077" s="1" t="s">
        <v>1639</v>
      </c>
      <c r="D1077" s="1">
        <v>119795</v>
      </c>
      <c r="E1077" s="1">
        <v>1119</v>
      </c>
      <c r="F1077" s="1" t="s">
        <v>1642</v>
      </c>
      <c r="G1077" s="1" t="s">
        <v>1641</v>
      </c>
      <c r="H1077" s="1" t="s">
        <v>141</v>
      </c>
      <c r="I1077" s="1" t="s">
        <v>65</v>
      </c>
      <c r="J1077" s="1">
        <v>3</v>
      </c>
      <c r="K1077" s="1" t="s">
        <v>142</v>
      </c>
      <c r="L1077" s="1" t="s">
        <v>153</v>
      </c>
      <c r="M1077" s="1" t="s">
        <v>1256</v>
      </c>
      <c r="N1077" s="1" t="str">
        <f>HYPERLINK("https://klocwork.india.ti.com:443/review/insight-review.html#issuedetails_goto:problemid=119795,project=MCU_PLUS_SDK_AM263X,searchquery=taxonomy:'C and C++' build:Build_Apr_13_2023_11_11_AM grouping:off ","KW Issue Link")</f>
        <v>KW Issue Link</v>
      </c>
      <c r="O1077" s="1" t="s">
        <v>356</v>
      </c>
    </row>
    <row r="1078" spans="1:15" ht="75" x14ac:dyDescent="0.25">
      <c r="A1078" s="1" t="s">
        <v>1266</v>
      </c>
      <c r="B1078" s="1"/>
      <c r="C1078" s="1" t="s">
        <v>1639</v>
      </c>
      <c r="D1078" s="1">
        <v>119796</v>
      </c>
      <c r="E1078" s="1">
        <v>1239</v>
      </c>
      <c r="F1078" s="1" t="s">
        <v>1643</v>
      </c>
      <c r="G1078" s="1" t="s">
        <v>1644</v>
      </c>
      <c r="H1078" s="1" t="s">
        <v>141</v>
      </c>
      <c r="I1078" s="1" t="s">
        <v>65</v>
      </c>
      <c r="J1078" s="1">
        <v>3</v>
      </c>
      <c r="K1078" s="1" t="s">
        <v>142</v>
      </c>
      <c r="L1078" s="1" t="s">
        <v>153</v>
      </c>
      <c r="M1078" s="1" t="s">
        <v>1256</v>
      </c>
      <c r="N1078" s="1" t="str">
        <f>HYPERLINK("https://klocwork.india.ti.com:443/review/insight-review.html#issuedetails_goto:problemid=119796,project=MCU_PLUS_SDK_AM263X,searchquery=taxonomy:'C and C++' build:Build_Apr_13_2023_11_11_AM grouping:off ","KW Issue Link")</f>
        <v>KW Issue Link</v>
      </c>
      <c r="O1078" s="1" t="s">
        <v>356</v>
      </c>
    </row>
    <row r="1079" spans="1:15" ht="75" x14ac:dyDescent="0.25">
      <c r="A1079" s="1" t="s">
        <v>1268</v>
      </c>
      <c r="B1079" s="1"/>
      <c r="C1079" s="1" t="s">
        <v>1639</v>
      </c>
      <c r="D1079" s="1">
        <v>119797</v>
      </c>
      <c r="E1079" s="1">
        <v>1119</v>
      </c>
      <c r="F1079" s="1" t="s">
        <v>1645</v>
      </c>
      <c r="G1079" s="1" t="s">
        <v>1641</v>
      </c>
      <c r="H1079" s="1" t="s">
        <v>141</v>
      </c>
      <c r="I1079" s="1" t="s">
        <v>65</v>
      </c>
      <c r="J1079" s="1">
        <v>3</v>
      </c>
      <c r="K1079" s="1" t="s">
        <v>142</v>
      </c>
      <c r="L1079" s="1" t="s">
        <v>153</v>
      </c>
      <c r="M1079" s="1" t="s">
        <v>1256</v>
      </c>
      <c r="N1079" s="1" t="str">
        <f>HYPERLINK("https://klocwork.india.ti.com:443/review/insight-review.html#issuedetails_goto:problemid=119797,project=MCU_PLUS_SDK_AM263X,searchquery=taxonomy:'C and C++' build:Build_Apr_13_2023_11_11_AM grouping:off ","KW Issue Link")</f>
        <v>KW Issue Link</v>
      </c>
      <c r="O1079" s="1" t="s">
        <v>356</v>
      </c>
    </row>
    <row r="1080" spans="1:15" ht="75" x14ac:dyDescent="0.25">
      <c r="A1080" s="1" t="s">
        <v>1268</v>
      </c>
      <c r="B1080" s="1"/>
      <c r="C1080" s="1" t="s">
        <v>1646</v>
      </c>
      <c r="D1080" s="1">
        <v>119798</v>
      </c>
      <c r="E1080" s="1">
        <v>249</v>
      </c>
      <c r="F1080" s="1" t="s">
        <v>1647</v>
      </c>
      <c r="G1080" s="1" t="s">
        <v>1648</v>
      </c>
      <c r="H1080" s="1" t="s">
        <v>141</v>
      </c>
      <c r="I1080" s="1" t="s">
        <v>65</v>
      </c>
      <c r="J1080" s="1">
        <v>3</v>
      </c>
      <c r="K1080" s="1" t="s">
        <v>142</v>
      </c>
      <c r="L1080" s="1" t="s">
        <v>153</v>
      </c>
      <c r="M1080" s="1" t="s">
        <v>1256</v>
      </c>
      <c r="N1080" s="1" t="str">
        <f>HYPERLINK("https://klocwork.india.ti.com:443/review/insight-review.html#issuedetails_goto:problemid=119798,project=MCU_PLUS_SDK_AM263X,searchquery=taxonomy:'C and C++' build:Build_Apr_13_2023_11_11_AM grouping:off ","KW Issue Link")</f>
        <v>KW Issue Link</v>
      </c>
      <c r="O1080" s="1" t="s">
        <v>356</v>
      </c>
    </row>
    <row r="1081" spans="1:15" ht="60" x14ac:dyDescent="0.25">
      <c r="A1081" s="1" t="s">
        <v>1266</v>
      </c>
      <c r="B1081" s="1"/>
      <c r="C1081" s="1" t="s">
        <v>1192</v>
      </c>
      <c r="D1081" s="1">
        <v>119799</v>
      </c>
      <c r="E1081" s="1">
        <v>124</v>
      </c>
      <c r="F1081" s="1" t="s">
        <v>1649</v>
      </c>
      <c r="G1081" s="1" t="s">
        <v>1194</v>
      </c>
      <c r="H1081" s="1" t="s">
        <v>141</v>
      </c>
      <c r="I1081" s="1" t="s">
        <v>65</v>
      </c>
      <c r="J1081" s="1">
        <v>3</v>
      </c>
      <c r="K1081" s="1" t="s">
        <v>142</v>
      </c>
      <c r="L1081" s="1" t="s">
        <v>153</v>
      </c>
      <c r="M1081" s="1" t="s">
        <v>1256</v>
      </c>
      <c r="N1081" s="1" t="str">
        <f>HYPERLINK("https://klocwork.india.ti.com:443/review/insight-review.html#issuedetails_goto:problemid=119799,project=MCU_PLUS_SDK_AM263X,searchquery=taxonomy:'C and C++' build:Build_Apr_13_2023_11_11_AM grouping:off ","KW Issue Link")</f>
        <v>KW Issue Link</v>
      </c>
      <c r="O1081" s="1" t="s">
        <v>1083</v>
      </c>
    </row>
    <row r="1082" spans="1:15" ht="75" x14ac:dyDescent="0.25">
      <c r="A1082" s="1" t="s">
        <v>1266</v>
      </c>
      <c r="B1082" s="1"/>
      <c r="C1082" s="1" t="s">
        <v>1650</v>
      </c>
      <c r="D1082" s="1">
        <v>119800</v>
      </c>
      <c r="E1082" s="1">
        <v>7403</v>
      </c>
      <c r="F1082" s="1" t="s">
        <v>1651</v>
      </c>
      <c r="G1082" s="1" t="s">
        <v>1652</v>
      </c>
      <c r="H1082" s="1" t="s">
        <v>141</v>
      </c>
      <c r="I1082" s="1" t="s">
        <v>65</v>
      </c>
      <c r="J1082" s="1">
        <v>3</v>
      </c>
      <c r="K1082" s="1" t="s">
        <v>142</v>
      </c>
      <c r="L1082" s="1" t="s">
        <v>153</v>
      </c>
      <c r="M1082" s="1" t="s">
        <v>1256</v>
      </c>
      <c r="N1082" s="1" t="str">
        <f>HYPERLINK("https://klocwork.india.ti.com:443/review/insight-review.html#issuedetails_goto:problemid=119800,project=MCU_PLUS_SDK_AM263X,searchquery=taxonomy:'C and C++' build:Build_Apr_13_2023_11_11_AM grouping:off ","KW Issue Link")</f>
        <v>KW Issue Link</v>
      </c>
      <c r="O1082" s="1" t="s">
        <v>356</v>
      </c>
    </row>
    <row r="1083" spans="1:15" ht="75" x14ac:dyDescent="0.25">
      <c r="A1083" s="1" t="s">
        <v>1266</v>
      </c>
      <c r="B1083" s="1"/>
      <c r="C1083" s="1" t="s">
        <v>1650</v>
      </c>
      <c r="D1083" s="1">
        <v>119801</v>
      </c>
      <c r="E1083" s="1">
        <v>7603</v>
      </c>
      <c r="F1083" s="1" t="s">
        <v>1653</v>
      </c>
      <c r="G1083" s="1" t="s">
        <v>1654</v>
      </c>
      <c r="H1083" s="1" t="s">
        <v>141</v>
      </c>
      <c r="I1083" s="1" t="s">
        <v>65</v>
      </c>
      <c r="J1083" s="1">
        <v>3</v>
      </c>
      <c r="K1083" s="1" t="s">
        <v>142</v>
      </c>
      <c r="L1083" s="1" t="s">
        <v>153</v>
      </c>
      <c r="M1083" s="1" t="s">
        <v>1256</v>
      </c>
      <c r="N1083" s="1" t="str">
        <f>HYPERLINK("https://klocwork.india.ti.com:443/review/insight-review.html#issuedetails_goto:problemid=119801,project=MCU_PLUS_SDK_AM263X,searchquery=taxonomy:'C and C++' build:Build_Apr_13_2023_11_11_AM grouping:off ","KW Issue Link")</f>
        <v>KW Issue Link</v>
      </c>
      <c r="O1083" s="1" t="s">
        <v>356</v>
      </c>
    </row>
    <row r="1084" spans="1:15" ht="75" x14ac:dyDescent="0.25">
      <c r="A1084" s="1" t="s">
        <v>1268</v>
      </c>
      <c r="B1084" s="1"/>
      <c r="C1084" s="1" t="s">
        <v>1650</v>
      </c>
      <c r="D1084" s="1">
        <v>119802</v>
      </c>
      <c r="E1084" s="1">
        <v>7403</v>
      </c>
      <c r="F1084" s="1" t="s">
        <v>1655</v>
      </c>
      <c r="G1084" s="1" t="s">
        <v>1652</v>
      </c>
      <c r="H1084" s="1" t="s">
        <v>141</v>
      </c>
      <c r="I1084" s="1" t="s">
        <v>65</v>
      </c>
      <c r="J1084" s="1">
        <v>3</v>
      </c>
      <c r="K1084" s="1" t="s">
        <v>142</v>
      </c>
      <c r="L1084" s="1" t="s">
        <v>153</v>
      </c>
      <c r="M1084" s="1" t="s">
        <v>1256</v>
      </c>
      <c r="N1084" s="1" t="str">
        <f>HYPERLINK("https://klocwork.india.ti.com:443/review/insight-review.html#issuedetails_goto:problemid=119802,project=MCU_PLUS_SDK_AM263X,searchquery=taxonomy:'C and C++' build:Build_Apr_13_2023_11_11_AM grouping:off ","KW Issue Link")</f>
        <v>KW Issue Link</v>
      </c>
      <c r="O1084" s="1" t="s">
        <v>356</v>
      </c>
    </row>
    <row r="1085" spans="1:15" ht="75" x14ac:dyDescent="0.25">
      <c r="A1085" s="1" t="s">
        <v>1268</v>
      </c>
      <c r="B1085" s="1"/>
      <c r="C1085" s="1" t="s">
        <v>1650</v>
      </c>
      <c r="D1085" s="1">
        <v>119803</v>
      </c>
      <c r="E1085" s="1">
        <v>7603</v>
      </c>
      <c r="F1085" s="1" t="s">
        <v>1656</v>
      </c>
      <c r="G1085" s="1" t="s">
        <v>1654</v>
      </c>
      <c r="H1085" s="1" t="s">
        <v>141</v>
      </c>
      <c r="I1085" s="1" t="s">
        <v>65</v>
      </c>
      <c r="J1085" s="1">
        <v>3</v>
      </c>
      <c r="K1085" s="1" t="s">
        <v>142</v>
      </c>
      <c r="L1085" s="1" t="s">
        <v>153</v>
      </c>
      <c r="M1085" s="1" t="s">
        <v>1256</v>
      </c>
      <c r="N1085" s="1" t="str">
        <f>HYPERLINK("https://klocwork.india.ti.com:443/review/insight-review.html#issuedetails_goto:problemid=119803,project=MCU_PLUS_SDK_AM263X,searchquery=taxonomy:'C and C++' build:Build_Apr_13_2023_11_11_AM grouping:off ","KW Issue Link")</f>
        <v>KW Issue Link</v>
      </c>
      <c r="O1085" s="1" t="s">
        <v>356</v>
      </c>
    </row>
    <row r="1086" spans="1:15" ht="60" x14ac:dyDescent="0.25">
      <c r="A1086" s="1" t="s">
        <v>1252</v>
      </c>
      <c r="B1086" s="1"/>
      <c r="C1086" s="1" t="s">
        <v>1657</v>
      </c>
      <c r="D1086" s="1">
        <v>119804</v>
      </c>
      <c r="E1086" s="1">
        <v>393</v>
      </c>
      <c r="F1086" s="1" t="s">
        <v>1658</v>
      </c>
      <c r="G1086" s="1" t="s">
        <v>1659</v>
      </c>
      <c r="H1086" s="1" t="s">
        <v>141</v>
      </c>
      <c r="I1086" s="1" t="s">
        <v>65</v>
      </c>
      <c r="J1086" s="1">
        <v>3</v>
      </c>
      <c r="K1086" s="1" t="s">
        <v>142</v>
      </c>
      <c r="L1086" s="1" t="s">
        <v>153</v>
      </c>
      <c r="M1086" s="1" t="s">
        <v>1256</v>
      </c>
      <c r="N1086" s="1" t="str">
        <f>HYPERLINK("https://klocwork.india.ti.com:443/review/insight-review.html#issuedetails_goto:problemid=119804,project=MCU_PLUS_SDK_AM263X,searchquery=taxonomy:'C and C++' build:Build_Apr_13_2023_11_11_AM grouping:off ","KW Issue Link")</f>
        <v>KW Issue Link</v>
      </c>
      <c r="O1086" s="1" t="s">
        <v>356</v>
      </c>
    </row>
    <row r="1087" spans="1:15" ht="60" x14ac:dyDescent="0.25">
      <c r="A1087" s="1" t="s">
        <v>1252</v>
      </c>
      <c r="B1087" s="1"/>
      <c r="C1087" s="1" t="s">
        <v>1657</v>
      </c>
      <c r="D1087" s="1">
        <v>119805</v>
      </c>
      <c r="E1087" s="1">
        <v>470</v>
      </c>
      <c r="F1087" s="1" t="s">
        <v>1660</v>
      </c>
      <c r="G1087" s="1" t="s">
        <v>1661</v>
      </c>
      <c r="H1087" s="1" t="s">
        <v>141</v>
      </c>
      <c r="I1087" s="1" t="s">
        <v>65</v>
      </c>
      <c r="J1087" s="1">
        <v>3</v>
      </c>
      <c r="K1087" s="1" t="s">
        <v>142</v>
      </c>
      <c r="L1087" s="1" t="s">
        <v>153</v>
      </c>
      <c r="M1087" s="1" t="s">
        <v>1256</v>
      </c>
      <c r="N1087" s="1" t="str">
        <f>HYPERLINK("https://klocwork.india.ti.com:443/review/insight-review.html#issuedetails_goto:problemid=119805,project=MCU_PLUS_SDK_AM263X,searchquery=taxonomy:'C and C++' build:Build_Apr_13_2023_11_11_AM grouping:off ","KW Issue Link")</f>
        <v>KW Issue Link</v>
      </c>
      <c r="O1087" s="1" t="s">
        <v>356</v>
      </c>
    </row>
    <row r="1088" spans="1:15" ht="60" x14ac:dyDescent="0.25">
      <c r="A1088" s="1" t="s">
        <v>1252</v>
      </c>
      <c r="B1088" s="1"/>
      <c r="C1088" s="1" t="s">
        <v>1662</v>
      </c>
      <c r="D1088" s="1">
        <v>119806</v>
      </c>
      <c r="E1088" s="1">
        <v>391</v>
      </c>
      <c r="F1088" s="1" t="s">
        <v>1663</v>
      </c>
      <c r="G1088" s="1" t="s">
        <v>1664</v>
      </c>
      <c r="H1088" s="1" t="s">
        <v>141</v>
      </c>
      <c r="I1088" s="1" t="s">
        <v>65</v>
      </c>
      <c r="J1088" s="1">
        <v>3</v>
      </c>
      <c r="K1088" s="1" t="s">
        <v>142</v>
      </c>
      <c r="L1088" s="1" t="s">
        <v>153</v>
      </c>
      <c r="M1088" s="1" t="s">
        <v>1256</v>
      </c>
      <c r="N1088" s="1" t="str">
        <f>HYPERLINK("https://klocwork.india.ti.com:443/review/insight-review.html#issuedetails_goto:problemid=119806,project=MCU_PLUS_SDK_AM263X,searchquery=taxonomy:'C and C++' build:Build_Apr_13_2023_11_11_AM grouping:off ","KW Issue Link")</f>
        <v>KW Issue Link</v>
      </c>
      <c r="O1088" s="1" t="s">
        <v>356</v>
      </c>
    </row>
    <row r="1089" spans="1:15" ht="75" x14ac:dyDescent="0.25">
      <c r="A1089" s="1" t="s">
        <v>1257</v>
      </c>
      <c r="B1089" s="1"/>
      <c r="C1089" s="1" t="s">
        <v>138</v>
      </c>
      <c r="D1089" s="1">
        <v>119807</v>
      </c>
      <c r="E1089" s="1">
        <v>73</v>
      </c>
      <c r="F1089" s="1" t="s">
        <v>1665</v>
      </c>
      <c r="G1089" s="1" t="s">
        <v>140</v>
      </c>
      <c r="H1089" s="1" t="s">
        <v>141</v>
      </c>
      <c r="I1089" s="1" t="s">
        <v>65</v>
      </c>
      <c r="J1089" s="1">
        <v>3</v>
      </c>
      <c r="K1089" s="1" t="s">
        <v>142</v>
      </c>
      <c r="L1089" s="1" t="s">
        <v>153</v>
      </c>
      <c r="M1089" s="1" t="s">
        <v>1256</v>
      </c>
      <c r="N1089" s="1" t="str">
        <f>HYPERLINK("https://klocwork.india.ti.com:443/review/insight-review.html#issuedetails_goto:problemid=119807,project=MCU_PLUS_SDK_AM263X,searchquery=taxonomy:'C and C++' build:Build_Apr_13_2023_11_11_AM grouping:off ","KW Issue Link")</f>
        <v>KW Issue Link</v>
      </c>
      <c r="O1089" s="1" t="s">
        <v>144</v>
      </c>
    </row>
    <row r="1090" spans="1:15" ht="75" x14ac:dyDescent="0.25">
      <c r="A1090" s="1" t="s">
        <v>1257</v>
      </c>
      <c r="B1090" s="1"/>
      <c r="C1090" s="1" t="s">
        <v>138</v>
      </c>
      <c r="D1090" s="1">
        <v>119808</v>
      </c>
      <c r="E1090" s="1">
        <v>197</v>
      </c>
      <c r="F1090" s="1" t="s">
        <v>1666</v>
      </c>
      <c r="G1090" s="1" t="s">
        <v>148</v>
      </c>
      <c r="H1090" s="1" t="s">
        <v>141</v>
      </c>
      <c r="I1090" s="1" t="s">
        <v>65</v>
      </c>
      <c r="J1090" s="1">
        <v>3</v>
      </c>
      <c r="K1090" s="1" t="s">
        <v>142</v>
      </c>
      <c r="L1090" s="1" t="s">
        <v>153</v>
      </c>
      <c r="M1090" s="1" t="s">
        <v>1256</v>
      </c>
      <c r="N1090" s="1" t="str">
        <f>HYPERLINK("https://klocwork.india.ti.com:443/review/insight-review.html#issuedetails_goto:problemid=119808,project=MCU_PLUS_SDK_AM263X,searchquery=taxonomy:'C and C++' build:Build_Apr_13_2023_11_11_AM grouping:off ","KW Issue Link")</f>
        <v>KW Issue Link</v>
      </c>
      <c r="O1090" s="1" t="s">
        <v>144</v>
      </c>
    </row>
    <row r="1091" spans="1:15" ht="75" x14ac:dyDescent="0.25">
      <c r="A1091" s="1" t="s">
        <v>1266</v>
      </c>
      <c r="B1091" s="1"/>
      <c r="C1091" s="1" t="s">
        <v>138</v>
      </c>
      <c r="D1091" s="1">
        <v>119809</v>
      </c>
      <c r="E1091" s="1">
        <v>73</v>
      </c>
      <c r="F1091" s="1" t="s">
        <v>1667</v>
      </c>
      <c r="G1091" s="1" t="s">
        <v>140</v>
      </c>
      <c r="H1091" s="1" t="s">
        <v>141</v>
      </c>
      <c r="I1091" s="1" t="s">
        <v>65</v>
      </c>
      <c r="J1091" s="1">
        <v>3</v>
      </c>
      <c r="K1091" s="1" t="s">
        <v>142</v>
      </c>
      <c r="L1091" s="1" t="s">
        <v>153</v>
      </c>
      <c r="M1091" s="1" t="s">
        <v>1256</v>
      </c>
      <c r="N1091" s="1" t="str">
        <f>HYPERLINK("https://klocwork.india.ti.com:443/review/insight-review.html#issuedetails_goto:problemid=119809,project=MCU_PLUS_SDK_AM263X,searchquery=taxonomy:'C and C++' build:Build_Apr_13_2023_11_11_AM grouping:off ","KW Issue Link")</f>
        <v>KW Issue Link</v>
      </c>
      <c r="O1091" s="1" t="s">
        <v>144</v>
      </c>
    </row>
    <row r="1092" spans="1:15" ht="75" x14ac:dyDescent="0.25">
      <c r="A1092" s="1" t="s">
        <v>1268</v>
      </c>
      <c r="B1092" s="1"/>
      <c r="C1092" s="1" t="s">
        <v>138</v>
      </c>
      <c r="D1092" s="1">
        <v>119810</v>
      </c>
      <c r="E1092" s="1">
        <v>73</v>
      </c>
      <c r="F1092" s="1" t="s">
        <v>1668</v>
      </c>
      <c r="G1092" s="1" t="s">
        <v>140</v>
      </c>
      <c r="H1092" s="1" t="s">
        <v>141</v>
      </c>
      <c r="I1092" s="1" t="s">
        <v>65</v>
      </c>
      <c r="J1092" s="1">
        <v>3</v>
      </c>
      <c r="K1092" s="1" t="s">
        <v>142</v>
      </c>
      <c r="L1092" s="1" t="s">
        <v>153</v>
      </c>
      <c r="M1092" s="1" t="s">
        <v>1256</v>
      </c>
      <c r="N1092" s="1" t="str">
        <f>HYPERLINK("https://klocwork.india.ti.com:443/review/insight-review.html#issuedetails_goto:problemid=119810,project=MCU_PLUS_SDK_AM263X,searchquery=taxonomy:'C and C++' build:Build_Apr_13_2023_11_11_AM grouping:off ","KW Issue Link")</f>
        <v>KW Issue Link</v>
      </c>
      <c r="O1092" s="1" t="s">
        <v>144</v>
      </c>
    </row>
    <row r="1093" spans="1:15" ht="75" x14ac:dyDescent="0.25">
      <c r="A1093" s="1" t="s">
        <v>1266</v>
      </c>
      <c r="B1093" s="1"/>
      <c r="C1093" s="1" t="s">
        <v>1669</v>
      </c>
      <c r="D1093" s="1">
        <v>119811</v>
      </c>
      <c r="E1093" s="1">
        <v>54</v>
      </c>
      <c r="F1093" s="1" t="s">
        <v>1670</v>
      </c>
      <c r="G1093" s="1" t="s">
        <v>1671</v>
      </c>
      <c r="H1093" s="1" t="s">
        <v>141</v>
      </c>
      <c r="I1093" s="1" t="s">
        <v>65</v>
      </c>
      <c r="J1093" s="1">
        <v>3</v>
      </c>
      <c r="K1093" s="1" t="s">
        <v>142</v>
      </c>
      <c r="L1093" s="1" t="s">
        <v>153</v>
      </c>
      <c r="M1093" s="1" t="s">
        <v>1256</v>
      </c>
      <c r="N1093" s="1" t="str">
        <f>HYPERLINK("https://klocwork.india.ti.com:443/review/insight-review.html#issuedetails_goto:problemid=119811,project=MCU_PLUS_SDK_AM263X,searchquery=taxonomy:'C and C++' build:Build_Apr_13_2023_11_11_AM grouping:off ","KW Issue Link")</f>
        <v>KW Issue Link</v>
      </c>
      <c r="O1093" s="1" t="s">
        <v>144</v>
      </c>
    </row>
    <row r="1094" spans="1:15" ht="75" x14ac:dyDescent="0.25">
      <c r="A1094" s="1" t="s">
        <v>1268</v>
      </c>
      <c r="B1094" s="1"/>
      <c r="C1094" s="1" t="s">
        <v>1669</v>
      </c>
      <c r="D1094" s="1">
        <v>119812</v>
      </c>
      <c r="E1094" s="1">
        <v>54</v>
      </c>
      <c r="F1094" s="1" t="s">
        <v>1672</v>
      </c>
      <c r="G1094" s="1" t="s">
        <v>1671</v>
      </c>
      <c r="H1094" s="1" t="s">
        <v>141</v>
      </c>
      <c r="I1094" s="1" t="s">
        <v>65</v>
      </c>
      <c r="J1094" s="1">
        <v>3</v>
      </c>
      <c r="K1094" s="1" t="s">
        <v>142</v>
      </c>
      <c r="L1094" s="1" t="s">
        <v>153</v>
      </c>
      <c r="M1094" s="1" t="s">
        <v>1256</v>
      </c>
      <c r="N1094" s="1" t="str">
        <f>HYPERLINK("https://klocwork.india.ti.com:443/review/insight-review.html#issuedetails_goto:problemid=119812,project=MCU_PLUS_SDK_AM263X,searchquery=taxonomy:'C and C++' build:Build_Apr_13_2023_11_11_AM grouping:off ","KW Issue Link")</f>
        <v>KW Issue Link</v>
      </c>
      <c r="O1094" s="1" t="s">
        <v>144</v>
      </c>
    </row>
    <row r="1095" spans="1:15" ht="75" x14ac:dyDescent="0.25">
      <c r="A1095" s="1" t="s">
        <v>1257</v>
      </c>
      <c r="B1095" s="1"/>
      <c r="C1095" s="1" t="s">
        <v>1673</v>
      </c>
      <c r="D1095" s="1">
        <v>119813</v>
      </c>
      <c r="E1095" s="1">
        <v>40</v>
      </c>
      <c r="F1095" s="1" t="s">
        <v>1674</v>
      </c>
      <c r="G1095" s="1" t="s">
        <v>1675</v>
      </c>
      <c r="H1095" s="1" t="s">
        <v>141</v>
      </c>
      <c r="I1095" s="1" t="s">
        <v>65</v>
      </c>
      <c r="J1095" s="1">
        <v>3</v>
      </c>
      <c r="K1095" s="1" t="s">
        <v>142</v>
      </c>
      <c r="L1095" s="1" t="s">
        <v>153</v>
      </c>
      <c r="M1095" s="1" t="s">
        <v>1256</v>
      </c>
      <c r="N1095" s="1" t="str">
        <f>HYPERLINK("https://klocwork.india.ti.com:443/review/insight-review.html#issuedetails_goto:problemid=119813,project=MCU_PLUS_SDK_AM263X,searchquery=taxonomy:'C and C++' build:Build_Apr_13_2023_11_11_AM grouping:off ","KW Issue Link")</f>
        <v>KW Issue Link</v>
      </c>
      <c r="O1095" s="1" t="s">
        <v>144</v>
      </c>
    </row>
    <row r="1096" spans="1:15" ht="75" x14ac:dyDescent="0.25">
      <c r="A1096" s="1" t="s">
        <v>1266</v>
      </c>
      <c r="B1096" s="1"/>
      <c r="C1096" s="1" t="s">
        <v>1673</v>
      </c>
      <c r="D1096" s="1">
        <v>119814</v>
      </c>
      <c r="E1096" s="1">
        <v>40</v>
      </c>
      <c r="F1096" s="1" t="s">
        <v>1676</v>
      </c>
      <c r="G1096" s="1" t="s">
        <v>1675</v>
      </c>
      <c r="H1096" s="1" t="s">
        <v>141</v>
      </c>
      <c r="I1096" s="1" t="s">
        <v>65</v>
      </c>
      <c r="J1096" s="1">
        <v>3</v>
      </c>
      <c r="K1096" s="1" t="s">
        <v>142</v>
      </c>
      <c r="L1096" s="1" t="s">
        <v>153</v>
      </c>
      <c r="M1096" s="1" t="s">
        <v>1256</v>
      </c>
      <c r="N1096" s="1" t="str">
        <f>HYPERLINK("https://klocwork.india.ti.com:443/review/insight-review.html#issuedetails_goto:problemid=119814,project=MCU_PLUS_SDK_AM263X,searchquery=taxonomy:'C and C++' build:Build_Apr_13_2023_11_11_AM grouping:off ","KW Issue Link")</f>
        <v>KW Issue Link</v>
      </c>
      <c r="O1096" s="1" t="s">
        <v>144</v>
      </c>
    </row>
    <row r="1097" spans="1:15" ht="75" x14ac:dyDescent="0.25">
      <c r="A1097" s="1" t="s">
        <v>1268</v>
      </c>
      <c r="B1097" s="1"/>
      <c r="C1097" s="1" t="s">
        <v>1673</v>
      </c>
      <c r="D1097" s="1">
        <v>119815</v>
      </c>
      <c r="E1097" s="1">
        <v>40</v>
      </c>
      <c r="F1097" s="1" t="s">
        <v>1677</v>
      </c>
      <c r="G1097" s="1" t="s">
        <v>1675</v>
      </c>
      <c r="H1097" s="1" t="s">
        <v>141</v>
      </c>
      <c r="I1097" s="1" t="s">
        <v>65</v>
      </c>
      <c r="J1097" s="1">
        <v>3</v>
      </c>
      <c r="K1097" s="1" t="s">
        <v>142</v>
      </c>
      <c r="L1097" s="1" t="s">
        <v>153</v>
      </c>
      <c r="M1097" s="1" t="s">
        <v>1256</v>
      </c>
      <c r="N1097" s="1" t="str">
        <f>HYPERLINK("https://klocwork.india.ti.com:443/review/insight-review.html#issuedetails_goto:problemid=119815,project=MCU_PLUS_SDK_AM263X,searchquery=taxonomy:'C and C++' build:Build_Apr_13_2023_11_11_AM grouping:off ","KW Issue Link")</f>
        <v>KW Issue Link</v>
      </c>
      <c r="O1097" s="1" t="s">
        <v>144</v>
      </c>
    </row>
    <row r="1098" spans="1:15" ht="60" x14ac:dyDescent="0.25">
      <c r="A1098" s="1" t="s">
        <v>1257</v>
      </c>
      <c r="B1098" s="1"/>
      <c r="C1098" s="1" t="s">
        <v>366</v>
      </c>
      <c r="D1098" s="1">
        <v>119816</v>
      </c>
      <c r="E1098" s="1">
        <v>128</v>
      </c>
      <c r="F1098" s="1" t="s">
        <v>1678</v>
      </c>
      <c r="G1098" s="1" t="s">
        <v>1679</v>
      </c>
      <c r="H1098" s="1" t="s">
        <v>141</v>
      </c>
      <c r="I1098" s="1" t="s">
        <v>65</v>
      </c>
      <c r="J1098" s="1">
        <v>3</v>
      </c>
      <c r="K1098" s="1" t="s">
        <v>142</v>
      </c>
      <c r="L1098" s="1" t="s">
        <v>153</v>
      </c>
      <c r="M1098" s="1" t="s">
        <v>1256</v>
      </c>
      <c r="N1098" s="1" t="str">
        <f>HYPERLINK("https://klocwork.india.ti.com:443/review/insight-review.html#issuedetails_goto:problemid=119816,project=MCU_PLUS_SDK_AM263X,searchquery=taxonomy:'C and C++' build:Build_Apr_13_2023_11_11_AM grouping:off ","KW Issue Link")</f>
        <v>KW Issue Link</v>
      </c>
      <c r="O1098" s="1" t="s">
        <v>291</v>
      </c>
    </row>
    <row r="1099" spans="1:15" ht="60" x14ac:dyDescent="0.25">
      <c r="A1099" s="1" t="s">
        <v>1257</v>
      </c>
      <c r="B1099" s="1"/>
      <c r="C1099" s="1" t="s">
        <v>366</v>
      </c>
      <c r="D1099" s="1">
        <v>119817</v>
      </c>
      <c r="E1099" s="1">
        <v>163</v>
      </c>
      <c r="F1099" s="1" t="s">
        <v>1680</v>
      </c>
      <c r="G1099" s="1" t="s">
        <v>1681</v>
      </c>
      <c r="H1099" s="1" t="s">
        <v>141</v>
      </c>
      <c r="I1099" s="1" t="s">
        <v>65</v>
      </c>
      <c r="J1099" s="1">
        <v>3</v>
      </c>
      <c r="K1099" s="1" t="s">
        <v>142</v>
      </c>
      <c r="L1099" s="1" t="s">
        <v>153</v>
      </c>
      <c r="M1099" s="1" t="s">
        <v>1256</v>
      </c>
      <c r="N1099" s="1" t="str">
        <f>HYPERLINK("https://klocwork.india.ti.com:443/review/insight-review.html#issuedetails_goto:problemid=119817,project=MCU_PLUS_SDK_AM263X,searchquery=taxonomy:'C and C++' build:Build_Apr_13_2023_11_11_AM grouping:off ","KW Issue Link")</f>
        <v>KW Issue Link</v>
      </c>
      <c r="O1099" s="1" t="s">
        <v>291</v>
      </c>
    </row>
    <row r="1100" spans="1:15" ht="75" x14ac:dyDescent="0.25">
      <c r="A1100" s="1" t="s">
        <v>1257</v>
      </c>
      <c r="B1100" s="1"/>
      <c r="C1100" s="1" t="s">
        <v>369</v>
      </c>
      <c r="D1100" s="1">
        <v>119818</v>
      </c>
      <c r="E1100" s="1">
        <v>226</v>
      </c>
      <c r="F1100" s="1" t="s">
        <v>1682</v>
      </c>
      <c r="G1100" s="1" t="s">
        <v>1683</v>
      </c>
      <c r="H1100" s="1" t="s">
        <v>141</v>
      </c>
      <c r="I1100" s="1" t="s">
        <v>65</v>
      </c>
      <c r="J1100" s="1">
        <v>3</v>
      </c>
      <c r="K1100" s="1" t="s">
        <v>142</v>
      </c>
      <c r="L1100" s="1" t="s">
        <v>153</v>
      </c>
      <c r="M1100" s="1" t="s">
        <v>1256</v>
      </c>
      <c r="N1100" s="1" t="str">
        <f>HYPERLINK("https://klocwork.india.ti.com:443/review/insight-review.html#issuedetails_goto:problemid=119818,project=MCU_PLUS_SDK_AM263X,searchquery=taxonomy:'C and C++' build:Build_Apr_13_2023_11_11_AM grouping:off ","KW Issue Link")</f>
        <v>KW Issue Link</v>
      </c>
      <c r="O1100" s="1" t="s">
        <v>291</v>
      </c>
    </row>
    <row r="1101" spans="1:15" ht="75" x14ac:dyDescent="0.25">
      <c r="A1101" s="1" t="s">
        <v>1257</v>
      </c>
      <c r="B1101" s="1"/>
      <c r="C1101" s="1" t="s">
        <v>369</v>
      </c>
      <c r="D1101" s="1">
        <v>119820</v>
      </c>
      <c r="E1101" s="1">
        <v>277</v>
      </c>
      <c r="F1101" s="1" t="s">
        <v>1684</v>
      </c>
      <c r="G1101" s="1" t="s">
        <v>1685</v>
      </c>
      <c r="H1101" s="1" t="s">
        <v>141</v>
      </c>
      <c r="I1101" s="1" t="s">
        <v>65</v>
      </c>
      <c r="J1101" s="1">
        <v>3</v>
      </c>
      <c r="K1101" s="1" t="s">
        <v>142</v>
      </c>
      <c r="L1101" s="1" t="s">
        <v>153</v>
      </c>
      <c r="M1101" s="1" t="s">
        <v>1256</v>
      </c>
      <c r="N1101" s="1" t="str">
        <f>HYPERLINK("https://klocwork.india.ti.com:443/review/insight-review.html#issuedetails_goto:problemid=119820,project=MCU_PLUS_SDK_AM263X,searchquery=taxonomy:'C and C++' build:Build_Apr_13_2023_11_11_AM grouping:off ","KW Issue Link")</f>
        <v>KW Issue Link</v>
      </c>
      <c r="O1101" s="1" t="s">
        <v>291</v>
      </c>
    </row>
    <row r="1102" spans="1:15" ht="75" x14ac:dyDescent="0.25">
      <c r="A1102" s="1" t="s">
        <v>1257</v>
      </c>
      <c r="B1102" s="1"/>
      <c r="C1102" s="1" t="s">
        <v>369</v>
      </c>
      <c r="D1102" s="1">
        <v>119821</v>
      </c>
      <c r="E1102" s="1">
        <v>303</v>
      </c>
      <c r="F1102" s="1" t="s">
        <v>1686</v>
      </c>
      <c r="G1102" s="1" t="s">
        <v>1687</v>
      </c>
      <c r="H1102" s="1" t="s">
        <v>141</v>
      </c>
      <c r="I1102" s="1" t="s">
        <v>65</v>
      </c>
      <c r="J1102" s="1">
        <v>3</v>
      </c>
      <c r="K1102" s="1" t="s">
        <v>142</v>
      </c>
      <c r="L1102" s="1" t="s">
        <v>153</v>
      </c>
      <c r="M1102" s="1" t="s">
        <v>1256</v>
      </c>
      <c r="N1102" s="1" t="str">
        <f>HYPERLINK("https://klocwork.india.ti.com:443/review/insight-review.html#issuedetails_goto:problemid=119821,project=MCU_PLUS_SDK_AM263X,searchquery=taxonomy:'C and C++' build:Build_Apr_13_2023_11_11_AM grouping:off ","KW Issue Link")</f>
        <v>KW Issue Link</v>
      </c>
      <c r="O1102" s="1" t="s">
        <v>291</v>
      </c>
    </row>
    <row r="1103" spans="1:15" ht="75" x14ac:dyDescent="0.25">
      <c r="A1103" s="1" t="s">
        <v>1257</v>
      </c>
      <c r="B1103" s="1"/>
      <c r="C1103" s="1" t="s">
        <v>369</v>
      </c>
      <c r="D1103" s="1">
        <v>119822</v>
      </c>
      <c r="E1103" s="1">
        <v>332</v>
      </c>
      <c r="F1103" s="1" t="s">
        <v>1688</v>
      </c>
      <c r="G1103" s="1" t="s">
        <v>1689</v>
      </c>
      <c r="H1103" s="1" t="s">
        <v>141</v>
      </c>
      <c r="I1103" s="1" t="s">
        <v>65</v>
      </c>
      <c r="J1103" s="1">
        <v>3</v>
      </c>
      <c r="K1103" s="1" t="s">
        <v>142</v>
      </c>
      <c r="L1103" s="1" t="s">
        <v>153</v>
      </c>
      <c r="M1103" s="1" t="s">
        <v>1256</v>
      </c>
      <c r="N1103" s="1" t="str">
        <f>HYPERLINK("https://klocwork.india.ti.com:443/review/insight-review.html#issuedetails_goto:problemid=119822,project=MCU_PLUS_SDK_AM263X,searchquery=taxonomy:'C and C++' build:Build_Apr_13_2023_11_11_AM grouping:off ","KW Issue Link")</f>
        <v>KW Issue Link</v>
      </c>
      <c r="O1103" s="1" t="s">
        <v>291</v>
      </c>
    </row>
    <row r="1104" spans="1:15" ht="75" x14ac:dyDescent="0.25">
      <c r="A1104" s="1" t="s">
        <v>1257</v>
      </c>
      <c r="B1104" s="1"/>
      <c r="C1104" s="1" t="s">
        <v>369</v>
      </c>
      <c r="D1104" s="1">
        <v>119823</v>
      </c>
      <c r="E1104" s="1">
        <v>366</v>
      </c>
      <c r="F1104" s="1" t="s">
        <v>1690</v>
      </c>
      <c r="G1104" s="1" t="s">
        <v>1691</v>
      </c>
      <c r="H1104" s="1" t="s">
        <v>141</v>
      </c>
      <c r="I1104" s="1" t="s">
        <v>65</v>
      </c>
      <c r="J1104" s="1">
        <v>3</v>
      </c>
      <c r="K1104" s="1" t="s">
        <v>142</v>
      </c>
      <c r="L1104" s="1" t="s">
        <v>153</v>
      </c>
      <c r="M1104" s="1" t="s">
        <v>1256</v>
      </c>
      <c r="N1104" s="1" t="str">
        <f>HYPERLINK("https://klocwork.india.ti.com:443/review/insight-review.html#issuedetails_goto:problemid=119823,project=MCU_PLUS_SDK_AM263X,searchquery=taxonomy:'C and C++' build:Build_Apr_13_2023_11_11_AM grouping:off ","KW Issue Link")</f>
        <v>KW Issue Link</v>
      </c>
      <c r="O1104" s="1" t="s">
        <v>291</v>
      </c>
    </row>
    <row r="1105" spans="1:15" ht="75" x14ac:dyDescent="0.25">
      <c r="A1105" s="1" t="s">
        <v>1257</v>
      </c>
      <c r="B1105" s="1"/>
      <c r="C1105" s="1" t="s">
        <v>369</v>
      </c>
      <c r="D1105" s="1">
        <v>119824</v>
      </c>
      <c r="E1105" s="1">
        <v>430</v>
      </c>
      <c r="F1105" s="1" t="s">
        <v>1692</v>
      </c>
      <c r="G1105" s="1" t="s">
        <v>1693</v>
      </c>
      <c r="H1105" s="1" t="s">
        <v>141</v>
      </c>
      <c r="I1105" s="1" t="s">
        <v>65</v>
      </c>
      <c r="J1105" s="1">
        <v>3</v>
      </c>
      <c r="K1105" s="1" t="s">
        <v>142</v>
      </c>
      <c r="L1105" s="1" t="s">
        <v>153</v>
      </c>
      <c r="M1105" s="1" t="s">
        <v>1256</v>
      </c>
      <c r="N1105" s="1" t="str">
        <f>HYPERLINK("https://klocwork.india.ti.com:443/review/insight-review.html#issuedetails_goto:problemid=119824,project=MCU_PLUS_SDK_AM263X,searchquery=taxonomy:'C and C++' build:Build_Apr_13_2023_11_11_AM grouping:off ","KW Issue Link")</f>
        <v>KW Issue Link</v>
      </c>
      <c r="O1105" s="1" t="s">
        <v>291</v>
      </c>
    </row>
    <row r="1106" spans="1:15" ht="75" x14ac:dyDescent="0.25">
      <c r="A1106" s="1" t="s">
        <v>1257</v>
      </c>
      <c r="B1106" s="1"/>
      <c r="C1106" s="1" t="s">
        <v>369</v>
      </c>
      <c r="D1106" s="1">
        <v>119825</v>
      </c>
      <c r="E1106" s="1">
        <v>468</v>
      </c>
      <c r="F1106" s="1" t="s">
        <v>1694</v>
      </c>
      <c r="G1106" s="1" t="s">
        <v>1695</v>
      </c>
      <c r="H1106" s="1" t="s">
        <v>141</v>
      </c>
      <c r="I1106" s="1" t="s">
        <v>65</v>
      </c>
      <c r="J1106" s="1">
        <v>3</v>
      </c>
      <c r="K1106" s="1" t="s">
        <v>142</v>
      </c>
      <c r="L1106" s="1" t="s">
        <v>153</v>
      </c>
      <c r="M1106" s="1" t="s">
        <v>1256</v>
      </c>
      <c r="N1106" s="1" t="str">
        <f>HYPERLINK("https://klocwork.india.ti.com:443/review/insight-review.html#issuedetails_goto:problemid=119825,project=MCU_PLUS_SDK_AM263X,searchquery=taxonomy:'C and C++' build:Build_Apr_13_2023_11_11_AM grouping:off ","KW Issue Link")</f>
        <v>KW Issue Link</v>
      </c>
      <c r="O1106" s="1" t="s">
        <v>291</v>
      </c>
    </row>
    <row r="1107" spans="1:15" ht="75" x14ac:dyDescent="0.25">
      <c r="A1107" s="1" t="s">
        <v>1257</v>
      </c>
      <c r="B1107" s="1"/>
      <c r="C1107" s="1" t="s">
        <v>369</v>
      </c>
      <c r="D1107" s="1">
        <v>119826</v>
      </c>
      <c r="E1107" s="1">
        <v>499</v>
      </c>
      <c r="F1107" s="1" t="s">
        <v>1696</v>
      </c>
      <c r="G1107" s="1" t="s">
        <v>1697</v>
      </c>
      <c r="H1107" s="1" t="s">
        <v>141</v>
      </c>
      <c r="I1107" s="1" t="s">
        <v>65</v>
      </c>
      <c r="J1107" s="1">
        <v>3</v>
      </c>
      <c r="K1107" s="1" t="s">
        <v>142</v>
      </c>
      <c r="L1107" s="1" t="s">
        <v>153</v>
      </c>
      <c r="M1107" s="1" t="s">
        <v>1256</v>
      </c>
      <c r="N1107" s="1" t="str">
        <f>HYPERLINK("https://klocwork.india.ti.com:443/review/insight-review.html#issuedetails_goto:problemid=119826,project=MCU_PLUS_SDK_AM263X,searchquery=taxonomy:'C and C++' build:Build_Apr_13_2023_11_11_AM grouping:off ","KW Issue Link")</f>
        <v>KW Issue Link</v>
      </c>
      <c r="O1107" s="1" t="s">
        <v>291</v>
      </c>
    </row>
    <row r="1108" spans="1:15" ht="75" x14ac:dyDescent="0.25">
      <c r="A1108" s="1" t="s">
        <v>1257</v>
      </c>
      <c r="B1108" s="1"/>
      <c r="C1108" s="1" t="s">
        <v>369</v>
      </c>
      <c r="D1108" s="1">
        <v>119827</v>
      </c>
      <c r="E1108" s="1">
        <v>546</v>
      </c>
      <c r="F1108" s="1" t="s">
        <v>1698</v>
      </c>
      <c r="G1108" s="1" t="s">
        <v>1699</v>
      </c>
      <c r="H1108" s="1" t="s">
        <v>141</v>
      </c>
      <c r="I1108" s="1" t="s">
        <v>65</v>
      </c>
      <c r="J1108" s="1">
        <v>3</v>
      </c>
      <c r="K1108" s="1" t="s">
        <v>142</v>
      </c>
      <c r="L1108" s="1" t="s">
        <v>153</v>
      </c>
      <c r="M1108" s="1" t="s">
        <v>1256</v>
      </c>
      <c r="N1108" s="1" t="str">
        <f>HYPERLINK("https://klocwork.india.ti.com:443/review/insight-review.html#issuedetails_goto:problemid=119827,project=MCU_PLUS_SDK_AM263X,searchquery=taxonomy:'C and C++' build:Build_Apr_13_2023_11_11_AM grouping:off ","KW Issue Link")</f>
        <v>KW Issue Link</v>
      </c>
      <c r="O1108" s="1" t="s">
        <v>291</v>
      </c>
    </row>
    <row r="1109" spans="1:15" ht="75" x14ac:dyDescent="0.25">
      <c r="A1109" s="1" t="s">
        <v>1257</v>
      </c>
      <c r="B1109" s="1"/>
      <c r="C1109" s="1" t="s">
        <v>369</v>
      </c>
      <c r="D1109" s="1">
        <v>119828</v>
      </c>
      <c r="E1109" s="1">
        <v>573</v>
      </c>
      <c r="F1109" s="1" t="s">
        <v>1700</v>
      </c>
      <c r="G1109" s="1" t="s">
        <v>1701</v>
      </c>
      <c r="H1109" s="1" t="s">
        <v>141</v>
      </c>
      <c r="I1109" s="1" t="s">
        <v>65</v>
      </c>
      <c r="J1109" s="1">
        <v>3</v>
      </c>
      <c r="K1109" s="1" t="s">
        <v>142</v>
      </c>
      <c r="L1109" s="1" t="s">
        <v>153</v>
      </c>
      <c r="M1109" s="1" t="s">
        <v>1256</v>
      </c>
      <c r="N1109" s="1" t="str">
        <f>HYPERLINK("https://klocwork.india.ti.com:443/review/insight-review.html#issuedetails_goto:problemid=119828,project=MCU_PLUS_SDK_AM263X,searchquery=taxonomy:'C and C++' build:Build_Apr_13_2023_11_11_AM grouping:off ","KW Issue Link")</f>
        <v>KW Issue Link</v>
      </c>
      <c r="O1109" s="1" t="s">
        <v>291</v>
      </c>
    </row>
    <row r="1110" spans="1:15" ht="75" x14ac:dyDescent="0.25">
      <c r="A1110" s="1" t="s">
        <v>1257</v>
      </c>
      <c r="B1110" s="1"/>
      <c r="C1110" s="1" t="s">
        <v>369</v>
      </c>
      <c r="D1110" s="1">
        <v>119831</v>
      </c>
      <c r="E1110" s="1">
        <v>737</v>
      </c>
      <c r="F1110" s="1" t="s">
        <v>1702</v>
      </c>
      <c r="G1110" s="1" t="s">
        <v>376</v>
      </c>
      <c r="H1110" s="1" t="s">
        <v>141</v>
      </c>
      <c r="I1110" s="1" t="s">
        <v>65</v>
      </c>
      <c r="J1110" s="1">
        <v>3</v>
      </c>
      <c r="K1110" s="1" t="s">
        <v>142</v>
      </c>
      <c r="L1110" s="1" t="s">
        <v>153</v>
      </c>
      <c r="M1110" s="1" t="s">
        <v>1256</v>
      </c>
      <c r="N1110" s="1" t="str">
        <f>HYPERLINK("https://klocwork.india.ti.com:443/review/insight-review.html#issuedetails_goto:problemid=119831,project=MCU_PLUS_SDK_AM263X,searchquery=taxonomy:'C and C++' build:Build_Apr_13_2023_11_11_AM grouping:off ","KW Issue Link")</f>
        <v>KW Issue Link</v>
      </c>
      <c r="O1110" s="1" t="s">
        <v>291</v>
      </c>
    </row>
    <row r="1111" spans="1:15" ht="75" x14ac:dyDescent="0.25">
      <c r="A1111" s="1" t="s">
        <v>1257</v>
      </c>
      <c r="B1111" s="1"/>
      <c r="C1111" s="1" t="s">
        <v>369</v>
      </c>
      <c r="D1111" s="1">
        <v>119832</v>
      </c>
      <c r="E1111" s="1">
        <v>814</v>
      </c>
      <c r="F1111" s="1" t="s">
        <v>1703</v>
      </c>
      <c r="G1111" s="1" t="s">
        <v>1704</v>
      </c>
      <c r="H1111" s="1" t="s">
        <v>141</v>
      </c>
      <c r="I1111" s="1" t="s">
        <v>65</v>
      </c>
      <c r="J1111" s="1">
        <v>3</v>
      </c>
      <c r="K1111" s="1" t="s">
        <v>142</v>
      </c>
      <c r="L1111" s="1" t="s">
        <v>153</v>
      </c>
      <c r="M1111" s="1" t="s">
        <v>1256</v>
      </c>
      <c r="N1111" s="1" t="str">
        <f>HYPERLINK("https://klocwork.india.ti.com:443/review/insight-review.html#issuedetails_goto:problemid=119832,project=MCU_PLUS_SDK_AM263X,searchquery=taxonomy:'C and C++' build:Build_Apr_13_2023_11_11_AM grouping:off ","KW Issue Link")</f>
        <v>KW Issue Link</v>
      </c>
      <c r="O1111" s="1" t="s">
        <v>291</v>
      </c>
    </row>
    <row r="1112" spans="1:15" ht="75" x14ac:dyDescent="0.25">
      <c r="A1112" s="1" t="s">
        <v>1257</v>
      </c>
      <c r="B1112" s="1"/>
      <c r="C1112" s="1" t="s">
        <v>369</v>
      </c>
      <c r="D1112" s="1">
        <v>119833</v>
      </c>
      <c r="E1112" s="1">
        <v>858</v>
      </c>
      <c r="F1112" s="1" t="s">
        <v>1705</v>
      </c>
      <c r="G1112" s="1" t="s">
        <v>1706</v>
      </c>
      <c r="H1112" s="1" t="s">
        <v>141</v>
      </c>
      <c r="I1112" s="1" t="s">
        <v>65</v>
      </c>
      <c r="J1112" s="1">
        <v>3</v>
      </c>
      <c r="K1112" s="1" t="s">
        <v>142</v>
      </c>
      <c r="L1112" s="1" t="s">
        <v>153</v>
      </c>
      <c r="M1112" s="1" t="s">
        <v>1256</v>
      </c>
      <c r="N1112" s="1" t="str">
        <f>HYPERLINK("https://klocwork.india.ti.com:443/review/insight-review.html#issuedetails_goto:problemid=119833,project=MCU_PLUS_SDK_AM263X,searchquery=taxonomy:'C and C++' build:Build_Apr_13_2023_11_11_AM grouping:off ","KW Issue Link")</f>
        <v>KW Issue Link</v>
      </c>
      <c r="O1112" s="1" t="s">
        <v>291</v>
      </c>
    </row>
    <row r="1113" spans="1:15" ht="75" x14ac:dyDescent="0.25">
      <c r="A1113" s="1" t="s">
        <v>1257</v>
      </c>
      <c r="B1113" s="1"/>
      <c r="C1113" s="1" t="s">
        <v>369</v>
      </c>
      <c r="D1113" s="1">
        <v>119834</v>
      </c>
      <c r="E1113" s="1">
        <v>903</v>
      </c>
      <c r="F1113" s="1" t="s">
        <v>1707</v>
      </c>
      <c r="G1113" s="1" t="s">
        <v>1708</v>
      </c>
      <c r="H1113" s="1" t="s">
        <v>141</v>
      </c>
      <c r="I1113" s="1" t="s">
        <v>65</v>
      </c>
      <c r="J1113" s="1">
        <v>3</v>
      </c>
      <c r="K1113" s="1" t="s">
        <v>142</v>
      </c>
      <c r="L1113" s="1" t="s">
        <v>153</v>
      </c>
      <c r="M1113" s="1" t="s">
        <v>1256</v>
      </c>
      <c r="N1113" s="1" t="str">
        <f>HYPERLINK("https://klocwork.india.ti.com:443/review/insight-review.html#issuedetails_goto:problemid=119834,project=MCU_PLUS_SDK_AM263X,searchquery=taxonomy:'C and C++' build:Build_Apr_13_2023_11_11_AM grouping:off ","KW Issue Link")</f>
        <v>KW Issue Link</v>
      </c>
      <c r="O1113" s="1" t="s">
        <v>291</v>
      </c>
    </row>
    <row r="1114" spans="1:15" ht="75" x14ac:dyDescent="0.25">
      <c r="A1114" s="1" t="s">
        <v>1257</v>
      </c>
      <c r="B1114" s="1"/>
      <c r="C1114" s="1" t="s">
        <v>369</v>
      </c>
      <c r="D1114" s="1">
        <v>119835</v>
      </c>
      <c r="E1114" s="1">
        <v>935</v>
      </c>
      <c r="F1114" s="1" t="s">
        <v>1709</v>
      </c>
      <c r="G1114" s="1" t="s">
        <v>1710</v>
      </c>
      <c r="H1114" s="1" t="s">
        <v>141</v>
      </c>
      <c r="I1114" s="1" t="s">
        <v>65</v>
      </c>
      <c r="J1114" s="1">
        <v>3</v>
      </c>
      <c r="K1114" s="1" t="s">
        <v>142</v>
      </c>
      <c r="L1114" s="1" t="s">
        <v>153</v>
      </c>
      <c r="M1114" s="1" t="s">
        <v>1256</v>
      </c>
      <c r="N1114" s="1" t="str">
        <f>HYPERLINK("https://klocwork.india.ti.com:443/review/insight-review.html#issuedetails_goto:problemid=119835,project=MCU_PLUS_SDK_AM263X,searchquery=taxonomy:'C and C++' build:Build_Apr_13_2023_11_11_AM grouping:off ","KW Issue Link")</f>
        <v>KW Issue Link</v>
      </c>
      <c r="O1114" s="1" t="s">
        <v>291</v>
      </c>
    </row>
    <row r="1115" spans="1:15" ht="75" x14ac:dyDescent="0.25">
      <c r="A1115" s="1" t="s">
        <v>1257</v>
      </c>
      <c r="B1115" s="1"/>
      <c r="C1115" s="1" t="s">
        <v>369</v>
      </c>
      <c r="D1115" s="1">
        <v>119836</v>
      </c>
      <c r="E1115" s="1">
        <v>981</v>
      </c>
      <c r="F1115" s="1" t="s">
        <v>1711</v>
      </c>
      <c r="G1115" s="1" t="s">
        <v>1712</v>
      </c>
      <c r="H1115" s="1" t="s">
        <v>141</v>
      </c>
      <c r="I1115" s="1" t="s">
        <v>65</v>
      </c>
      <c r="J1115" s="1">
        <v>3</v>
      </c>
      <c r="K1115" s="1" t="s">
        <v>142</v>
      </c>
      <c r="L1115" s="1" t="s">
        <v>153</v>
      </c>
      <c r="M1115" s="1" t="s">
        <v>1256</v>
      </c>
      <c r="N1115" s="1" t="str">
        <f>HYPERLINK("https://klocwork.india.ti.com:443/review/insight-review.html#issuedetails_goto:problemid=119836,project=MCU_PLUS_SDK_AM263X,searchquery=taxonomy:'C and C++' build:Build_Apr_13_2023_11_11_AM grouping:off ","KW Issue Link")</f>
        <v>KW Issue Link</v>
      </c>
      <c r="O1115" s="1" t="s">
        <v>291</v>
      </c>
    </row>
    <row r="1116" spans="1:15" ht="75" x14ac:dyDescent="0.25">
      <c r="A1116" s="1" t="s">
        <v>1257</v>
      </c>
      <c r="B1116" s="1"/>
      <c r="C1116" s="1" t="s">
        <v>369</v>
      </c>
      <c r="D1116" s="1">
        <v>119837</v>
      </c>
      <c r="E1116" s="1">
        <v>1040</v>
      </c>
      <c r="F1116" s="1" t="s">
        <v>1713</v>
      </c>
      <c r="G1116" s="1" t="s">
        <v>1714</v>
      </c>
      <c r="H1116" s="1" t="s">
        <v>141</v>
      </c>
      <c r="I1116" s="1" t="s">
        <v>65</v>
      </c>
      <c r="J1116" s="1">
        <v>3</v>
      </c>
      <c r="K1116" s="1" t="s">
        <v>142</v>
      </c>
      <c r="L1116" s="1" t="s">
        <v>153</v>
      </c>
      <c r="M1116" s="1" t="s">
        <v>1256</v>
      </c>
      <c r="N1116" s="1" t="str">
        <f>HYPERLINK("https://klocwork.india.ti.com:443/review/insight-review.html#issuedetails_goto:problemid=119837,project=MCU_PLUS_SDK_AM263X,searchquery=taxonomy:'C and C++' build:Build_Apr_13_2023_11_11_AM grouping:off ","KW Issue Link")</f>
        <v>KW Issue Link</v>
      </c>
      <c r="O1116" s="1" t="s">
        <v>291</v>
      </c>
    </row>
    <row r="1117" spans="1:15" ht="75" x14ac:dyDescent="0.25">
      <c r="A1117" s="1" t="s">
        <v>1257</v>
      </c>
      <c r="B1117" s="1"/>
      <c r="C1117" s="1" t="s">
        <v>369</v>
      </c>
      <c r="D1117" s="1">
        <v>119838</v>
      </c>
      <c r="E1117" s="1">
        <v>1150</v>
      </c>
      <c r="F1117" s="1" t="s">
        <v>1715</v>
      </c>
      <c r="G1117" s="1" t="s">
        <v>1716</v>
      </c>
      <c r="H1117" s="1" t="s">
        <v>141</v>
      </c>
      <c r="I1117" s="1" t="s">
        <v>65</v>
      </c>
      <c r="J1117" s="1">
        <v>3</v>
      </c>
      <c r="K1117" s="1" t="s">
        <v>142</v>
      </c>
      <c r="L1117" s="1" t="s">
        <v>153</v>
      </c>
      <c r="M1117" s="1" t="s">
        <v>1256</v>
      </c>
      <c r="N1117" s="1" t="str">
        <f>HYPERLINK("https://klocwork.india.ti.com:443/review/insight-review.html#issuedetails_goto:problemid=119838,project=MCU_PLUS_SDK_AM263X,searchquery=taxonomy:'C and C++' build:Build_Apr_13_2023_11_11_AM grouping:off ","KW Issue Link")</f>
        <v>KW Issue Link</v>
      </c>
      <c r="O1117" s="1" t="s">
        <v>291</v>
      </c>
    </row>
    <row r="1118" spans="1:15" ht="75" x14ac:dyDescent="0.25">
      <c r="A1118" s="1" t="s">
        <v>1257</v>
      </c>
      <c r="B1118" s="1"/>
      <c r="C1118" s="1" t="s">
        <v>369</v>
      </c>
      <c r="D1118" s="1">
        <v>119839</v>
      </c>
      <c r="E1118" s="1">
        <v>1206</v>
      </c>
      <c r="F1118" s="1" t="s">
        <v>1717</v>
      </c>
      <c r="G1118" s="1" t="s">
        <v>1718</v>
      </c>
      <c r="H1118" s="1" t="s">
        <v>141</v>
      </c>
      <c r="I1118" s="1" t="s">
        <v>65</v>
      </c>
      <c r="J1118" s="1">
        <v>3</v>
      </c>
      <c r="K1118" s="1" t="s">
        <v>142</v>
      </c>
      <c r="L1118" s="1" t="s">
        <v>153</v>
      </c>
      <c r="M1118" s="1" t="s">
        <v>1256</v>
      </c>
      <c r="N1118" s="1" t="str">
        <f>HYPERLINK("https://klocwork.india.ti.com:443/review/insight-review.html#issuedetails_goto:problemid=119839,project=MCU_PLUS_SDK_AM263X,searchquery=taxonomy:'C and C++' build:Build_Apr_13_2023_11_11_AM grouping:off ","KW Issue Link")</f>
        <v>KW Issue Link</v>
      </c>
      <c r="O1118" s="1" t="s">
        <v>291</v>
      </c>
    </row>
    <row r="1119" spans="1:15" ht="75" x14ac:dyDescent="0.25">
      <c r="A1119" s="1" t="s">
        <v>1257</v>
      </c>
      <c r="B1119" s="1"/>
      <c r="C1119" s="1" t="s">
        <v>369</v>
      </c>
      <c r="D1119" s="1">
        <v>119840</v>
      </c>
      <c r="E1119" s="1">
        <v>1260</v>
      </c>
      <c r="F1119" s="1" t="s">
        <v>1719</v>
      </c>
      <c r="G1119" s="1" t="s">
        <v>1720</v>
      </c>
      <c r="H1119" s="1" t="s">
        <v>141</v>
      </c>
      <c r="I1119" s="1" t="s">
        <v>65</v>
      </c>
      <c r="J1119" s="1">
        <v>3</v>
      </c>
      <c r="K1119" s="1" t="s">
        <v>142</v>
      </c>
      <c r="L1119" s="1" t="s">
        <v>153</v>
      </c>
      <c r="M1119" s="1" t="s">
        <v>1256</v>
      </c>
      <c r="N1119" s="1" t="str">
        <f>HYPERLINK("https://klocwork.india.ti.com:443/review/insight-review.html#issuedetails_goto:problemid=119840,project=MCU_PLUS_SDK_AM263X,searchquery=taxonomy:'C and C++' build:Build_Apr_13_2023_11_11_AM grouping:off ","KW Issue Link")</f>
        <v>KW Issue Link</v>
      </c>
      <c r="O1119" s="1" t="s">
        <v>291</v>
      </c>
    </row>
    <row r="1120" spans="1:15" ht="75" x14ac:dyDescent="0.25">
      <c r="A1120" s="1" t="s">
        <v>1257</v>
      </c>
      <c r="B1120" s="1"/>
      <c r="C1120" s="1" t="s">
        <v>369</v>
      </c>
      <c r="D1120" s="1">
        <v>119841</v>
      </c>
      <c r="E1120" s="1">
        <v>1318</v>
      </c>
      <c r="F1120" s="1" t="s">
        <v>1721</v>
      </c>
      <c r="G1120" s="1" t="s">
        <v>1722</v>
      </c>
      <c r="H1120" s="1" t="s">
        <v>141</v>
      </c>
      <c r="I1120" s="1" t="s">
        <v>65</v>
      </c>
      <c r="J1120" s="1">
        <v>3</v>
      </c>
      <c r="K1120" s="1" t="s">
        <v>142</v>
      </c>
      <c r="L1120" s="1" t="s">
        <v>153</v>
      </c>
      <c r="M1120" s="1" t="s">
        <v>1256</v>
      </c>
      <c r="N1120" s="1" t="str">
        <f>HYPERLINK("https://klocwork.india.ti.com:443/review/insight-review.html#issuedetails_goto:problemid=119841,project=MCU_PLUS_SDK_AM263X,searchquery=taxonomy:'C and C++' build:Build_Apr_13_2023_11_11_AM grouping:off ","KW Issue Link")</f>
        <v>KW Issue Link</v>
      </c>
      <c r="O1120" s="1" t="s">
        <v>291</v>
      </c>
    </row>
    <row r="1121" spans="1:15" ht="75" x14ac:dyDescent="0.25">
      <c r="A1121" s="1" t="s">
        <v>1257</v>
      </c>
      <c r="B1121" s="1"/>
      <c r="C1121" s="1" t="s">
        <v>369</v>
      </c>
      <c r="D1121" s="1">
        <v>119846</v>
      </c>
      <c r="E1121" s="1">
        <v>1507</v>
      </c>
      <c r="F1121" s="1" t="s">
        <v>1723</v>
      </c>
      <c r="G1121" s="1" t="s">
        <v>378</v>
      </c>
      <c r="H1121" s="1" t="s">
        <v>141</v>
      </c>
      <c r="I1121" s="1" t="s">
        <v>65</v>
      </c>
      <c r="J1121" s="1">
        <v>3</v>
      </c>
      <c r="K1121" s="1" t="s">
        <v>142</v>
      </c>
      <c r="L1121" s="1" t="s">
        <v>153</v>
      </c>
      <c r="M1121" s="1" t="s">
        <v>1256</v>
      </c>
      <c r="N1121" s="1" t="str">
        <f>HYPERLINK("https://klocwork.india.ti.com:443/review/insight-review.html#issuedetails_goto:problemid=119846,project=MCU_PLUS_SDK_AM263X,searchquery=taxonomy:'C and C++' build:Build_Apr_13_2023_11_11_AM grouping:off ","KW Issue Link")</f>
        <v>KW Issue Link</v>
      </c>
      <c r="O1121" s="1" t="s">
        <v>291</v>
      </c>
    </row>
    <row r="1122" spans="1:15" ht="75" x14ac:dyDescent="0.25">
      <c r="A1122" s="1" t="s">
        <v>1257</v>
      </c>
      <c r="B1122" s="1"/>
      <c r="C1122" s="1" t="s">
        <v>369</v>
      </c>
      <c r="D1122" s="1">
        <v>119847</v>
      </c>
      <c r="E1122" s="1">
        <v>1754</v>
      </c>
      <c r="F1122" s="1" t="s">
        <v>1724</v>
      </c>
      <c r="G1122" s="1" t="s">
        <v>1725</v>
      </c>
      <c r="H1122" s="1" t="s">
        <v>141</v>
      </c>
      <c r="I1122" s="1" t="s">
        <v>65</v>
      </c>
      <c r="J1122" s="1">
        <v>3</v>
      </c>
      <c r="K1122" s="1" t="s">
        <v>142</v>
      </c>
      <c r="L1122" s="1" t="s">
        <v>153</v>
      </c>
      <c r="M1122" s="1" t="s">
        <v>1256</v>
      </c>
      <c r="N1122" s="1" t="str">
        <f>HYPERLINK("https://klocwork.india.ti.com:443/review/insight-review.html#issuedetails_goto:problemid=119847,project=MCU_PLUS_SDK_AM263X,searchquery=taxonomy:'C and C++' build:Build_Apr_13_2023_11_11_AM grouping:off ","KW Issue Link")</f>
        <v>KW Issue Link</v>
      </c>
      <c r="O1122" s="1" t="s">
        <v>291</v>
      </c>
    </row>
    <row r="1123" spans="1:15" ht="75" x14ac:dyDescent="0.25">
      <c r="A1123" s="1" t="s">
        <v>1257</v>
      </c>
      <c r="B1123" s="1"/>
      <c r="C1123" s="1" t="s">
        <v>369</v>
      </c>
      <c r="D1123" s="1">
        <v>119848</v>
      </c>
      <c r="E1123" s="1">
        <v>1874</v>
      </c>
      <c r="F1123" s="1" t="s">
        <v>1726</v>
      </c>
      <c r="G1123" s="1" t="s">
        <v>1727</v>
      </c>
      <c r="H1123" s="1" t="s">
        <v>141</v>
      </c>
      <c r="I1123" s="1" t="s">
        <v>65</v>
      </c>
      <c r="J1123" s="1">
        <v>3</v>
      </c>
      <c r="K1123" s="1" t="s">
        <v>142</v>
      </c>
      <c r="L1123" s="1" t="s">
        <v>153</v>
      </c>
      <c r="M1123" s="1" t="s">
        <v>1256</v>
      </c>
      <c r="N1123" s="1" t="str">
        <f>HYPERLINK("https://klocwork.india.ti.com:443/review/insight-review.html#issuedetails_goto:problemid=119848,project=MCU_PLUS_SDK_AM263X,searchquery=taxonomy:'C and C++' build:Build_Apr_13_2023_11_11_AM grouping:off ","KW Issue Link")</f>
        <v>KW Issue Link</v>
      </c>
      <c r="O1123" s="1" t="s">
        <v>291</v>
      </c>
    </row>
    <row r="1124" spans="1:15" ht="75" x14ac:dyDescent="0.25">
      <c r="A1124" s="1" t="s">
        <v>1266</v>
      </c>
      <c r="B1124" s="1"/>
      <c r="C1124" s="1" t="s">
        <v>369</v>
      </c>
      <c r="D1124" s="1">
        <v>119849</v>
      </c>
      <c r="E1124" s="1">
        <v>303</v>
      </c>
      <c r="F1124" s="1" t="s">
        <v>1728</v>
      </c>
      <c r="G1124" s="1" t="s">
        <v>1687</v>
      </c>
      <c r="H1124" s="1" t="s">
        <v>141</v>
      </c>
      <c r="I1124" s="1" t="s">
        <v>65</v>
      </c>
      <c r="J1124" s="1">
        <v>3</v>
      </c>
      <c r="K1124" s="1" t="s">
        <v>142</v>
      </c>
      <c r="L1124" s="1" t="s">
        <v>153</v>
      </c>
      <c r="M1124" s="1" t="s">
        <v>1256</v>
      </c>
      <c r="N1124" s="1" t="str">
        <f>HYPERLINK("https://klocwork.india.ti.com:443/review/insight-review.html#issuedetails_goto:problemid=119849,project=MCU_PLUS_SDK_AM263X,searchquery=taxonomy:'C and C++' build:Build_Apr_13_2023_11_11_AM grouping:off ","KW Issue Link")</f>
        <v>KW Issue Link</v>
      </c>
      <c r="O1124" s="1" t="s">
        <v>291</v>
      </c>
    </row>
    <row r="1125" spans="1:15" ht="75" x14ac:dyDescent="0.25">
      <c r="A1125" s="1" t="s">
        <v>1266</v>
      </c>
      <c r="B1125" s="1"/>
      <c r="C1125" s="1" t="s">
        <v>369</v>
      </c>
      <c r="D1125" s="1">
        <v>119850</v>
      </c>
      <c r="E1125" s="1">
        <v>332</v>
      </c>
      <c r="F1125" s="1" t="s">
        <v>1729</v>
      </c>
      <c r="G1125" s="1" t="s">
        <v>1689</v>
      </c>
      <c r="H1125" s="1" t="s">
        <v>141</v>
      </c>
      <c r="I1125" s="1" t="s">
        <v>65</v>
      </c>
      <c r="J1125" s="1">
        <v>3</v>
      </c>
      <c r="K1125" s="1" t="s">
        <v>142</v>
      </c>
      <c r="L1125" s="1" t="s">
        <v>153</v>
      </c>
      <c r="M1125" s="1" t="s">
        <v>1256</v>
      </c>
      <c r="N1125" s="1" t="str">
        <f>HYPERLINK("https://klocwork.india.ti.com:443/review/insight-review.html#issuedetails_goto:problemid=119850,project=MCU_PLUS_SDK_AM263X,searchquery=taxonomy:'C and C++' build:Build_Apr_13_2023_11_11_AM grouping:off ","KW Issue Link")</f>
        <v>KW Issue Link</v>
      </c>
      <c r="O1125" s="1" t="s">
        <v>291</v>
      </c>
    </row>
    <row r="1126" spans="1:15" ht="75" x14ac:dyDescent="0.25">
      <c r="A1126" s="1" t="s">
        <v>1266</v>
      </c>
      <c r="B1126" s="1"/>
      <c r="C1126" s="1" t="s">
        <v>369</v>
      </c>
      <c r="D1126" s="1">
        <v>119851</v>
      </c>
      <c r="E1126" s="1">
        <v>366</v>
      </c>
      <c r="F1126" s="1" t="s">
        <v>1730</v>
      </c>
      <c r="G1126" s="1" t="s">
        <v>1691</v>
      </c>
      <c r="H1126" s="1" t="s">
        <v>141</v>
      </c>
      <c r="I1126" s="1" t="s">
        <v>65</v>
      </c>
      <c r="J1126" s="1">
        <v>3</v>
      </c>
      <c r="K1126" s="1" t="s">
        <v>142</v>
      </c>
      <c r="L1126" s="1" t="s">
        <v>153</v>
      </c>
      <c r="M1126" s="1" t="s">
        <v>1256</v>
      </c>
      <c r="N1126" s="1" t="str">
        <f>HYPERLINK("https://klocwork.india.ti.com:443/review/insight-review.html#issuedetails_goto:problemid=119851,project=MCU_PLUS_SDK_AM263X,searchquery=taxonomy:'C and C++' build:Build_Apr_13_2023_11_11_AM grouping:off ","KW Issue Link")</f>
        <v>KW Issue Link</v>
      </c>
      <c r="O1126" s="1" t="s">
        <v>291</v>
      </c>
    </row>
    <row r="1127" spans="1:15" ht="75" x14ac:dyDescent="0.25">
      <c r="A1127" s="1" t="s">
        <v>1266</v>
      </c>
      <c r="B1127" s="1"/>
      <c r="C1127" s="1" t="s">
        <v>369</v>
      </c>
      <c r="D1127" s="1">
        <v>119852</v>
      </c>
      <c r="E1127" s="1">
        <v>430</v>
      </c>
      <c r="F1127" s="1" t="s">
        <v>1731</v>
      </c>
      <c r="G1127" s="1" t="s">
        <v>1693</v>
      </c>
      <c r="H1127" s="1" t="s">
        <v>141</v>
      </c>
      <c r="I1127" s="1" t="s">
        <v>65</v>
      </c>
      <c r="J1127" s="1">
        <v>3</v>
      </c>
      <c r="K1127" s="1" t="s">
        <v>142</v>
      </c>
      <c r="L1127" s="1" t="s">
        <v>153</v>
      </c>
      <c r="M1127" s="1" t="s">
        <v>1256</v>
      </c>
      <c r="N1127" s="1" t="str">
        <f>HYPERLINK("https://klocwork.india.ti.com:443/review/insight-review.html#issuedetails_goto:problemid=119852,project=MCU_PLUS_SDK_AM263X,searchquery=taxonomy:'C and C++' build:Build_Apr_13_2023_11_11_AM grouping:off ","KW Issue Link")</f>
        <v>KW Issue Link</v>
      </c>
      <c r="O1127" s="1" t="s">
        <v>291</v>
      </c>
    </row>
    <row r="1128" spans="1:15" ht="75" x14ac:dyDescent="0.25">
      <c r="A1128" s="1" t="s">
        <v>1266</v>
      </c>
      <c r="B1128" s="1"/>
      <c r="C1128" s="1" t="s">
        <v>369</v>
      </c>
      <c r="D1128" s="1">
        <v>119854</v>
      </c>
      <c r="E1128" s="1">
        <v>499</v>
      </c>
      <c r="F1128" s="1" t="s">
        <v>1732</v>
      </c>
      <c r="G1128" s="1" t="s">
        <v>1697</v>
      </c>
      <c r="H1128" s="1" t="s">
        <v>141</v>
      </c>
      <c r="I1128" s="1" t="s">
        <v>65</v>
      </c>
      <c r="J1128" s="1">
        <v>3</v>
      </c>
      <c r="K1128" s="1" t="s">
        <v>142</v>
      </c>
      <c r="L1128" s="1" t="s">
        <v>153</v>
      </c>
      <c r="M1128" s="1" t="s">
        <v>1256</v>
      </c>
      <c r="N1128" s="1" t="str">
        <f>HYPERLINK("https://klocwork.india.ti.com:443/review/insight-review.html#issuedetails_goto:problemid=119854,project=MCU_PLUS_SDK_AM263X,searchquery=taxonomy:'C and C++' build:Build_Apr_13_2023_11_11_AM grouping:off ","KW Issue Link")</f>
        <v>KW Issue Link</v>
      </c>
      <c r="O1128" s="1" t="s">
        <v>291</v>
      </c>
    </row>
    <row r="1129" spans="1:15" ht="75" x14ac:dyDescent="0.25">
      <c r="A1129" s="1" t="s">
        <v>1266</v>
      </c>
      <c r="B1129" s="1"/>
      <c r="C1129" s="1" t="s">
        <v>369</v>
      </c>
      <c r="D1129" s="1">
        <v>119855</v>
      </c>
      <c r="E1129" s="1">
        <v>546</v>
      </c>
      <c r="F1129" s="1" t="s">
        <v>1733</v>
      </c>
      <c r="G1129" s="1" t="s">
        <v>1699</v>
      </c>
      <c r="H1129" s="1" t="s">
        <v>141</v>
      </c>
      <c r="I1129" s="1" t="s">
        <v>65</v>
      </c>
      <c r="J1129" s="1">
        <v>3</v>
      </c>
      <c r="K1129" s="1" t="s">
        <v>142</v>
      </c>
      <c r="L1129" s="1" t="s">
        <v>153</v>
      </c>
      <c r="M1129" s="1" t="s">
        <v>1256</v>
      </c>
      <c r="N1129" s="1" t="str">
        <f>HYPERLINK("https://klocwork.india.ti.com:443/review/insight-review.html#issuedetails_goto:problemid=119855,project=MCU_PLUS_SDK_AM263X,searchquery=taxonomy:'C and C++' build:Build_Apr_13_2023_11_11_AM grouping:off ","KW Issue Link")</f>
        <v>KW Issue Link</v>
      </c>
      <c r="O1129" s="1" t="s">
        <v>291</v>
      </c>
    </row>
    <row r="1130" spans="1:15" ht="75" x14ac:dyDescent="0.25">
      <c r="A1130" s="1" t="s">
        <v>1266</v>
      </c>
      <c r="B1130" s="1"/>
      <c r="C1130" s="1" t="s">
        <v>369</v>
      </c>
      <c r="D1130" s="1">
        <v>119856</v>
      </c>
      <c r="E1130" s="1">
        <v>573</v>
      </c>
      <c r="F1130" s="1" t="s">
        <v>1734</v>
      </c>
      <c r="G1130" s="1" t="s">
        <v>1701</v>
      </c>
      <c r="H1130" s="1" t="s">
        <v>141</v>
      </c>
      <c r="I1130" s="1" t="s">
        <v>65</v>
      </c>
      <c r="J1130" s="1">
        <v>3</v>
      </c>
      <c r="K1130" s="1" t="s">
        <v>142</v>
      </c>
      <c r="L1130" s="1" t="s">
        <v>153</v>
      </c>
      <c r="M1130" s="1" t="s">
        <v>1256</v>
      </c>
      <c r="N1130" s="1" t="str">
        <f>HYPERLINK("https://klocwork.india.ti.com:443/review/insight-review.html#issuedetails_goto:problemid=119856,project=MCU_PLUS_SDK_AM263X,searchquery=taxonomy:'C and C++' build:Build_Apr_13_2023_11_11_AM grouping:off ","KW Issue Link")</f>
        <v>KW Issue Link</v>
      </c>
      <c r="O1130" s="1" t="s">
        <v>291</v>
      </c>
    </row>
    <row r="1131" spans="1:15" ht="75" x14ac:dyDescent="0.25">
      <c r="A1131" s="1" t="s">
        <v>1266</v>
      </c>
      <c r="B1131" s="1"/>
      <c r="C1131" s="1" t="s">
        <v>369</v>
      </c>
      <c r="D1131" s="1">
        <v>119858</v>
      </c>
      <c r="E1131" s="1">
        <v>737</v>
      </c>
      <c r="F1131" s="1" t="s">
        <v>1735</v>
      </c>
      <c r="G1131" s="1" t="s">
        <v>376</v>
      </c>
      <c r="H1131" s="1" t="s">
        <v>141</v>
      </c>
      <c r="I1131" s="1" t="s">
        <v>65</v>
      </c>
      <c r="J1131" s="1">
        <v>3</v>
      </c>
      <c r="K1131" s="1" t="s">
        <v>142</v>
      </c>
      <c r="L1131" s="1" t="s">
        <v>153</v>
      </c>
      <c r="M1131" s="1" t="s">
        <v>1256</v>
      </c>
      <c r="N1131" s="1" t="str">
        <f>HYPERLINK("https://klocwork.india.ti.com:443/review/insight-review.html#issuedetails_goto:problemid=119858,project=MCU_PLUS_SDK_AM263X,searchquery=taxonomy:'C and C++' build:Build_Apr_13_2023_11_11_AM grouping:off ","KW Issue Link")</f>
        <v>KW Issue Link</v>
      </c>
      <c r="O1131" s="1" t="s">
        <v>291</v>
      </c>
    </row>
    <row r="1132" spans="1:15" ht="75" x14ac:dyDescent="0.25">
      <c r="A1132" s="1" t="s">
        <v>1266</v>
      </c>
      <c r="B1132" s="1"/>
      <c r="C1132" s="1" t="s">
        <v>369</v>
      </c>
      <c r="D1132" s="1">
        <v>119859</v>
      </c>
      <c r="E1132" s="1">
        <v>814</v>
      </c>
      <c r="F1132" s="1" t="s">
        <v>1736</v>
      </c>
      <c r="G1132" s="1" t="s">
        <v>1704</v>
      </c>
      <c r="H1132" s="1" t="s">
        <v>141</v>
      </c>
      <c r="I1132" s="1" t="s">
        <v>65</v>
      </c>
      <c r="J1132" s="1">
        <v>3</v>
      </c>
      <c r="K1132" s="1" t="s">
        <v>142</v>
      </c>
      <c r="L1132" s="1" t="s">
        <v>153</v>
      </c>
      <c r="M1132" s="1" t="s">
        <v>1256</v>
      </c>
      <c r="N1132" s="1" t="str">
        <f>HYPERLINK("https://klocwork.india.ti.com:443/review/insight-review.html#issuedetails_goto:problemid=119859,project=MCU_PLUS_SDK_AM263X,searchquery=taxonomy:'C and C++' build:Build_Apr_13_2023_11_11_AM grouping:off ","KW Issue Link")</f>
        <v>KW Issue Link</v>
      </c>
      <c r="O1132" s="1" t="s">
        <v>291</v>
      </c>
    </row>
    <row r="1133" spans="1:15" ht="75" x14ac:dyDescent="0.25">
      <c r="A1133" s="1" t="s">
        <v>1266</v>
      </c>
      <c r="B1133" s="1"/>
      <c r="C1133" s="1" t="s">
        <v>369</v>
      </c>
      <c r="D1133" s="1">
        <v>119860</v>
      </c>
      <c r="E1133" s="1">
        <v>903</v>
      </c>
      <c r="F1133" s="1" t="s">
        <v>1737</v>
      </c>
      <c r="G1133" s="1" t="s">
        <v>1708</v>
      </c>
      <c r="H1133" s="1" t="s">
        <v>141</v>
      </c>
      <c r="I1133" s="1" t="s">
        <v>65</v>
      </c>
      <c r="J1133" s="1">
        <v>3</v>
      </c>
      <c r="K1133" s="1" t="s">
        <v>142</v>
      </c>
      <c r="L1133" s="1" t="s">
        <v>153</v>
      </c>
      <c r="M1133" s="1" t="s">
        <v>1256</v>
      </c>
      <c r="N1133" s="1" t="str">
        <f>HYPERLINK("https://klocwork.india.ti.com:443/review/insight-review.html#issuedetails_goto:problemid=119860,project=MCU_PLUS_SDK_AM263X,searchquery=taxonomy:'C and C++' build:Build_Apr_13_2023_11_11_AM grouping:off ","KW Issue Link")</f>
        <v>KW Issue Link</v>
      </c>
      <c r="O1133" s="1" t="s">
        <v>291</v>
      </c>
    </row>
    <row r="1134" spans="1:15" ht="75" x14ac:dyDescent="0.25">
      <c r="A1134" s="1" t="s">
        <v>1266</v>
      </c>
      <c r="B1134" s="1"/>
      <c r="C1134" s="1" t="s">
        <v>369</v>
      </c>
      <c r="D1134" s="1">
        <v>119861</v>
      </c>
      <c r="E1134" s="1">
        <v>935</v>
      </c>
      <c r="F1134" s="1" t="s">
        <v>1738</v>
      </c>
      <c r="G1134" s="1" t="s">
        <v>1710</v>
      </c>
      <c r="H1134" s="1" t="s">
        <v>141</v>
      </c>
      <c r="I1134" s="1" t="s">
        <v>65</v>
      </c>
      <c r="J1134" s="1">
        <v>3</v>
      </c>
      <c r="K1134" s="1" t="s">
        <v>142</v>
      </c>
      <c r="L1134" s="1" t="s">
        <v>153</v>
      </c>
      <c r="M1134" s="1" t="s">
        <v>1256</v>
      </c>
      <c r="N1134" s="1" t="str">
        <f>HYPERLINK("https://klocwork.india.ti.com:443/review/insight-review.html#issuedetails_goto:problemid=119861,project=MCU_PLUS_SDK_AM263X,searchquery=taxonomy:'C and C++' build:Build_Apr_13_2023_11_11_AM grouping:off ","KW Issue Link")</f>
        <v>KW Issue Link</v>
      </c>
      <c r="O1134" s="1" t="s">
        <v>291</v>
      </c>
    </row>
    <row r="1135" spans="1:15" ht="75" x14ac:dyDescent="0.25">
      <c r="A1135" s="1" t="s">
        <v>1266</v>
      </c>
      <c r="B1135" s="1"/>
      <c r="C1135" s="1" t="s">
        <v>369</v>
      </c>
      <c r="D1135" s="1">
        <v>119862</v>
      </c>
      <c r="E1135" s="1">
        <v>981</v>
      </c>
      <c r="F1135" s="1" t="s">
        <v>1739</v>
      </c>
      <c r="G1135" s="1" t="s">
        <v>1712</v>
      </c>
      <c r="H1135" s="1" t="s">
        <v>141</v>
      </c>
      <c r="I1135" s="1" t="s">
        <v>65</v>
      </c>
      <c r="J1135" s="1">
        <v>3</v>
      </c>
      <c r="K1135" s="1" t="s">
        <v>142</v>
      </c>
      <c r="L1135" s="1" t="s">
        <v>153</v>
      </c>
      <c r="M1135" s="1" t="s">
        <v>1256</v>
      </c>
      <c r="N1135" s="1" t="str">
        <f>HYPERLINK("https://klocwork.india.ti.com:443/review/insight-review.html#issuedetails_goto:problemid=119862,project=MCU_PLUS_SDK_AM263X,searchquery=taxonomy:'C and C++' build:Build_Apr_13_2023_11_11_AM grouping:off ","KW Issue Link")</f>
        <v>KW Issue Link</v>
      </c>
      <c r="O1135" s="1" t="s">
        <v>291</v>
      </c>
    </row>
    <row r="1136" spans="1:15" ht="75" x14ac:dyDescent="0.25">
      <c r="A1136" s="1" t="s">
        <v>1266</v>
      </c>
      <c r="B1136" s="1"/>
      <c r="C1136" s="1" t="s">
        <v>369</v>
      </c>
      <c r="D1136" s="1">
        <v>119863</v>
      </c>
      <c r="E1136" s="1">
        <v>1040</v>
      </c>
      <c r="F1136" s="1" t="s">
        <v>1740</v>
      </c>
      <c r="G1136" s="1" t="s">
        <v>1714</v>
      </c>
      <c r="H1136" s="1" t="s">
        <v>141</v>
      </c>
      <c r="I1136" s="1" t="s">
        <v>65</v>
      </c>
      <c r="J1136" s="1">
        <v>3</v>
      </c>
      <c r="K1136" s="1" t="s">
        <v>142</v>
      </c>
      <c r="L1136" s="1" t="s">
        <v>153</v>
      </c>
      <c r="M1136" s="1" t="s">
        <v>1256</v>
      </c>
      <c r="N1136" s="1" t="str">
        <f>HYPERLINK("https://klocwork.india.ti.com:443/review/insight-review.html#issuedetails_goto:problemid=119863,project=MCU_PLUS_SDK_AM263X,searchquery=taxonomy:'C and C++' build:Build_Apr_13_2023_11_11_AM grouping:off ","KW Issue Link")</f>
        <v>KW Issue Link</v>
      </c>
      <c r="O1136" s="1" t="s">
        <v>291</v>
      </c>
    </row>
    <row r="1137" spans="1:15" ht="75" x14ac:dyDescent="0.25">
      <c r="A1137" s="1" t="s">
        <v>1266</v>
      </c>
      <c r="B1137" s="1"/>
      <c r="C1137" s="1" t="s">
        <v>369</v>
      </c>
      <c r="D1137" s="1">
        <v>119864</v>
      </c>
      <c r="E1137" s="1">
        <v>1150</v>
      </c>
      <c r="F1137" s="1" t="s">
        <v>1741</v>
      </c>
      <c r="G1137" s="1" t="s">
        <v>1716</v>
      </c>
      <c r="H1137" s="1" t="s">
        <v>141</v>
      </c>
      <c r="I1137" s="1" t="s">
        <v>65</v>
      </c>
      <c r="J1137" s="1">
        <v>3</v>
      </c>
      <c r="K1137" s="1" t="s">
        <v>142</v>
      </c>
      <c r="L1137" s="1" t="s">
        <v>153</v>
      </c>
      <c r="M1137" s="1" t="s">
        <v>1256</v>
      </c>
      <c r="N1137" s="1" t="str">
        <f>HYPERLINK("https://klocwork.india.ti.com:443/review/insight-review.html#issuedetails_goto:problemid=119864,project=MCU_PLUS_SDK_AM263X,searchquery=taxonomy:'C and C++' build:Build_Apr_13_2023_11_11_AM grouping:off ","KW Issue Link")</f>
        <v>KW Issue Link</v>
      </c>
      <c r="O1137" s="1" t="s">
        <v>291</v>
      </c>
    </row>
    <row r="1138" spans="1:15" ht="75" x14ac:dyDescent="0.25">
      <c r="A1138" s="1" t="s">
        <v>1266</v>
      </c>
      <c r="B1138" s="1"/>
      <c r="C1138" s="1" t="s">
        <v>369</v>
      </c>
      <c r="D1138" s="1">
        <v>119865</v>
      </c>
      <c r="E1138" s="1">
        <v>1206</v>
      </c>
      <c r="F1138" s="1" t="s">
        <v>1742</v>
      </c>
      <c r="G1138" s="1" t="s">
        <v>1718</v>
      </c>
      <c r="H1138" s="1" t="s">
        <v>141</v>
      </c>
      <c r="I1138" s="1" t="s">
        <v>65</v>
      </c>
      <c r="J1138" s="1">
        <v>3</v>
      </c>
      <c r="K1138" s="1" t="s">
        <v>142</v>
      </c>
      <c r="L1138" s="1" t="s">
        <v>153</v>
      </c>
      <c r="M1138" s="1" t="s">
        <v>1256</v>
      </c>
      <c r="N1138" s="1" t="str">
        <f>HYPERLINK("https://klocwork.india.ti.com:443/review/insight-review.html#issuedetails_goto:problemid=119865,project=MCU_PLUS_SDK_AM263X,searchquery=taxonomy:'C and C++' build:Build_Apr_13_2023_11_11_AM grouping:off ","KW Issue Link")</f>
        <v>KW Issue Link</v>
      </c>
      <c r="O1138" s="1" t="s">
        <v>291</v>
      </c>
    </row>
    <row r="1139" spans="1:15" ht="75" x14ac:dyDescent="0.25">
      <c r="A1139" s="1" t="s">
        <v>1266</v>
      </c>
      <c r="B1139" s="1"/>
      <c r="C1139" s="1" t="s">
        <v>369</v>
      </c>
      <c r="D1139" s="1">
        <v>119866</v>
      </c>
      <c r="E1139" s="1">
        <v>1260</v>
      </c>
      <c r="F1139" s="1" t="s">
        <v>1743</v>
      </c>
      <c r="G1139" s="1" t="s">
        <v>1720</v>
      </c>
      <c r="H1139" s="1" t="s">
        <v>141</v>
      </c>
      <c r="I1139" s="1" t="s">
        <v>65</v>
      </c>
      <c r="J1139" s="1">
        <v>3</v>
      </c>
      <c r="K1139" s="1" t="s">
        <v>142</v>
      </c>
      <c r="L1139" s="1" t="s">
        <v>153</v>
      </c>
      <c r="M1139" s="1" t="s">
        <v>1256</v>
      </c>
      <c r="N1139" s="1" t="str">
        <f>HYPERLINK("https://klocwork.india.ti.com:443/review/insight-review.html#issuedetails_goto:problemid=119866,project=MCU_PLUS_SDK_AM263X,searchquery=taxonomy:'C and C++' build:Build_Apr_13_2023_11_11_AM grouping:off ","KW Issue Link")</f>
        <v>KW Issue Link</v>
      </c>
      <c r="O1139" s="1" t="s">
        <v>291</v>
      </c>
    </row>
    <row r="1140" spans="1:15" ht="75" x14ac:dyDescent="0.25">
      <c r="A1140" s="1" t="s">
        <v>1266</v>
      </c>
      <c r="B1140" s="1"/>
      <c r="C1140" s="1" t="s">
        <v>369</v>
      </c>
      <c r="D1140" s="1">
        <v>119867</v>
      </c>
      <c r="E1140" s="1">
        <v>1318</v>
      </c>
      <c r="F1140" s="1" t="s">
        <v>1744</v>
      </c>
      <c r="G1140" s="1" t="s">
        <v>1722</v>
      </c>
      <c r="H1140" s="1" t="s">
        <v>141</v>
      </c>
      <c r="I1140" s="1" t="s">
        <v>65</v>
      </c>
      <c r="J1140" s="1">
        <v>3</v>
      </c>
      <c r="K1140" s="1" t="s">
        <v>142</v>
      </c>
      <c r="L1140" s="1" t="s">
        <v>153</v>
      </c>
      <c r="M1140" s="1" t="s">
        <v>1256</v>
      </c>
      <c r="N1140" s="1" t="str">
        <f>HYPERLINK("https://klocwork.india.ti.com:443/review/insight-review.html#issuedetails_goto:problemid=119867,project=MCU_PLUS_SDK_AM263X,searchquery=taxonomy:'C and C++' build:Build_Apr_13_2023_11_11_AM grouping:off ","KW Issue Link")</f>
        <v>KW Issue Link</v>
      </c>
      <c r="O1140" s="1" t="s">
        <v>291</v>
      </c>
    </row>
    <row r="1141" spans="1:15" ht="75" x14ac:dyDescent="0.25">
      <c r="A1141" s="1" t="s">
        <v>1266</v>
      </c>
      <c r="B1141" s="1"/>
      <c r="C1141" s="1" t="s">
        <v>369</v>
      </c>
      <c r="D1141" s="1">
        <v>119868</v>
      </c>
      <c r="E1141" s="1">
        <v>1507</v>
      </c>
      <c r="F1141" s="1" t="s">
        <v>1745</v>
      </c>
      <c r="G1141" s="1" t="s">
        <v>378</v>
      </c>
      <c r="H1141" s="1" t="s">
        <v>141</v>
      </c>
      <c r="I1141" s="1" t="s">
        <v>65</v>
      </c>
      <c r="J1141" s="1">
        <v>3</v>
      </c>
      <c r="K1141" s="1" t="s">
        <v>142</v>
      </c>
      <c r="L1141" s="1" t="s">
        <v>153</v>
      </c>
      <c r="M1141" s="1" t="s">
        <v>1256</v>
      </c>
      <c r="N1141" s="1" t="str">
        <f>HYPERLINK("https://klocwork.india.ti.com:443/review/insight-review.html#issuedetails_goto:problemid=119868,project=MCU_PLUS_SDK_AM263X,searchquery=taxonomy:'C and C++' build:Build_Apr_13_2023_11_11_AM grouping:off ","KW Issue Link")</f>
        <v>KW Issue Link</v>
      </c>
      <c r="O1141" s="1" t="s">
        <v>291</v>
      </c>
    </row>
    <row r="1142" spans="1:15" ht="75" x14ac:dyDescent="0.25">
      <c r="A1142" s="1" t="s">
        <v>1266</v>
      </c>
      <c r="B1142" s="1"/>
      <c r="C1142" s="1" t="s">
        <v>369</v>
      </c>
      <c r="D1142" s="1">
        <v>119869</v>
      </c>
      <c r="E1142" s="1">
        <v>1754</v>
      </c>
      <c r="F1142" s="1" t="s">
        <v>1746</v>
      </c>
      <c r="G1142" s="1" t="s">
        <v>1725</v>
      </c>
      <c r="H1142" s="1" t="s">
        <v>141</v>
      </c>
      <c r="I1142" s="1" t="s">
        <v>65</v>
      </c>
      <c r="J1142" s="1">
        <v>3</v>
      </c>
      <c r="K1142" s="1" t="s">
        <v>142</v>
      </c>
      <c r="L1142" s="1" t="s">
        <v>153</v>
      </c>
      <c r="M1142" s="1" t="s">
        <v>1256</v>
      </c>
      <c r="N1142" s="1" t="str">
        <f>HYPERLINK("https://klocwork.india.ti.com:443/review/insight-review.html#issuedetails_goto:problemid=119869,project=MCU_PLUS_SDK_AM263X,searchquery=taxonomy:'C and C++' build:Build_Apr_13_2023_11_11_AM grouping:off ","KW Issue Link")</f>
        <v>KW Issue Link</v>
      </c>
      <c r="O1142" s="1" t="s">
        <v>291</v>
      </c>
    </row>
    <row r="1143" spans="1:15" ht="75" x14ac:dyDescent="0.25">
      <c r="A1143" s="1" t="s">
        <v>1266</v>
      </c>
      <c r="B1143" s="1"/>
      <c r="C1143" s="1" t="s">
        <v>369</v>
      </c>
      <c r="D1143" s="1">
        <v>119870</v>
      </c>
      <c r="E1143" s="1">
        <v>1874</v>
      </c>
      <c r="F1143" s="1" t="s">
        <v>1747</v>
      </c>
      <c r="G1143" s="1" t="s">
        <v>1727</v>
      </c>
      <c r="H1143" s="1" t="s">
        <v>141</v>
      </c>
      <c r="I1143" s="1" t="s">
        <v>65</v>
      </c>
      <c r="J1143" s="1">
        <v>3</v>
      </c>
      <c r="K1143" s="1" t="s">
        <v>142</v>
      </c>
      <c r="L1143" s="1" t="s">
        <v>153</v>
      </c>
      <c r="M1143" s="1" t="s">
        <v>1256</v>
      </c>
      <c r="N1143" s="1" t="str">
        <f>HYPERLINK("https://klocwork.india.ti.com:443/review/insight-review.html#issuedetails_goto:problemid=119870,project=MCU_PLUS_SDK_AM263X,searchquery=taxonomy:'C and C++' build:Build_Apr_13_2023_11_11_AM grouping:off ","KW Issue Link")</f>
        <v>KW Issue Link</v>
      </c>
      <c r="O1143" s="1" t="s">
        <v>291</v>
      </c>
    </row>
    <row r="1144" spans="1:15" ht="75" x14ac:dyDescent="0.25">
      <c r="A1144" s="1" t="s">
        <v>1268</v>
      </c>
      <c r="B1144" s="1"/>
      <c r="C1144" s="1" t="s">
        <v>369</v>
      </c>
      <c r="D1144" s="1">
        <v>119871</v>
      </c>
      <c r="E1144" s="1">
        <v>303</v>
      </c>
      <c r="F1144" s="1" t="s">
        <v>1748</v>
      </c>
      <c r="G1144" s="1" t="s">
        <v>1687</v>
      </c>
      <c r="H1144" s="1" t="s">
        <v>141</v>
      </c>
      <c r="I1144" s="1" t="s">
        <v>65</v>
      </c>
      <c r="J1144" s="1">
        <v>3</v>
      </c>
      <c r="K1144" s="1" t="s">
        <v>142</v>
      </c>
      <c r="L1144" s="1" t="s">
        <v>153</v>
      </c>
      <c r="M1144" s="1" t="s">
        <v>1256</v>
      </c>
      <c r="N1144" s="1" t="str">
        <f>HYPERLINK("https://klocwork.india.ti.com:443/review/insight-review.html#issuedetails_goto:problemid=119871,project=MCU_PLUS_SDK_AM263X,searchquery=taxonomy:'C and C++' build:Build_Apr_13_2023_11_11_AM grouping:off ","KW Issue Link")</f>
        <v>KW Issue Link</v>
      </c>
      <c r="O1144" s="1" t="s">
        <v>291</v>
      </c>
    </row>
    <row r="1145" spans="1:15" ht="75" x14ac:dyDescent="0.25">
      <c r="A1145" s="1" t="s">
        <v>1268</v>
      </c>
      <c r="B1145" s="1"/>
      <c r="C1145" s="1" t="s">
        <v>369</v>
      </c>
      <c r="D1145" s="1">
        <v>119872</v>
      </c>
      <c r="E1145" s="1">
        <v>332</v>
      </c>
      <c r="F1145" s="1" t="s">
        <v>1749</v>
      </c>
      <c r="G1145" s="1" t="s">
        <v>1689</v>
      </c>
      <c r="H1145" s="1" t="s">
        <v>141</v>
      </c>
      <c r="I1145" s="1" t="s">
        <v>65</v>
      </c>
      <c r="J1145" s="1">
        <v>3</v>
      </c>
      <c r="K1145" s="1" t="s">
        <v>142</v>
      </c>
      <c r="L1145" s="1" t="s">
        <v>153</v>
      </c>
      <c r="M1145" s="1" t="s">
        <v>1256</v>
      </c>
      <c r="N1145" s="1" t="str">
        <f>HYPERLINK("https://klocwork.india.ti.com:443/review/insight-review.html#issuedetails_goto:problemid=119872,project=MCU_PLUS_SDK_AM263X,searchquery=taxonomy:'C and C++' build:Build_Apr_13_2023_11_11_AM grouping:off ","KW Issue Link")</f>
        <v>KW Issue Link</v>
      </c>
      <c r="O1145" s="1" t="s">
        <v>291</v>
      </c>
    </row>
    <row r="1146" spans="1:15" ht="75" x14ac:dyDescent="0.25">
      <c r="A1146" s="1" t="s">
        <v>1268</v>
      </c>
      <c r="B1146" s="1"/>
      <c r="C1146" s="1" t="s">
        <v>369</v>
      </c>
      <c r="D1146" s="1">
        <v>119873</v>
      </c>
      <c r="E1146" s="1">
        <v>366</v>
      </c>
      <c r="F1146" s="1" t="s">
        <v>1750</v>
      </c>
      <c r="G1146" s="1" t="s">
        <v>1691</v>
      </c>
      <c r="H1146" s="1" t="s">
        <v>141</v>
      </c>
      <c r="I1146" s="1" t="s">
        <v>65</v>
      </c>
      <c r="J1146" s="1">
        <v>3</v>
      </c>
      <c r="K1146" s="1" t="s">
        <v>142</v>
      </c>
      <c r="L1146" s="1" t="s">
        <v>153</v>
      </c>
      <c r="M1146" s="1" t="s">
        <v>1256</v>
      </c>
      <c r="N1146" s="1" t="str">
        <f>HYPERLINK("https://klocwork.india.ti.com:443/review/insight-review.html#issuedetails_goto:problemid=119873,project=MCU_PLUS_SDK_AM263X,searchquery=taxonomy:'C and C++' build:Build_Apr_13_2023_11_11_AM grouping:off ","KW Issue Link")</f>
        <v>KW Issue Link</v>
      </c>
      <c r="O1146" s="1" t="s">
        <v>291</v>
      </c>
    </row>
    <row r="1147" spans="1:15" ht="75" x14ac:dyDescent="0.25">
      <c r="A1147" s="1" t="s">
        <v>1268</v>
      </c>
      <c r="B1147" s="1"/>
      <c r="C1147" s="1" t="s">
        <v>369</v>
      </c>
      <c r="D1147" s="1">
        <v>119874</v>
      </c>
      <c r="E1147" s="1">
        <v>430</v>
      </c>
      <c r="F1147" s="1" t="s">
        <v>1751</v>
      </c>
      <c r="G1147" s="1" t="s">
        <v>1693</v>
      </c>
      <c r="H1147" s="1" t="s">
        <v>141</v>
      </c>
      <c r="I1147" s="1" t="s">
        <v>65</v>
      </c>
      <c r="J1147" s="1">
        <v>3</v>
      </c>
      <c r="K1147" s="1" t="s">
        <v>142</v>
      </c>
      <c r="L1147" s="1" t="s">
        <v>153</v>
      </c>
      <c r="M1147" s="1" t="s">
        <v>1256</v>
      </c>
      <c r="N1147" s="1" t="str">
        <f>HYPERLINK("https://klocwork.india.ti.com:443/review/insight-review.html#issuedetails_goto:problemid=119874,project=MCU_PLUS_SDK_AM263X,searchquery=taxonomy:'C and C++' build:Build_Apr_13_2023_11_11_AM grouping:off ","KW Issue Link")</f>
        <v>KW Issue Link</v>
      </c>
      <c r="O1147" s="1" t="s">
        <v>291</v>
      </c>
    </row>
    <row r="1148" spans="1:15" ht="75" x14ac:dyDescent="0.25">
      <c r="A1148" s="1" t="s">
        <v>1268</v>
      </c>
      <c r="B1148" s="1"/>
      <c r="C1148" s="1" t="s">
        <v>369</v>
      </c>
      <c r="D1148" s="1">
        <v>119875</v>
      </c>
      <c r="E1148" s="1">
        <v>499</v>
      </c>
      <c r="F1148" s="1" t="s">
        <v>1752</v>
      </c>
      <c r="G1148" s="1" t="s">
        <v>1697</v>
      </c>
      <c r="H1148" s="1" t="s">
        <v>141</v>
      </c>
      <c r="I1148" s="1" t="s">
        <v>65</v>
      </c>
      <c r="J1148" s="1">
        <v>3</v>
      </c>
      <c r="K1148" s="1" t="s">
        <v>142</v>
      </c>
      <c r="L1148" s="1" t="s">
        <v>153</v>
      </c>
      <c r="M1148" s="1" t="s">
        <v>1256</v>
      </c>
      <c r="N1148" s="1" t="str">
        <f>HYPERLINK("https://klocwork.india.ti.com:443/review/insight-review.html#issuedetails_goto:problemid=119875,project=MCU_PLUS_SDK_AM263X,searchquery=taxonomy:'C and C++' build:Build_Apr_13_2023_11_11_AM grouping:off ","KW Issue Link")</f>
        <v>KW Issue Link</v>
      </c>
      <c r="O1148" s="1" t="s">
        <v>291</v>
      </c>
    </row>
    <row r="1149" spans="1:15" ht="75" x14ac:dyDescent="0.25">
      <c r="A1149" s="1" t="s">
        <v>1268</v>
      </c>
      <c r="B1149" s="1"/>
      <c r="C1149" s="1" t="s">
        <v>369</v>
      </c>
      <c r="D1149" s="1">
        <v>119876</v>
      </c>
      <c r="E1149" s="1">
        <v>546</v>
      </c>
      <c r="F1149" s="1" t="s">
        <v>1753</v>
      </c>
      <c r="G1149" s="1" t="s">
        <v>1699</v>
      </c>
      <c r="H1149" s="1" t="s">
        <v>141</v>
      </c>
      <c r="I1149" s="1" t="s">
        <v>65</v>
      </c>
      <c r="J1149" s="1">
        <v>3</v>
      </c>
      <c r="K1149" s="1" t="s">
        <v>142</v>
      </c>
      <c r="L1149" s="1" t="s">
        <v>153</v>
      </c>
      <c r="M1149" s="1" t="s">
        <v>1256</v>
      </c>
      <c r="N1149" s="1" t="str">
        <f>HYPERLINK("https://klocwork.india.ti.com:443/review/insight-review.html#issuedetails_goto:problemid=119876,project=MCU_PLUS_SDK_AM263X,searchquery=taxonomy:'C and C++' build:Build_Apr_13_2023_11_11_AM grouping:off ","KW Issue Link")</f>
        <v>KW Issue Link</v>
      </c>
      <c r="O1149" s="1" t="s">
        <v>291</v>
      </c>
    </row>
    <row r="1150" spans="1:15" ht="75" x14ac:dyDescent="0.25">
      <c r="A1150" s="1" t="s">
        <v>1268</v>
      </c>
      <c r="B1150" s="1"/>
      <c r="C1150" s="1" t="s">
        <v>369</v>
      </c>
      <c r="D1150" s="1">
        <v>119877</v>
      </c>
      <c r="E1150" s="1">
        <v>573</v>
      </c>
      <c r="F1150" s="1" t="s">
        <v>1754</v>
      </c>
      <c r="G1150" s="1" t="s">
        <v>1701</v>
      </c>
      <c r="H1150" s="1" t="s">
        <v>141</v>
      </c>
      <c r="I1150" s="1" t="s">
        <v>65</v>
      </c>
      <c r="J1150" s="1">
        <v>3</v>
      </c>
      <c r="K1150" s="1" t="s">
        <v>142</v>
      </c>
      <c r="L1150" s="1" t="s">
        <v>153</v>
      </c>
      <c r="M1150" s="1" t="s">
        <v>1256</v>
      </c>
      <c r="N1150" s="1" t="str">
        <f>HYPERLINK("https://klocwork.india.ti.com:443/review/insight-review.html#issuedetails_goto:problemid=119877,project=MCU_PLUS_SDK_AM263X,searchquery=taxonomy:'C and C++' build:Build_Apr_13_2023_11_11_AM grouping:off ","KW Issue Link")</f>
        <v>KW Issue Link</v>
      </c>
      <c r="O1150" s="1" t="s">
        <v>291</v>
      </c>
    </row>
    <row r="1151" spans="1:15" ht="75" x14ac:dyDescent="0.25">
      <c r="A1151" s="1" t="s">
        <v>1268</v>
      </c>
      <c r="B1151" s="1"/>
      <c r="C1151" s="1" t="s">
        <v>369</v>
      </c>
      <c r="D1151" s="1">
        <v>119879</v>
      </c>
      <c r="E1151" s="1">
        <v>737</v>
      </c>
      <c r="F1151" s="1" t="s">
        <v>1755</v>
      </c>
      <c r="G1151" s="1" t="s">
        <v>376</v>
      </c>
      <c r="H1151" s="1" t="s">
        <v>141</v>
      </c>
      <c r="I1151" s="1" t="s">
        <v>65</v>
      </c>
      <c r="J1151" s="1">
        <v>3</v>
      </c>
      <c r="K1151" s="1" t="s">
        <v>142</v>
      </c>
      <c r="L1151" s="1" t="s">
        <v>153</v>
      </c>
      <c r="M1151" s="1" t="s">
        <v>1256</v>
      </c>
      <c r="N1151" s="1" t="str">
        <f>HYPERLINK("https://klocwork.india.ti.com:443/review/insight-review.html#issuedetails_goto:problemid=119879,project=MCU_PLUS_SDK_AM263X,searchquery=taxonomy:'C and C++' build:Build_Apr_13_2023_11_11_AM grouping:off ","KW Issue Link")</f>
        <v>KW Issue Link</v>
      </c>
      <c r="O1151" s="1" t="s">
        <v>291</v>
      </c>
    </row>
    <row r="1152" spans="1:15" ht="75" x14ac:dyDescent="0.25">
      <c r="A1152" s="1" t="s">
        <v>1268</v>
      </c>
      <c r="B1152" s="1"/>
      <c r="C1152" s="1" t="s">
        <v>369</v>
      </c>
      <c r="D1152" s="1">
        <v>119880</v>
      </c>
      <c r="E1152" s="1">
        <v>903</v>
      </c>
      <c r="F1152" s="1" t="s">
        <v>1756</v>
      </c>
      <c r="G1152" s="1" t="s">
        <v>1708</v>
      </c>
      <c r="H1152" s="1" t="s">
        <v>141</v>
      </c>
      <c r="I1152" s="1" t="s">
        <v>65</v>
      </c>
      <c r="J1152" s="1">
        <v>3</v>
      </c>
      <c r="K1152" s="1" t="s">
        <v>142</v>
      </c>
      <c r="L1152" s="1" t="s">
        <v>153</v>
      </c>
      <c r="M1152" s="1" t="s">
        <v>1256</v>
      </c>
      <c r="N1152" s="1" t="str">
        <f>HYPERLINK("https://klocwork.india.ti.com:443/review/insight-review.html#issuedetails_goto:problemid=119880,project=MCU_PLUS_SDK_AM263X,searchquery=taxonomy:'C and C++' build:Build_Apr_13_2023_11_11_AM grouping:off ","KW Issue Link")</f>
        <v>KW Issue Link</v>
      </c>
      <c r="O1152" s="1" t="s">
        <v>291</v>
      </c>
    </row>
    <row r="1153" spans="1:15" ht="75" x14ac:dyDescent="0.25">
      <c r="A1153" s="1" t="s">
        <v>1268</v>
      </c>
      <c r="B1153" s="1"/>
      <c r="C1153" s="1" t="s">
        <v>369</v>
      </c>
      <c r="D1153" s="1">
        <v>119881</v>
      </c>
      <c r="E1153" s="1">
        <v>935</v>
      </c>
      <c r="F1153" s="1" t="s">
        <v>1757</v>
      </c>
      <c r="G1153" s="1" t="s">
        <v>1710</v>
      </c>
      <c r="H1153" s="1" t="s">
        <v>141</v>
      </c>
      <c r="I1153" s="1" t="s">
        <v>65</v>
      </c>
      <c r="J1153" s="1">
        <v>3</v>
      </c>
      <c r="K1153" s="1" t="s">
        <v>142</v>
      </c>
      <c r="L1153" s="1" t="s">
        <v>153</v>
      </c>
      <c r="M1153" s="1" t="s">
        <v>1256</v>
      </c>
      <c r="N1153" s="1" t="str">
        <f>HYPERLINK("https://klocwork.india.ti.com:443/review/insight-review.html#issuedetails_goto:problemid=119881,project=MCU_PLUS_SDK_AM263X,searchquery=taxonomy:'C and C++' build:Build_Apr_13_2023_11_11_AM grouping:off ","KW Issue Link")</f>
        <v>KW Issue Link</v>
      </c>
      <c r="O1153" s="1" t="s">
        <v>291</v>
      </c>
    </row>
    <row r="1154" spans="1:15" ht="75" x14ac:dyDescent="0.25">
      <c r="A1154" s="1" t="s">
        <v>1268</v>
      </c>
      <c r="B1154" s="1"/>
      <c r="C1154" s="1" t="s">
        <v>369</v>
      </c>
      <c r="D1154" s="1">
        <v>119882</v>
      </c>
      <c r="E1154" s="1">
        <v>981</v>
      </c>
      <c r="F1154" s="1" t="s">
        <v>1758</v>
      </c>
      <c r="G1154" s="1" t="s">
        <v>1712</v>
      </c>
      <c r="H1154" s="1" t="s">
        <v>141</v>
      </c>
      <c r="I1154" s="1" t="s">
        <v>65</v>
      </c>
      <c r="J1154" s="1">
        <v>3</v>
      </c>
      <c r="K1154" s="1" t="s">
        <v>142</v>
      </c>
      <c r="L1154" s="1" t="s">
        <v>153</v>
      </c>
      <c r="M1154" s="1" t="s">
        <v>1256</v>
      </c>
      <c r="N1154" s="1" t="str">
        <f>HYPERLINK("https://klocwork.india.ti.com:443/review/insight-review.html#issuedetails_goto:problemid=119882,project=MCU_PLUS_SDK_AM263X,searchquery=taxonomy:'C and C++' build:Build_Apr_13_2023_11_11_AM grouping:off ","KW Issue Link")</f>
        <v>KW Issue Link</v>
      </c>
      <c r="O1154" s="1" t="s">
        <v>291</v>
      </c>
    </row>
    <row r="1155" spans="1:15" ht="75" x14ac:dyDescent="0.25">
      <c r="A1155" s="1" t="s">
        <v>1268</v>
      </c>
      <c r="B1155" s="1"/>
      <c r="C1155" s="1" t="s">
        <v>369</v>
      </c>
      <c r="D1155" s="1">
        <v>119883</v>
      </c>
      <c r="E1155" s="1">
        <v>1040</v>
      </c>
      <c r="F1155" s="1" t="s">
        <v>1759</v>
      </c>
      <c r="G1155" s="1" t="s">
        <v>1714</v>
      </c>
      <c r="H1155" s="1" t="s">
        <v>141</v>
      </c>
      <c r="I1155" s="1" t="s">
        <v>65</v>
      </c>
      <c r="J1155" s="1">
        <v>3</v>
      </c>
      <c r="K1155" s="1" t="s">
        <v>142</v>
      </c>
      <c r="L1155" s="1" t="s">
        <v>153</v>
      </c>
      <c r="M1155" s="1" t="s">
        <v>1256</v>
      </c>
      <c r="N1155" s="1" t="str">
        <f>HYPERLINK("https://klocwork.india.ti.com:443/review/insight-review.html#issuedetails_goto:problemid=119883,project=MCU_PLUS_SDK_AM263X,searchquery=taxonomy:'C and C++' build:Build_Apr_13_2023_11_11_AM grouping:off ","KW Issue Link")</f>
        <v>KW Issue Link</v>
      </c>
      <c r="O1155" s="1" t="s">
        <v>291</v>
      </c>
    </row>
    <row r="1156" spans="1:15" ht="75" x14ac:dyDescent="0.25">
      <c r="A1156" s="1" t="s">
        <v>1268</v>
      </c>
      <c r="B1156" s="1"/>
      <c r="C1156" s="1" t="s">
        <v>369</v>
      </c>
      <c r="D1156" s="1">
        <v>119884</v>
      </c>
      <c r="E1156" s="1">
        <v>1150</v>
      </c>
      <c r="F1156" s="1" t="s">
        <v>1760</v>
      </c>
      <c r="G1156" s="1" t="s">
        <v>1716</v>
      </c>
      <c r="H1156" s="1" t="s">
        <v>141</v>
      </c>
      <c r="I1156" s="1" t="s">
        <v>65</v>
      </c>
      <c r="J1156" s="1">
        <v>3</v>
      </c>
      <c r="K1156" s="1" t="s">
        <v>142</v>
      </c>
      <c r="L1156" s="1" t="s">
        <v>153</v>
      </c>
      <c r="M1156" s="1" t="s">
        <v>1256</v>
      </c>
      <c r="N1156" s="1" t="str">
        <f>HYPERLINK("https://klocwork.india.ti.com:443/review/insight-review.html#issuedetails_goto:problemid=119884,project=MCU_PLUS_SDK_AM263X,searchquery=taxonomy:'C and C++' build:Build_Apr_13_2023_11_11_AM grouping:off ","KW Issue Link")</f>
        <v>KW Issue Link</v>
      </c>
      <c r="O1156" s="1" t="s">
        <v>291</v>
      </c>
    </row>
    <row r="1157" spans="1:15" ht="75" x14ac:dyDescent="0.25">
      <c r="A1157" s="1" t="s">
        <v>1268</v>
      </c>
      <c r="B1157" s="1"/>
      <c r="C1157" s="1" t="s">
        <v>369</v>
      </c>
      <c r="D1157" s="1">
        <v>119885</v>
      </c>
      <c r="E1157" s="1">
        <v>1206</v>
      </c>
      <c r="F1157" s="1" t="s">
        <v>1761</v>
      </c>
      <c r="G1157" s="1" t="s">
        <v>1718</v>
      </c>
      <c r="H1157" s="1" t="s">
        <v>141</v>
      </c>
      <c r="I1157" s="1" t="s">
        <v>65</v>
      </c>
      <c r="J1157" s="1">
        <v>3</v>
      </c>
      <c r="K1157" s="1" t="s">
        <v>142</v>
      </c>
      <c r="L1157" s="1" t="s">
        <v>153</v>
      </c>
      <c r="M1157" s="1" t="s">
        <v>1256</v>
      </c>
      <c r="N1157" s="1" t="str">
        <f>HYPERLINK("https://klocwork.india.ti.com:443/review/insight-review.html#issuedetails_goto:problemid=119885,project=MCU_PLUS_SDK_AM263X,searchquery=taxonomy:'C and C++' build:Build_Apr_13_2023_11_11_AM grouping:off ","KW Issue Link")</f>
        <v>KW Issue Link</v>
      </c>
      <c r="O1157" s="1" t="s">
        <v>291</v>
      </c>
    </row>
    <row r="1158" spans="1:15" ht="75" x14ac:dyDescent="0.25">
      <c r="A1158" s="1" t="s">
        <v>1268</v>
      </c>
      <c r="B1158" s="1"/>
      <c r="C1158" s="1" t="s">
        <v>369</v>
      </c>
      <c r="D1158" s="1">
        <v>119886</v>
      </c>
      <c r="E1158" s="1">
        <v>1260</v>
      </c>
      <c r="F1158" s="1" t="s">
        <v>1762</v>
      </c>
      <c r="G1158" s="1" t="s">
        <v>1720</v>
      </c>
      <c r="H1158" s="1" t="s">
        <v>141</v>
      </c>
      <c r="I1158" s="1" t="s">
        <v>65</v>
      </c>
      <c r="J1158" s="1">
        <v>3</v>
      </c>
      <c r="K1158" s="1" t="s">
        <v>142</v>
      </c>
      <c r="L1158" s="1" t="s">
        <v>153</v>
      </c>
      <c r="M1158" s="1" t="s">
        <v>1256</v>
      </c>
      <c r="N1158" s="1" t="str">
        <f>HYPERLINK("https://klocwork.india.ti.com:443/review/insight-review.html#issuedetails_goto:problemid=119886,project=MCU_PLUS_SDK_AM263X,searchquery=taxonomy:'C and C++' build:Build_Apr_13_2023_11_11_AM grouping:off ","KW Issue Link")</f>
        <v>KW Issue Link</v>
      </c>
      <c r="O1158" s="1" t="s">
        <v>291</v>
      </c>
    </row>
    <row r="1159" spans="1:15" ht="75" x14ac:dyDescent="0.25">
      <c r="A1159" s="1" t="s">
        <v>1268</v>
      </c>
      <c r="B1159" s="1"/>
      <c r="C1159" s="1" t="s">
        <v>369</v>
      </c>
      <c r="D1159" s="1">
        <v>119887</v>
      </c>
      <c r="E1159" s="1">
        <v>1318</v>
      </c>
      <c r="F1159" s="1" t="s">
        <v>1763</v>
      </c>
      <c r="G1159" s="1" t="s">
        <v>1722</v>
      </c>
      <c r="H1159" s="1" t="s">
        <v>141</v>
      </c>
      <c r="I1159" s="1" t="s">
        <v>65</v>
      </c>
      <c r="J1159" s="1">
        <v>3</v>
      </c>
      <c r="K1159" s="1" t="s">
        <v>142</v>
      </c>
      <c r="L1159" s="1" t="s">
        <v>153</v>
      </c>
      <c r="M1159" s="1" t="s">
        <v>1256</v>
      </c>
      <c r="N1159" s="1" t="str">
        <f>HYPERLINK("https://klocwork.india.ti.com:443/review/insight-review.html#issuedetails_goto:problemid=119887,project=MCU_PLUS_SDK_AM263X,searchquery=taxonomy:'C and C++' build:Build_Apr_13_2023_11_11_AM grouping:off ","KW Issue Link")</f>
        <v>KW Issue Link</v>
      </c>
      <c r="O1159" s="1" t="s">
        <v>291</v>
      </c>
    </row>
    <row r="1160" spans="1:15" ht="75" x14ac:dyDescent="0.25">
      <c r="A1160" s="1" t="s">
        <v>1268</v>
      </c>
      <c r="B1160" s="1"/>
      <c r="C1160" s="1" t="s">
        <v>369</v>
      </c>
      <c r="D1160" s="1">
        <v>119888</v>
      </c>
      <c r="E1160" s="1">
        <v>1507</v>
      </c>
      <c r="F1160" s="1" t="s">
        <v>1764</v>
      </c>
      <c r="G1160" s="1" t="s">
        <v>378</v>
      </c>
      <c r="H1160" s="1" t="s">
        <v>141</v>
      </c>
      <c r="I1160" s="1" t="s">
        <v>65</v>
      </c>
      <c r="J1160" s="1">
        <v>3</v>
      </c>
      <c r="K1160" s="1" t="s">
        <v>142</v>
      </c>
      <c r="L1160" s="1" t="s">
        <v>153</v>
      </c>
      <c r="M1160" s="1" t="s">
        <v>1256</v>
      </c>
      <c r="N1160" s="1" t="str">
        <f>HYPERLINK("https://klocwork.india.ti.com:443/review/insight-review.html#issuedetails_goto:problemid=119888,project=MCU_PLUS_SDK_AM263X,searchquery=taxonomy:'C and C++' build:Build_Apr_13_2023_11_11_AM grouping:off ","KW Issue Link")</f>
        <v>KW Issue Link</v>
      </c>
      <c r="O1160" s="1" t="s">
        <v>291</v>
      </c>
    </row>
    <row r="1161" spans="1:15" ht="75" x14ac:dyDescent="0.25">
      <c r="A1161" s="1" t="s">
        <v>1268</v>
      </c>
      <c r="B1161" s="1"/>
      <c r="C1161" s="1" t="s">
        <v>369</v>
      </c>
      <c r="D1161" s="1">
        <v>119889</v>
      </c>
      <c r="E1161" s="1">
        <v>1754</v>
      </c>
      <c r="F1161" s="1" t="s">
        <v>1765</v>
      </c>
      <c r="G1161" s="1" t="s">
        <v>1725</v>
      </c>
      <c r="H1161" s="1" t="s">
        <v>141</v>
      </c>
      <c r="I1161" s="1" t="s">
        <v>65</v>
      </c>
      <c r="J1161" s="1">
        <v>3</v>
      </c>
      <c r="K1161" s="1" t="s">
        <v>142</v>
      </c>
      <c r="L1161" s="1" t="s">
        <v>153</v>
      </c>
      <c r="M1161" s="1" t="s">
        <v>1256</v>
      </c>
      <c r="N1161" s="1" t="str">
        <f>HYPERLINK("https://klocwork.india.ti.com:443/review/insight-review.html#issuedetails_goto:problemid=119889,project=MCU_PLUS_SDK_AM263X,searchquery=taxonomy:'C and C++' build:Build_Apr_13_2023_11_11_AM grouping:off ","KW Issue Link")</f>
        <v>KW Issue Link</v>
      </c>
      <c r="O1161" s="1" t="s">
        <v>291</v>
      </c>
    </row>
    <row r="1162" spans="1:15" ht="75" x14ac:dyDescent="0.25">
      <c r="A1162" s="1" t="s">
        <v>1268</v>
      </c>
      <c r="B1162" s="1"/>
      <c r="C1162" s="1" t="s">
        <v>369</v>
      </c>
      <c r="D1162" s="1">
        <v>119890</v>
      </c>
      <c r="E1162" s="1">
        <v>1874</v>
      </c>
      <c r="F1162" s="1" t="s">
        <v>1766</v>
      </c>
      <c r="G1162" s="1" t="s">
        <v>1727</v>
      </c>
      <c r="H1162" s="1" t="s">
        <v>141</v>
      </c>
      <c r="I1162" s="1" t="s">
        <v>65</v>
      </c>
      <c r="J1162" s="1">
        <v>3</v>
      </c>
      <c r="K1162" s="1" t="s">
        <v>142</v>
      </c>
      <c r="L1162" s="1" t="s">
        <v>153</v>
      </c>
      <c r="M1162" s="1" t="s">
        <v>1256</v>
      </c>
      <c r="N1162" s="1" t="str">
        <f>HYPERLINK("https://klocwork.india.ti.com:443/review/insight-review.html#issuedetails_goto:problemid=119890,project=MCU_PLUS_SDK_AM263X,searchquery=taxonomy:'C and C++' build:Build_Apr_13_2023_11_11_AM grouping:off ","KW Issue Link")</f>
        <v>KW Issue Link</v>
      </c>
      <c r="O1162" s="1" t="s">
        <v>291</v>
      </c>
    </row>
    <row r="1163" spans="1:15" ht="60" x14ac:dyDescent="0.25">
      <c r="A1163" s="1" t="s">
        <v>1257</v>
      </c>
      <c r="B1163" s="1"/>
      <c r="C1163" s="1" t="s">
        <v>379</v>
      </c>
      <c r="D1163" s="1">
        <v>119891</v>
      </c>
      <c r="E1163" s="1">
        <v>315</v>
      </c>
      <c r="F1163" s="1" t="s">
        <v>1767</v>
      </c>
      <c r="G1163" s="1" t="s">
        <v>1768</v>
      </c>
      <c r="H1163" s="1" t="s">
        <v>141</v>
      </c>
      <c r="I1163" s="1" t="s">
        <v>65</v>
      </c>
      <c r="J1163" s="1">
        <v>3</v>
      </c>
      <c r="K1163" s="1" t="s">
        <v>142</v>
      </c>
      <c r="L1163" s="1" t="s">
        <v>153</v>
      </c>
      <c r="M1163" s="1" t="s">
        <v>1256</v>
      </c>
      <c r="N1163" s="1" t="str">
        <f>HYPERLINK("https://klocwork.india.ti.com:443/review/insight-review.html#issuedetails_goto:problemid=119891,project=MCU_PLUS_SDK_AM263X,searchquery=taxonomy:'C and C++' build:Build_Apr_13_2023_11_11_AM grouping:off ","KW Issue Link")</f>
        <v>KW Issue Link</v>
      </c>
      <c r="O1163" s="1" t="s">
        <v>291</v>
      </c>
    </row>
    <row r="1164" spans="1:15" ht="60" x14ac:dyDescent="0.25">
      <c r="A1164" s="1" t="s">
        <v>1257</v>
      </c>
      <c r="B1164" s="1"/>
      <c r="C1164" s="1" t="s">
        <v>379</v>
      </c>
      <c r="D1164" s="1">
        <v>119892</v>
      </c>
      <c r="E1164" s="1">
        <v>395</v>
      </c>
      <c r="F1164" s="1" t="s">
        <v>1769</v>
      </c>
      <c r="G1164" s="1" t="s">
        <v>1770</v>
      </c>
      <c r="H1164" s="1" t="s">
        <v>141</v>
      </c>
      <c r="I1164" s="1" t="s">
        <v>65</v>
      </c>
      <c r="J1164" s="1">
        <v>3</v>
      </c>
      <c r="K1164" s="1" t="s">
        <v>142</v>
      </c>
      <c r="L1164" s="1" t="s">
        <v>153</v>
      </c>
      <c r="M1164" s="1" t="s">
        <v>1256</v>
      </c>
      <c r="N1164" s="1" t="str">
        <f>HYPERLINK("https://klocwork.india.ti.com:443/review/insight-review.html#issuedetails_goto:problemid=119892,project=MCU_PLUS_SDK_AM263X,searchquery=taxonomy:'C and C++' build:Build_Apr_13_2023_11_11_AM grouping:off ","KW Issue Link")</f>
        <v>KW Issue Link</v>
      </c>
      <c r="O1164" s="1" t="s">
        <v>291</v>
      </c>
    </row>
    <row r="1165" spans="1:15" ht="60" x14ac:dyDescent="0.25">
      <c r="A1165" s="1" t="s">
        <v>1257</v>
      </c>
      <c r="B1165" s="1"/>
      <c r="C1165" s="1" t="s">
        <v>379</v>
      </c>
      <c r="D1165" s="1">
        <v>119893</v>
      </c>
      <c r="E1165" s="1">
        <v>602</v>
      </c>
      <c r="F1165" s="1" t="s">
        <v>1771</v>
      </c>
      <c r="G1165" s="1" t="s">
        <v>1772</v>
      </c>
      <c r="H1165" s="1" t="s">
        <v>141</v>
      </c>
      <c r="I1165" s="1" t="s">
        <v>65</v>
      </c>
      <c r="J1165" s="1">
        <v>3</v>
      </c>
      <c r="K1165" s="1" t="s">
        <v>142</v>
      </c>
      <c r="L1165" s="1" t="s">
        <v>153</v>
      </c>
      <c r="M1165" s="1" t="s">
        <v>1256</v>
      </c>
      <c r="N1165" s="1" t="str">
        <f>HYPERLINK("https://klocwork.india.ti.com:443/review/insight-review.html#issuedetails_goto:problemid=119893,project=MCU_PLUS_SDK_AM263X,searchquery=taxonomy:'C and C++' build:Build_Apr_13_2023_11_11_AM grouping:off ","KW Issue Link")</f>
        <v>KW Issue Link</v>
      </c>
      <c r="O1165" s="1" t="s">
        <v>291</v>
      </c>
    </row>
    <row r="1166" spans="1:15" ht="60" x14ac:dyDescent="0.25">
      <c r="A1166" s="1" t="s">
        <v>1257</v>
      </c>
      <c r="B1166" s="1"/>
      <c r="C1166" s="1" t="s">
        <v>379</v>
      </c>
      <c r="D1166" s="1">
        <v>119894</v>
      </c>
      <c r="E1166" s="1">
        <v>651</v>
      </c>
      <c r="F1166" s="1" t="s">
        <v>1773</v>
      </c>
      <c r="G1166" s="1" t="s">
        <v>1774</v>
      </c>
      <c r="H1166" s="1" t="s">
        <v>141</v>
      </c>
      <c r="I1166" s="1" t="s">
        <v>65</v>
      </c>
      <c r="J1166" s="1">
        <v>3</v>
      </c>
      <c r="K1166" s="1" t="s">
        <v>142</v>
      </c>
      <c r="L1166" s="1" t="s">
        <v>153</v>
      </c>
      <c r="M1166" s="1" t="s">
        <v>1256</v>
      </c>
      <c r="N1166" s="1" t="str">
        <f>HYPERLINK("https://klocwork.india.ti.com:443/review/insight-review.html#issuedetails_goto:problemid=119894,project=MCU_PLUS_SDK_AM263X,searchquery=taxonomy:'C and C++' build:Build_Apr_13_2023_11_11_AM grouping:off ","KW Issue Link")</f>
        <v>KW Issue Link</v>
      </c>
      <c r="O1166" s="1" t="s">
        <v>291</v>
      </c>
    </row>
    <row r="1167" spans="1:15" ht="60" x14ac:dyDescent="0.25">
      <c r="A1167" s="1" t="s">
        <v>1257</v>
      </c>
      <c r="B1167" s="1"/>
      <c r="C1167" s="1" t="s">
        <v>379</v>
      </c>
      <c r="D1167" s="1">
        <v>119895</v>
      </c>
      <c r="E1167" s="1">
        <v>748</v>
      </c>
      <c r="F1167" s="1" t="s">
        <v>1775</v>
      </c>
      <c r="G1167" s="1" t="s">
        <v>380</v>
      </c>
      <c r="H1167" s="1" t="s">
        <v>141</v>
      </c>
      <c r="I1167" s="1" t="s">
        <v>65</v>
      </c>
      <c r="J1167" s="1">
        <v>3</v>
      </c>
      <c r="K1167" s="1" t="s">
        <v>142</v>
      </c>
      <c r="L1167" s="1" t="s">
        <v>153</v>
      </c>
      <c r="M1167" s="1" t="s">
        <v>1256</v>
      </c>
      <c r="N1167" s="1" t="str">
        <f>HYPERLINK("https://klocwork.india.ti.com:443/review/insight-review.html#issuedetails_goto:problemid=119895,project=MCU_PLUS_SDK_AM263X,searchquery=taxonomy:'C and C++' build:Build_Apr_13_2023_11_11_AM grouping:off ","KW Issue Link")</f>
        <v>KW Issue Link</v>
      </c>
      <c r="O1167" s="1" t="s">
        <v>291</v>
      </c>
    </row>
    <row r="1168" spans="1:15" ht="60" x14ac:dyDescent="0.25">
      <c r="A1168" s="1" t="s">
        <v>1257</v>
      </c>
      <c r="B1168" s="1"/>
      <c r="C1168" s="1" t="s">
        <v>379</v>
      </c>
      <c r="D1168" s="1">
        <v>119896</v>
      </c>
      <c r="E1168" s="1">
        <v>1047</v>
      </c>
      <c r="F1168" s="1" t="s">
        <v>1776</v>
      </c>
      <c r="G1168" s="1" t="s">
        <v>381</v>
      </c>
      <c r="H1168" s="1" t="s">
        <v>141</v>
      </c>
      <c r="I1168" s="1" t="s">
        <v>65</v>
      </c>
      <c r="J1168" s="1">
        <v>3</v>
      </c>
      <c r="K1168" s="1" t="s">
        <v>142</v>
      </c>
      <c r="L1168" s="1" t="s">
        <v>153</v>
      </c>
      <c r="M1168" s="1" t="s">
        <v>1256</v>
      </c>
      <c r="N1168" s="1" t="str">
        <f>HYPERLINK("https://klocwork.india.ti.com:443/review/insight-review.html#issuedetails_goto:problemid=119896,project=MCU_PLUS_SDK_AM263X,searchquery=taxonomy:'C and C++' build:Build_Apr_13_2023_11_11_AM grouping:off ","KW Issue Link")</f>
        <v>KW Issue Link</v>
      </c>
      <c r="O1168" s="1" t="s">
        <v>291</v>
      </c>
    </row>
    <row r="1169" spans="1:15" ht="60" x14ac:dyDescent="0.25">
      <c r="A1169" s="1" t="s">
        <v>1257</v>
      </c>
      <c r="B1169" s="1"/>
      <c r="C1169" s="1" t="s">
        <v>379</v>
      </c>
      <c r="D1169" s="1">
        <v>119897</v>
      </c>
      <c r="E1169" s="1">
        <v>1137</v>
      </c>
      <c r="F1169" s="1" t="s">
        <v>1777</v>
      </c>
      <c r="G1169" s="1" t="s">
        <v>385</v>
      </c>
      <c r="H1169" s="1" t="s">
        <v>141</v>
      </c>
      <c r="I1169" s="1" t="s">
        <v>65</v>
      </c>
      <c r="J1169" s="1">
        <v>3</v>
      </c>
      <c r="K1169" s="1" t="s">
        <v>142</v>
      </c>
      <c r="L1169" s="1" t="s">
        <v>153</v>
      </c>
      <c r="M1169" s="1" t="s">
        <v>1256</v>
      </c>
      <c r="N1169" s="1" t="str">
        <f>HYPERLINK("https://klocwork.india.ti.com:443/review/insight-review.html#issuedetails_goto:problemid=119897,project=MCU_PLUS_SDK_AM263X,searchquery=taxonomy:'C and C++' build:Build_Apr_13_2023_11_11_AM grouping:off ","KW Issue Link")</f>
        <v>KW Issue Link</v>
      </c>
      <c r="O1169" s="1" t="s">
        <v>291</v>
      </c>
    </row>
    <row r="1170" spans="1:15" ht="60" x14ac:dyDescent="0.25">
      <c r="A1170" s="1" t="s">
        <v>1257</v>
      </c>
      <c r="B1170" s="1"/>
      <c r="C1170" s="1" t="s">
        <v>379</v>
      </c>
      <c r="D1170" s="1">
        <v>119898</v>
      </c>
      <c r="E1170" s="1">
        <v>1170</v>
      </c>
      <c r="F1170" s="1" t="s">
        <v>1778</v>
      </c>
      <c r="G1170" s="1" t="s">
        <v>387</v>
      </c>
      <c r="H1170" s="1" t="s">
        <v>141</v>
      </c>
      <c r="I1170" s="1" t="s">
        <v>65</v>
      </c>
      <c r="J1170" s="1">
        <v>3</v>
      </c>
      <c r="K1170" s="1" t="s">
        <v>142</v>
      </c>
      <c r="L1170" s="1" t="s">
        <v>153</v>
      </c>
      <c r="M1170" s="1" t="s">
        <v>1256</v>
      </c>
      <c r="N1170" s="1" t="str">
        <f>HYPERLINK("https://klocwork.india.ti.com:443/review/insight-review.html#issuedetails_goto:problemid=119898,project=MCU_PLUS_SDK_AM263X,searchquery=taxonomy:'C and C++' build:Build_Apr_13_2023_11_11_AM grouping:off ","KW Issue Link")</f>
        <v>KW Issue Link</v>
      </c>
      <c r="O1170" s="1" t="s">
        <v>291</v>
      </c>
    </row>
    <row r="1171" spans="1:15" ht="60" x14ac:dyDescent="0.25">
      <c r="A1171" s="1" t="s">
        <v>1257</v>
      </c>
      <c r="B1171" s="1"/>
      <c r="C1171" s="1" t="s">
        <v>379</v>
      </c>
      <c r="D1171" s="1">
        <v>119899</v>
      </c>
      <c r="E1171" s="1">
        <v>1375</v>
      </c>
      <c r="F1171" s="1" t="s">
        <v>1779</v>
      </c>
      <c r="G1171" s="1" t="s">
        <v>1780</v>
      </c>
      <c r="H1171" s="1" t="s">
        <v>141</v>
      </c>
      <c r="I1171" s="1" t="s">
        <v>65</v>
      </c>
      <c r="J1171" s="1">
        <v>3</v>
      </c>
      <c r="K1171" s="1" t="s">
        <v>142</v>
      </c>
      <c r="L1171" s="1" t="s">
        <v>153</v>
      </c>
      <c r="M1171" s="1" t="s">
        <v>1256</v>
      </c>
      <c r="N1171" s="1" t="str">
        <f>HYPERLINK("https://klocwork.india.ti.com:443/review/insight-review.html#issuedetails_goto:problemid=119899,project=MCU_PLUS_SDK_AM263X,searchquery=taxonomy:'C and C++' build:Build_Apr_13_2023_11_11_AM grouping:off ","KW Issue Link")</f>
        <v>KW Issue Link</v>
      </c>
      <c r="O1171" s="1" t="s">
        <v>291</v>
      </c>
    </row>
    <row r="1172" spans="1:15" ht="60" x14ac:dyDescent="0.25">
      <c r="A1172" s="1" t="s">
        <v>1257</v>
      </c>
      <c r="B1172" s="1"/>
      <c r="C1172" s="1" t="s">
        <v>379</v>
      </c>
      <c r="D1172" s="1">
        <v>119900</v>
      </c>
      <c r="E1172" s="1">
        <v>1547</v>
      </c>
      <c r="F1172" s="1" t="s">
        <v>1781</v>
      </c>
      <c r="G1172" s="1" t="s">
        <v>1782</v>
      </c>
      <c r="H1172" s="1" t="s">
        <v>141</v>
      </c>
      <c r="I1172" s="1" t="s">
        <v>65</v>
      </c>
      <c r="J1172" s="1">
        <v>3</v>
      </c>
      <c r="K1172" s="1" t="s">
        <v>142</v>
      </c>
      <c r="L1172" s="1" t="s">
        <v>153</v>
      </c>
      <c r="M1172" s="1" t="s">
        <v>1256</v>
      </c>
      <c r="N1172" s="1" t="str">
        <f>HYPERLINK("https://klocwork.india.ti.com:443/review/insight-review.html#issuedetails_goto:problemid=119900,project=MCU_PLUS_SDK_AM263X,searchquery=taxonomy:'C and C++' build:Build_Apr_13_2023_11_11_AM grouping:off ","KW Issue Link")</f>
        <v>KW Issue Link</v>
      </c>
      <c r="O1172" s="1" t="s">
        <v>291</v>
      </c>
    </row>
    <row r="1173" spans="1:15" ht="60" x14ac:dyDescent="0.25">
      <c r="A1173" s="1" t="s">
        <v>1266</v>
      </c>
      <c r="B1173" s="1"/>
      <c r="C1173" s="1" t="s">
        <v>379</v>
      </c>
      <c r="D1173" s="1">
        <v>119901</v>
      </c>
      <c r="E1173" s="1">
        <v>315</v>
      </c>
      <c r="F1173" s="1" t="s">
        <v>1783</v>
      </c>
      <c r="G1173" s="1" t="s">
        <v>1768</v>
      </c>
      <c r="H1173" s="1" t="s">
        <v>141</v>
      </c>
      <c r="I1173" s="1" t="s">
        <v>65</v>
      </c>
      <c r="J1173" s="1">
        <v>3</v>
      </c>
      <c r="K1173" s="1" t="s">
        <v>142</v>
      </c>
      <c r="L1173" s="1" t="s">
        <v>153</v>
      </c>
      <c r="M1173" s="1" t="s">
        <v>1256</v>
      </c>
      <c r="N1173" s="1" t="str">
        <f>HYPERLINK("https://klocwork.india.ti.com:443/review/insight-review.html#issuedetails_goto:problemid=119901,project=MCU_PLUS_SDK_AM263X,searchquery=taxonomy:'C and C++' build:Build_Apr_13_2023_11_11_AM grouping:off ","KW Issue Link")</f>
        <v>KW Issue Link</v>
      </c>
      <c r="O1173" s="1" t="s">
        <v>291</v>
      </c>
    </row>
    <row r="1174" spans="1:15" ht="60" x14ac:dyDescent="0.25">
      <c r="A1174" s="1" t="s">
        <v>1266</v>
      </c>
      <c r="B1174" s="1"/>
      <c r="C1174" s="1" t="s">
        <v>379</v>
      </c>
      <c r="D1174" s="1">
        <v>119902</v>
      </c>
      <c r="E1174" s="1">
        <v>602</v>
      </c>
      <c r="F1174" s="1" t="s">
        <v>1784</v>
      </c>
      <c r="G1174" s="1" t="s">
        <v>1772</v>
      </c>
      <c r="H1174" s="1" t="s">
        <v>141</v>
      </c>
      <c r="I1174" s="1" t="s">
        <v>65</v>
      </c>
      <c r="J1174" s="1">
        <v>3</v>
      </c>
      <c r="K1174" s="1" t="s">
        <v>142</v>
      </c>
      <c r="L1174" s="1" t="s">
        <v>153</v>
      </c>
      <c r="M1174" s="1" t="s">
        <v>1256</v>
      </c>
      <c r="N1174" s="1" t="str">
        <f>HYPERLINK("https://klocwork.india.ti.com:443/review/insight-review.html#issuedetails_goto:problemid=119902,project=MCU_PLUS_SDK_AM263X,searchquery=taxonomy:'C and C++' build:Build_Apr_13_2023_11_11_AM grouping:off ","KW Issue Link")</f>
        <v>KW Issue Link</v>
      </c>
      <c r="O1174" s="1" t="s">
        <v>291</v>
      </c>
    </row>
    <row r="1175" spans="1:15" ht="60" x14ac:dyDescent="0.25">
      <c r="A1175" s="1" t="s">
        <v>1266</v>
      </c>
      <c r="B1175" s="1"/>
      <c r="C1175" s="1" t="s">
        <v>379</v>
      </c>
      <c r="D1175" s="1">
        <v>119903</v>
      </c>
      <c r="E1175" s="1">
        <v>748</v>
      </c>
      <c r="F1175" s="1" t="s">
        <v>1785</v>
      </c>
      <c r="G1175" s="1" t="s">
        <v>380</v>
      </c>
      <c r="H1175" s="1" t="s">
        <v>141</v>
      </c>
      <c r="I1175" s="1" t="s">
        <v>65</v>
      </c>
      <c r="J1175" s="1">
        <v>3</v>
      </c>
      <c r="K1175" s="1" t="s">
        <v>142</v>
      </c>
      <c r="L1175" s="1" t="s">
        <v>153</v>
      </c>
      <c r="M1175" s="1" t="s">
        <v>1256</v>
      </c>
      <c r="N1175" s="1" t="str">
        <f>HYPERLINK("https://klocwork.india.ti.com:443/review/insight-review.html#issuedetails_goto:problemid=119903,project=MCU_PLUS_SDK_AM263X,searchquery=taxonomy:'C and C++' build:Build_Apr_13_2023_11_11_AM grouping:off ","KW Issue Link")</f>
        <v>KW Issue Link</v>
      </c>
      <c r="O1175" s="1" t="s">
        <v>291</v>
      </c>
    </row>
    <row r="1176" spans="1:15" ht="60" x14ac:dyDescent="0.25">
      <c r="A1176" s="1" t="s">
        <v>1266</v>
      </c>
      <c r="B1176" s="1"/>
      <c r="C1176" s="1" t="s">
        <v>379</v>
      </c>
      <c r="D1176" s="1">
        <v>119904</v>
      </c>
      <c r="E1176" s="1">
        <v>1047</v>
      </c>
      <c r="F1176" s="1" t="s">
        <v>1786</v>
      </c>
      <c r="G1176" s="1" t="s">
        <v>381</v>
      </c>
      <c r="H1176" s="1" t="s">
        <v>141</v>
      </c>
      <c r="I1176" s="1" t="s">
        <v>65</v>
      </c>
      <c r="J1176" s="1">
        <v>3</v>
      </c>
      <c r="K1176" s="1" t="s">
        <v>142</v>
      </c>
      <c r="L1176" s="1" t="s">
        <v>153</v>
      </c>
      <c r="M1176" s="1" t="s">
        <v>1256</v>
      </c>
      <c r="N1176" s="1" t="str">
        <f>HYPERLINK("https://klocwork.india.ti.com:443/review/insight-review.html#issuedetails_goto:problemid=119904,project=MCU_PLUS_SDK_AM263X,searchquery=taxonomy:'C and C++' build:Build_Apr_13_2023_11_11_AM grouping:off ","KW Issue Link")</f>
        <v>KW Issue Link</v>
      </c>
      <c r="O1176" s="1" t="s">
        <v>291</v>
      </c>
    </row>
    <row r="1177" spans="1:15" ht="60" x14ac:dyDescent="0.25">
      <c r="A1177" s="1" t="s">
        <v>1266</v>
      </c>
      <c r="B1177" s="1"/>
      <c r="C1177" s="1" t="s">
        <v>379</v>
      </c>
      <c r="D1177" s="1">
        <v>119905</v>
      </c>
      <c r="E1177" s="1">
        <v>1137</v>
      </c>
      <c r="F1177" s="1" t="s">
        <v>1787</v>
      </c>
      <c r="G1177" s="1" t="s">
        <v>385</v>
      </c>
      <c r="H1177" s="1" t="s">
        <v>141</v>
      </c>
      <c r="I1177" s="1" t="s">
        <v>65</v>
      </c>
      <c r="J1177" s="1">
        <v>3</v>
      </c>
      <c r="K1177" s="1" t="s">
        <v>142</v>
      </c>
      <c r="L1177" s="1" t="s">
        <v>153</v>
      </c>
      <c r="M1177" s="1" t="s">
        <v>1256</v>
      </c>
      <c r="N1177" s="1" t="str">
        <f>HYPERLINK("https://klocwork.india.ti.com:443/review/insight-review.html#issuedetails_goto:problemid=119905,project=MCU_PLUS_SDK_AM263X,searchquery=taxonomy:'C and C++' build:Build_Apr_13_2023_11_11_AM grouping:off ","KW Issue Link")</f>
        <v>KW Issue Link</v>
      </c>
      <c r="O1177" s="1" t="s">
        <v>291</v>
      </c>
    </row>
    <row r="1178" spans="1:15" ht="60" x14ac:dyDescent="0.25">
      <c r="A1178" s="1" t="s">
        <v>1266</v>
      </c>
      <c r="B1178" s="1"/>
      <c r="C1178" s="1" t="s">
        <v>379</v>
      </c>
      <c r="D1178" s="1">
        <v>119906</v>
      </c>
      <c r="E1178" s="1">
        <v>1170</v>
      </c>
      <c r="F1178" s="1" t="s">
        <v>1788</v>
      </c>
      <c r="G1178" s="1" t="s">
        <v>387</v>
      </c>
      <c r="H1178" s="1" t="s">
        <v>141</v>
      </c>
      <c r="I1178" s="1" t="s">
        <v>65</v>
      </c>
      <c r="J1178" s="1">
        <v>3</v>
      </c>
      <c r="K1178" s="1" t="s">
        <v>142</v>
      </c>
      <c r="L1178" s="1" t="s">
        <v>153</v>
      </c>
      <c r="M1178" s="1" t="s">
        <v>1256</v>
      </c>
      <c r="N1178" s="1" t="str">
        <f>HYPERLINK("https://klocwork.india.ti.com:443/review/insight-review.html#issuedetails_goto:problemid=119906,project=MCU_PLUS_SDK_AM263X,searchquery=taxonomy:'C and C++' build:Build_Apr_13_2023_11_11_AM grouping:off ","KW Issue Link")</f>
        <v>KW Issue Link</v>
      </c>
      <c r="O1178" s="1" t="s">
        <v>291</v>
      </c>
    </row>
    <row r="1179" spans="1:15" ht="60" x14ac:dyDescent="0.25">
      <c r="A1179" s="1" t="s">
        <v>1266</v>
      </c>
      <c r="B1179" s="1"/>
      <c r="C1179" s="1" t="s">
        <v>379</v>
      </c>
      <c r="D1179" s="1">
        <v>119907</v>
      </c>
      <c r="E1179" s="1">
        <v>1375</v>
      </c>
      <c r="F1179" s="1" t="s">
        <v>1789</v>
      </c>
      <c r="G1179" s="1" t="s">
        <v>1780</v>
      </c>
      <c r="H1179" s="1" t="s">
        <v>141</v>
      </c>
      <c r="I1179" s="1" t="s">
        <v>65</v>
      </c>
      <c r="J1179" s="1">
        <v>3</v>
      </c>
      <c r="K1179" s="1" t="s">
        <v>142</v>
      </c>
      <c r="L1179" s="1" t="s">
        <v>153</v>
      </c>
      <c r="M1179" s="1" t="s">
        <v>1256</v>
      </c>
      <c r="N1179" s="1" t="str">
        <f>HYPERLINK("https://klocwork.india.ti.com:443/review/insight-review.html#issuedetails_goto:problemid=119907,project=MCU_PLUS_SDK_AM263X,searchquery=taxonomy:'C and C++' build:Build_Apr_13_2023_11_11_AM grouping:off ","KW Issue Link")</f>
        <v>KW Issue Link</v>
      </c>
      <c r="O1179" s="1" t="s">
        <v>291</v>
      </c>
    </row>
    <row r="1180" spans="1:15" ht="60" x14ac:dyDescent="0.25">
      <c r="A1180" s="1" t="s">
        <v>1266</v>
      </c>
      <c r="B1180" s="1"/>
      <c r="C1180" s="1" t="s">
        <v>379</v>
      </c>
      <c r="D1180" s="1">
        <v>119908</v>
      </c>
      <c r="E1180" s="1">
        <v>1547</v>
      </c>
      <c r="F1180" s="1" t="s">
        <v>1790</v>
      </c>
      <c r="G1180" s="1" t="s">
        <v>1782</v>
      </c>
      <c r="H1180" s="1" t="s">
        <v>141</v>
      </c>
      <c r="I1180" s="1" t="s">
        <v>65</v>
      </c>
      <c r="J1180" s="1">
        <v>3</v>
      </c>
      <c r="K1180" s="1" t="s">
        <v>142</v>
      </c>
      <c r="L1180" s="1" t="s">
        <v>153</v>
      </c>
      <c r="M1180" s="1" t="s">
        <v>1256</v>
      </c>
      <c r="N1180" s="1" t="str">
        <f>HYPERLINK("https://klocwork.india.ti.com:443/review/insight-review.html#issuedetails_goto:problemid=119908,project=MCU_PLUS_SDK_AM263X,searchquery=taxonomy:'C and C++' build:Build_Apr_13_2023_11_11_AM grouping:off ","KW Issue Link")</f>
        <v>KW Issue Link</v>
      </c>
      <c r="O1180" s="1" t="s">
        <v>291</v>
      </c>
    </row>
    <row r="1181" spans="1:15" ht="60" x14ac:dyDescent="0.25">
      <c r="A1181" s="1" t="s">
        <v>1268</v>
      </c>
      <c r="B1181" s="1"/>
      <c r="C1181" s="1" t="s">
        <v>379</v>
      </c>
      <c r="D1181" s="1">
        <v>119909</v>
      </c>
      <c r="E1181" s="1">
        <v>315</v>
      </c>
      <c r="F1181" s="1" t="s">
        <v>1791</v>
      </c>
      <c r="G1181" s="1" t="s">
        <v>1768</v>
      </c>
      <c r="H1181" s="1" t="s">
        <v>141</v>
      </c>
      <c r="I1181" s="1" t="s">
        <v>65</v>
      </c>
      <c r="J1181" s="1">
        <v>3</v>
      </c>
      <c r="K1181" s="1" t="s">
        <v>142</v>
      </c>
      <c r="L1181" s="1" t="s">
        <v>153</v>
      </c>
      <c r="M1181" s="1" t="s">
        <v>1256</v>
      </c>
      <c r="N1181" s="1" t="str">
        <f>HYPERLINK("https://klocwork.india.ti.com:443/review/insight-review.html#issuedetails_goto:problemid=119909,project=MCU_PLUS_SDK_AM263X,searchquery=taxonomy:'C and C++' build:Build_Apr_13_2023_11_11_AM grouping:off ","KW Issue Link")</f>
        <v>KW Issue Link</v>
      </c>
      <c r="O1181" s="1" t="s">
        <v>291</v>
      </c>
    </row>
    <row r="1182" spans="1:15" ht="60" x14ac:dyDescent="0.25">
      <c r="A1182" s="1" t="s">
        <v>1268</v>
      </c>
      <c r="B1182" s="1"/>
      <c r="C1182" s="1" t="s">
        <v>379</v>
      </c>
      <c r="D1182" s="1">
        <v>119910</v>
      </c>
      <c r="E1182" s="1">
        <v>602</v>
      </c>
      <c r="F1182" s="1" t="s">
        <v>1792</v>
      </c>
      <c r="G1182" s="1" t="s">
        <v>1772</v>
      </c>
      <c r="H1182" s="1" t="s">
        <v>141</v>
      </c>
      <c r="I1182" s="1" t="s">
        <v>65</v>
      </c>
      <c r="J1182" s="1">
        <v>3</v>
      </c>
      <c r="K1182" s="1" t="s">
        <v>142</v>
      </c>
      <c r="L1182" s="1" t="s">
        <v>153</v>
      </c>
      <c r="M1182" s="1" t="s">
        <v>1256</v>
      </c>
      <c r="N1182" s="1" t="str">
        <f>HYPERLINK("https://klocwork.india.ti.com:443/review/insight-review.html#issuedetails_goto:problemid=119910,project=MCU_PLUS_SDK_AM263X,searchquery=taxonomy:'C and C++' build:Build_Apr_13_2023_11_11_AM grouping:off ","KW Issue Link")</f>
        <v>KW Issue Link</v>
      </c>
      <c r="O1182" s="1" t="s">
        <v>291</v>
      </c>
    </row>
    <row r="1183" spans="1:15" ht="60" x14ac:dyDescent="0.25">
      <c r="A1183" s="1" t="s">
        <v>1268</v>
      </c>
      <c r="B1183" s="1"/>
      <c r="C1183" s="1" t="s">
        <v>379</v>
      </c>
      <c r="D1183" s="1">
        <v>119911</v>
      </c>
      <c r="E1183" s="1">
        <v>748</v>
      </c>
      <c r="F1183" s="1" t="s">
        <v>1793</v>
      </c>
      <c r="G1183" s="1" t="s">
        <v>380</v>
      </c>
      <c r="H1183" s="1" t="s">
        <v>141</v>
      </c>
      <c r="I1183" s="1" t="s">
        <v>65</v>
      </c>
      <c r="J1183" s="1">
        <v>3</v>
      </c>
      <c r="K1183" s="1" t="s">
        <v>142</v>
      </c>
      <c r="L1183" s="1" t="s">
        <v>153</v>
      </c>
      <c r="M1183" s="1" t="s">
        <v>1256</v>
      </c>
      <c r="N1183" s="1" t="str">
        <f>HYPERLINK("https://klocwork.india.ti.com:443/review/insight-review.html#issuedetails_goto:problemid=119911,project=MCU_PLUS_SDK_AM263X,searchquery=taxonomy:'C and C++' build:Build_Apr_13_2023_11_11_AM grouping:off ","KW Issue Link")</f>
        <v>KW Issue Link</v>
      </c>
      <c r="O1183" s="1" t="s">
        <v>291</v>
      </c>
    </row>
    <row r="1184" spans="1:15" ht="60" x14ac:dyDescent="0.25">
      <c r="A1184" s="1" t="s">
        <v>1268</v>
      </c>
      <c r="B1184" s="1"/>
      <c r="C1184" s="1" t="s">
        <v>379</v>
      </c>
      <c r="D1184" s="1">
        <v>119912</v>
      </c>
      <c r="E1184" s="1">
        <v>1047</v>
      </c>
      <c r="F1184" s="1" t="s">
        <v>1794</v>
      </c>
      <c r="G1184" s="1" t="s">
        <v>381</v>
      </c>
      <c r="H1184" s="1" t="s">
        <v>141</v>
      </c>
      <c r="I1184" s="1" t="s">
        <v>65</v>
      </c>
      <c r="J1184" s="1">
        <v>3</v>
      </c>
      <c r="K1184" s="1" t="s">
        <v>142</v>
      </c>
      <c r="L1184" s="1" t="s">
        <v>153</v>
      </c>
      <c r="M1184" s="1" t="s">
        <v>1256</v>
      </c>
      <c r="N1184" s="1" t="str">
        <f>HYPERLINK("https://klocwork.india.ti.com:443/review/insight-review.html#issuedetails_goto:problemid=119912,project=MCU_PLUS_SDK_AM263X,searchquery=taxonomy:'C and C++' build:Build_Apr_13_2023_11_11_AM grouping:off ","KW Issue Link")</f>
        <v>KW Issue Link</v>
      </c>
      <c r="O1184" s="1" t="s">
        <v>291</v>
      </c>
    </row>
    <row r="1185" spans="1:15" ht="60" x14ac:dyDescent="0.25">
      <c r="A1185" s="1" t="s">
        <v>1268</v>
      </c>
      <c r="B1185" s="1"/>
      <c r="C1185" s="1" t="s">
        <v>379</v>
      </c>
      <c r="D1185" s="1">
        <v>119913</v>
      </c>
      <c r="E1185" s="1">
        <v>1137</v>
      </c>
      <c r="F1185" s="1" t="s">
        <v>1795</v>
      </c>
      <c r="G1185" s="1" t="s">
        <v>385</v>
      </c>
      <c r="H1185" s="1" t="s">
        <v>141</v>
      </c>
      <c r="I1185" s="1" t="s">
        <v>65</v>
      </c>
      <c r="J1185" s="1">
        <v>3</v>
      </c>
      <c r="K1185" s="1" t="s">
        <v>142</v>
      </c>
      <c r="L1185" s="1" t="s">
        <v>153</v>
      </c>
      <c r="M1185" s="1" t="s">
        <v>1256</v>
      </c>
      <c r="N1185" s="1" t="str">
        <f>HYPERLINK("https://klocwork.india.ti.com:443/review/insight-review.html#issuedetails_goto:problemid=119913,project=MCU_PLUS_SDK_AM263X,searchquery=taxonomy:'C and C++' build:Build_Apr_13_2023_11_11_AM grouping:off ","KW Issue Link")</f>
        <v>KW Issue Link</v>
      </c>
      <c r="O1185" s="1" t="s">
        <v>291</v>
      </c>
    </row>
    <row r="1186" spans="1:15" ht="60" x14ac:dyDescent="0.25">
      <c r="A1186" s="1" t="s">
        <v>1268</v>
      </c>
      <c r="B1186" s="1"/>
      <c r="C1186" s="1" t="s">
        <v>379</v>
      </c>
      <c r="D1186" s="1">
        <v>119914</v>
      </c>
      <c r="E1186" s="1">
        <v>1170</v>
      </c>
      <c r="F1186" s="1" t="s">
        <v>1796</v>
      </c>
      <c r="G1186" s="1" t="s">
        <v>387</v>
      </c>
      <c r="H1186" s="1" t="s">
        <v>141</v>
      </c>
      <c r="I1186" s="1" t="s">
        <v>65</v>
      </c>
      <c r="J1186" s="1">
        <v>3</v>
      </c>
      <c r="K1186" s="1" t="s">
        <v>142</v>
      </c>
      <c r="L1186" s="1" t="s">
        <v>153</v>
      </c>
      <c r="M1186" s="1" t="s">
        <v>1256</v>
      </c>
      <c r="N1186" s="1" t="str">
        <f>HYPERLINK("https://klocwork.india.ti.com:443/review/insight-review.html#issuedetails_goto:problemid=119914,project=MCU_PLUS_SDK_AM263X,searchquery=taxonomy:'C and C++' build:Build_Apr_13_2023_11_11_AM grouping:off ","KW Issue Link")</f>
        <v>KW Issue Link</v>
      </c>
      <c r="O1186" s="1" t="s">
        <v>291</v>
      </c>
    </row>
    <row r="1187" spans="1:15" ht="60" x14ac:dyDescent="0.25">
      <c r="A1187" s="1" t="s">
        <v>1268</v>
      </c>
      <c r="B1187" s="1"/>
      <c r="C1187" s="1" t="s">
        <v>379</v>
      </c>
      <c r="D1187" s="1">
        <v>119915</v>
      </c>
      <c r="E1187" s="1">
        <v>1375</v>
      </c>
      <c r="F1187" s="1" t="s">
        <v>1797</v>
      </c>
      <c r="G1187" s="1" t="s">
        <v>1780</v>
      </c>
      <c r="H1187" s="1" t="s">
        <v>141</v>
      </c>
      <c r="I1187" s="1" t="s">
        <v>65</v>
      </c>
      <c r="J1187" s="1">
        <v>3</v>
      </c>
      <c r="K1187" s="1" t="s">
        <v>142</v>
      </c>
      <c r="L1187" s="1" t="s">
        <v>153</v>
      </c>
      <c r="M1187" s="1" t="s">
        <v>1256</v>
      </c>
      <c r="N1187" s="1" t="str">
        <f>HYPERLINK("https://klocwork.india.ti.com:443/review/insight-review.html#issuedetails_goto:problemid=119915,project=MCU_PLUS_SDK_AM263X,searchquery=taxonomy:'C and C++' build:Build_Apr_13_2023_11_11_AM grouping:off ","KW Issue Link")</f>
        <v>KW Issue Link</v>
      </c>
      <c r="O1187" s="1" t="s">
        <v>291</v>
      </c>
    </row>
    <row r="1188" spans="1:15" ht="60" x14ac:dyDescent="0.25">
      <c r="A1188" s="1" t="s">
        <v>1266</v>
      </c>
      <c r="B1188" s="1"/>
      <c r="C1188" s="1" t="s">
        <v>391</v>
      </c>
      <c r="D1188" s="1">
        <v>119916</v>
      </c>
      <c r="E1188" s="1">
        <v>208</v>
      </c>
      <c r="F1188" s="1" t="s">
        <v>1798</v>
      </c>
      <c r="G1188" s="1" t="s">
        <v>392</v>
      </c>
      <c r="H1188" s="1" t="s">
        <v>141</v>
      </c>
      <c r="I1188" s="1" t="s">
        <v>65</v>
      </c>
      <c r="J1188" s="1">
        <v>3</v>
      </c>
      <c r="K1188" s="1" t="s">
        <v>142</v>
      </c>
      <c r="L1188" s="1" t="s">
        <v>153</v>
      </c>
      <c r="M1188" s="1" t="s">
        <v>1256</v>
      </c>
      <c r="N1188" s="1" t="str">
        <f>HYPERLINK("https://klocwork.india.ti.com:443/review/insight-review.html#issuedetails_goto:problemid=119916,project=MCU_PLUS_SDK_AM263X,searchquery=taxonomy:'C and C++' build:Build_Apr_13_2023_11_11_AM grouping:off ","KW Issue Link")</f>
        <v>KW Issue Link</v>
      </c>
      <c r="O1188" s="1" t="s">
        <v>356</v>
      </c>
    </row>
    <row r="1189" spans="1:15" ht="60" x14ac:dyDescent="0.25">
      <c r="A1189" s="1" t="s">
        <v>1268</v>
      </c>
      <c r="B1189" s="1"/>
      <c r="C1189" s="1" t="s">
        <v>391</v>
      </c>
      <c r="D1189" s="1">
        <v>119917</v>
      </c>
      <c r="E1189" s="1">
        <v>208</v>
      </c>
      <c r="F1189" s="1" t="s">
        <v>1799</v>
      </c>
      <c r="G1189" s="1" t="s">
        <v>392</v>
      </c>
      <c r="H1189" s="1" t="s">
        <v>141</v>
      </c>
      <c r="I1189" s="1" t="s">
        <v>65</v>
      </c>
      <c r="J1189" s="1">
        <v>3</v>
      </c>
      <c r="K1189" s="1" t="s">
        <v>142</v>
      </c>
      <c r="L1189" s="1" t="s">
        <v>153</v>
      </c>
      <c r="M1189" s="1" t="s">
        <v>1256</v>
      </c>
      <c r="N1189" s="1" t="str">
        <f>HYPERLINK("https://klocwork.india.ti.com:443/review/insight-review.html#issuedetails_goto:problemid=119917,project=MCU_PLUS_SDK_AM263X,searchquery=taxonomy:'C and C++' build:Build_Apr_13_2023_11_11_AM grouping:off ","KW Issue Link")</f>
        <v>KW Issue Link</v>
      </c>
      <c r="O1189" s="1" t="s">
        <v>356</v>
      </c>
    </row>
    <row r="1190" spans="1:15" ht="60" x14ac:dyDescent="0.25">
      <c r="A1190" s="1" t="s">
        <v>1266</v>
      </c>
      <c r="B1190" s="1"/>
      <c r="C1190" s="1" t="s">
        <v>393</v>
      </c>
      <c r="D1190" s="1">
        <v>119918</v>
      </c>
      <c r="E1190" s="1">
        <v>208</v>
      </c>
      <c r="F1190" s="1" t="s">
        <v>1800</v>
      </c>
      <c r="G1190" s="1" t="s">
        <v>394</v>
      </c>
      <c r="H1190" s="1" t="s">
        <v>141</v>
      </c>
      <c r="I1190" s="1" t="s">
        <v>65</v>
      </c>
      <c r="J1190" s="1">
        <v>3</v>
      </c>
      <c r="K1190" s="1" t="s">
        <v>142</v>
      </c>
      <c r="L1190" s="1" t="s">
        <v>153</v>
      </c>
      <c r="M1190" s="1" t="s">
        <v>1256</v>
      </c>
      <c r="N1190" s="1" t="str">
        <f>HYPERLINK("https://klocwork.india.ti.com:443/review/insight-review.html#issuedetails_goto:problemid=119918,project=MCU_PLUS_SDK_AM263X,searchquery=taxonomy:'C and C++' build:Build_Apr_13_2023_11_11_AM grouping:off ","KW Issue Link")</f>
        <v>KW Issue Link</v>
      </c>
      <c r="O1190" s="1" t="s">
        <v>356</v>
      </c>
    </row>
    <row r="1191" spans="1:15" ht="60" x14ac:dyDescent="0.25">
      <c r="A1191" s="1" t="s">
        <v>1268</v>
      </c>
      <c r="B1191" s="1"/>
      <c r="C1191" s="1" t="s">
        <v>393</v>
      </c>
      <c r="D1191" s="1">
        <v>119919</v>
      </c>
      <c r="E1191" s="1">
        <v>208</v>
      </c>
      <c r="F1191" s="1" t="s">
        <v>1801</v>
      </c>
      <c r="G1191" s="1" t="s">
        <v>394</v>
      </c>
      <c r="H1191" s="1" t="s">
        <v>141</v>
      </c>
      <c r="I1191" s="1" t="s">
        <v>65</v>
      </c>
      <c r="J1191" s="1">
        <v>3</v>
      </c>
      <c r="K1191" s="1" t="s">
        <v>142</v>
      </c>
      <c r="L1191" s="1" t="s">
        <v>153</v>
      </c>
      <c r="M1191" s="1" t="s">
        <v>1256</v>
      </c>
      <c r="N1191" s="1" t="str">
        <f>HYPERLINK("https://klocwork.india.ti.com:443/review/insight-review.html#issuedetails_goto:problemid=119919,project=MCU_PLUS_SDK_AM263X,searchquery=taxonomy:'C and C++' build:Build_Apr_13_2023_11_11_AM grouping:off ","KW Issue Link")</f>
        <v>KW Issue Link</v>
      </c>
      <c r="O1191" s="1" t="s">
        <v>356</v>
      </c>
    </row>
    <row r="1192" spans="1:15" ht="60" x14ac:dyDescent="0.25">
      <c r="A1192" s="1" t="s">
        <v>1257</v>
      </c>
      <c r="B1192" s="1"/>
      <c r="C1192" s="1" t="s">
        <v>1198</v>
      </c>
      <c r="D1192" s="1">
        <v>119920</v>
      </c>
      <c r="E1192" s="1">
        <v>151</v>
      </c>
      <c r="F1192" s="1" t="s">
        <v>1802</v>
      </c>
      <c r="G1192" s="1" t="s">
        <v>1200</v>
      </c>
      <c r="H1192" s="1" t="s">
        <v>141</v>
      </c>
      <c r="I1192" s="1" t="s">
        <v>65</v>
      </c>
      <c r="J1192" s="1">
        <v>3</v>
      </c>
      <c r="K1192" s="1" t="s">
        <v>142</v>
      </c>
      <c r="L1192" s="1" t="s">
        <v>153</v>
      </c>
      <c r="M1192" s="1" t="s">
        <v>1256</v>
      </c>
      <c r="N1192" s="1" t="str">
        <f>HYPERLINK("https://klocwork.india.ti.com:443/review/insight-review.html#issuedetails_goto:problemid=119920,project=MCU_PLUS_SDK_AM263X,searchquery=taxonomy:'C and C++' build:Build_Apr_13_2023_11_11_AM grouping:off ","KW Issue Link")</f>
        <v>KW Issue Link</v>
      </c>
      <c r="O1192" s="1" t="s">
        <v>1083</v>
      </c>
    </row>
    <row r="1193" spans="1:15" ht="60" x14ac:dyDescent="0.25">
      <c r="A1193" s="1" t="s">
        <v>1266</v>
      </c>
      <c r="B1193" s="1"/>
      <c r="C1193" s="1" t="s">
        <v>1198</v>
      </c>
      <c r="D1193" s="1">
        <v>119921</v>
      </c>
      <c r="E1193" s="1">
        <v>151</v>
      </c>
      <c r="F1193" s="1" t="s">
        <v>1803</v>
      </c>
      <c r="G1193" s="1" t="s">
        <v>1200</v>
      </c>
      <c r="H1193" s="1" t="s">
        <v>141</v>
      </c>
      <c r="I1193" s="1" t="s">
        <v>65</v>
      </c>
      <c r="J1193" s="1">
        <v>3</v>
      </c>
      <c r="K1193" s="1" t="s">
        <v>142</v>
      </c>
      <c r="L1193" s="1" t="s">
        <v>153</v>
      </c>
      <c r="M1193" s="1" t="s">
        <v>1256</v>
      </c>
      <c r="N1193" s="1" t="str">
        <f>HYPERLINK("https://klocwork.india.ti.com:443/review/insight-review.html#issuedetails_goto:problemid=119921,project=MCU_PLUS_SDK_AM263X,searchquery=taxonomy:'C and C++' build:Build_Apr_13_2023_11_11_AM grouping:off ","KW Issue Link")</f>
        <v>KW Issue Link</v>
      </c>
      <c r="O1193" s="1" t="s">
        <v>1083</v>
      </c>
    </row>
    <row r="1194" spans="1:15" ht="60" x14ac:dyDescent="0.25">
      <c r="A1194" s="1" t="s">
        <v>1268</v>
      </c>
      <c r="B1194" s="1"/>
      <c r="C1194" s="1" t="s">
        <v>1198</v>
      </c>
      <c r="D1194" s="1">
        <v>119922</v>
      </c>
      <c r="E1194" s="1">
        <v>151</v>
      </c>
      <c r="F1194" s="1" t="s">
        <v>1804</v>
      </c>
      <c r="G1194" s="1" t="s">
        <v>1200</v>
      </c>
      <c r="H1194" s="1" t="s">
        <v>141</v>
      </c>
      <c r="I1194" s="1" t="s">
        <v>65</v>
      </c>
      <c r="J1194" s="1">
        <v>3</v>
      </c>
      <c r="K1194" s="1" t="s">
        <v>142</v>
      </c>
      <c r="L1194" s="1" t="s">
        <v>153</v>
      </c>
      <c r="M1194" s="1" t="s">
        <v>1256</v>
      </c>
      <c r="N1194" s="1" t="str">
        <f>HYPERLINK("https://klocwork.india.ti.com:443/review/insight-review.html#issuedetails_goto:problemid=119922,project=MCU_PLUS_SDK_AM263X,searchquery=taxonomy:'C and C++' build:Build_Apr_13_2023_11_11_AM grouping:off ","KW Issue Link")</f>
        <v>KW Issue Link</v>
      </c>
      <c r="O1194" s="1" t="s">
        <v>1083</v>
      </c>
    </row>
    <row r="1195" spans="1:15" ht="60" x14ac:dyDescent="0.25">
      <c r="A1195" s="1" t="s">
        <v>1266</v>
      </c>
      <c r="B1195" s="1"/>
      <c r="C1195" s="1" t="s">
        <v>1805</v>
      </c>
      <c r="D1195" s="1">
        <v>119923</v>
      </c>
      <c r="E1195" s="1">
        <v>175</v>
      </c>
      <c r="F1195" s="1" t="s">
        <v>1806</v>
      </c>
      <c r="G1195" s="1" t="s">
        <v>1807</v>
      </c>
      <c r="H1195" s="1" t="s">
        <v>141</v>
      </c>
      <c r="I1195" s="1" t="s">
        <v>65</v>
      </c>
      <c r="J1195" s="1">
        <v>3</v>
      </c>
      <c r="K1195" s="1" t="s">
        <v>142</v>
      </c>
      <c r="L1195" s="1" t="s">
        <v>153</v>
      </c>
      <c r="M1195" s="1" t="s">
        <v>1256</v>
      </c>
      <c r="N1195" s="1" t="str">
        <f>HYPERLINK("https://klocwork.india.ti.com:443/review/insight-review.html#issuedetails_goto:problemid=119923,project=MCU_PLUS_SDK_AM263X,searchquery=taxonomy:'C and C++' build:Build_Apr_13_2023_11_11_AM grouping:off ","KW Issue Link")</f>
        <v>KW Issue Link</v>
      </c>
      <c r="O1195" s="1" t="s">
        <v>1083</v>
      </c>
    </row>
    <row r="1196" spans="1:15" ht="60" x14ac:dyDescent="0.25">
      <c r="A1196" s="1" t="s">
        <v>1266</v>
      </c>
      <c r="B1196" s="1"/>
      <c r="C1196" s="1" t="s">
        <v>1805</v>
      </c>
      <c r="D1196" s="1">
        <v>119924</v>
      </c>
      <c r="E1196" s="1">
        <v>391</v>
      </c>
      <c r="F1196" s="1" t="s">
        <v>1808</v>
      </c>
      <c r="G1196" s="1" t="s">
        <v>1809</v>
      </c>
      <c r="H1196" s="1" t="s">
        <v>141</v>
      </c>
      <c r="I1196" s="1" t="s">
        <v>65</v>
      </c>
      <c r="J1196" s="1">
        <v>3</v>
      </c>
      <c r="K1196" s="1" t="s">
        <v>142</v>
      </c>
      <c r="L1196" s="1" t="s">
        <v>153</v>
      </c>
      <c r="M1196" s="1" t="s">
        <v>1256</v>
      </c>
      <c r="N1196" s="1" t="str">
        <f>HYPERLINK("https://klocwork.india.ti.com:443/review/insight-review.html#issuedetails_goto:problemid=119924,project=MCU_PLUS_SDK_AM263X,searchquery=taxonomy:'C and C++' build:Build_Apr_13_2023_11_11_AM grouping:off ","KW Issue Link")</f>
        <v>KW Issue Link</v>
      </c>
      <c r="O1196" s="1" t="s">
        <v>1083</v>
      </c>
    </row>
    <row r="1197" spans="1:15" ht="60" x14ac:dyDescent="0.25">
      <c r="A1197" s="1" t="s">
        <v>1268</v>
      </c>
      <c r="B1197" s="1"/>
      <c r="C1197" s="1" t="s">
        <v>1805</v>
      </c>
      <c r="D1197" s="1">
        <v>119925</v>
      </c>
      <c r="E1197" s="1">
        <v>175</v>
      </c>
      <c r="F1197" s="1" t="s">
        <v>1810</v>
      </c>
      <c r="G1197" s="1" t="s">
        <v>1807</v>
      </c>
      <c r="H1197" s="1" t="s">
        <v>141</v>
      </c>
      <c r="I1197" s="1" t="s">
        <v>65</v>
      </c>
      <c r="J1197" s="1">
        <v>3</v>
      </c>
      <c r="K1197" s="1" t="s">
        <v>142</v>
      </c>
      <c r="L1197" s="1" t="s">
        <v>153</v>
      </c>
      <c r="M1197" s="1" t="s">
        <v>1256</v>
      </c>
      <c r="N1197" s="1" t="str">
        <f>HYPERLINK("https://klocwork.india.ti.com:443/review/insight-review.html#issuedetails_goto:problemid=119925,project=MCU_PLUS_SDK_AM263X,searchquery=taxonomy:'C and C++' build:Build_Apr_13_2023_11_11_AM grouping:off ","KW Issue Link")</f>
        <v>KW Issue Link</v>
      </c>
      <c r="O1197" s="1" t="s">
        <v>1083</v>
      </c>
    </row>
    <row r="1198" spans="1:15" ht="60" x14ac:dyDescent="0.25">
      <c r="A1198" s="1" t="s">
        <v>1268</v>
      </c>
      <c r="B1198" s="1"/>
      <c r="C1198" s="1" t="s">
        <v>1805</v>
      </c>
      <c r="D1198" s="1">
        <v>119926</v>
      </c>
      <c r="E1198" s="1">
        <v>391</v>
      </c>
      <c r="F1198" s="1" t="s">
        <v>1811</v>
      </c>
      <c r="G1198" s="1" t="s">
        <v>1809</v>
      </c>
      <c r="H1198" s="1" t="s">
        <v>141</v>
      </c>
      <c r="I1198" s="1" t="s">
        <v>65</v>
      </c>
      <c r="J1198" s="1">
        <v>3</v>
      </c>
      <c r="K1198" s="1" t="s">
        <v>142</v>
      </c>
      <c r="L1198" s="1" t="s">
        <v>153</v>
      </c>
      <c r="M1198" s="1" t="s">
        <v>1256</v>
      </c>
      <c r="N1198" s="1" t="str">
        <f>HYPERLINK("https://klocwork.india.ti.com:443/review/insight-review.html#issuedetails_goto:problemid=119926,project=MCU_PLUS_SDK_AM263X,searchquery=taxonomy:'C and C++' build:Build_Apr_13_2023_11_11_AM grouping:off ","KW Issue Link")</f>
        <v>KW Issue Link</v>
      </c>
      <c r="O1198" s="1" t="s">
        <v>1083</v>
      </c>
    </row>
    <row r="1199" spans="1:15" ht="60" x14ac:dyDescent="0.25">
      <c r="A1199" s="1" t="s">
        <v>1257</v>
      </c>
      <c r="B1199" s="1"/>
      <c r="C1199" s="1" t="s">
        <v>1002</v>
      </c>
      <c r="D1199" s="1">
        <v>119928</v>
      </c>
      <c r="E1199" s="1">
        <v>1434</v>
      </c>
      <c r="F1199" s="1" t="s">
        <v>1812</v>
      </c>
      <c r="G1199" s="1" t="s">
        <v>1813</v>
      </c>
      <c r="H1199" s="1" t="s">
        <v>141</v>
      </c>
      <c r="I1199" s="1" t="s">
        <v>65</v>
      </c>
      <c r="J1199" s="1">
        <v>3</v>
      </c>
      <c r="K1199" s="1" t="s">
        <v>142</v>
      </c>
      <c r="L1199" s="1" t="s">
        <v>153</v>
      </c>
      <c r="M1199" s="1" t="s">
        <v>1256</v>
      </c>
      <c r="N1199" s="1" t="str">
        <f>HYPERLINK("https://klocwork.india.ti.com:443/review/insight-review.html#issuedetails_goto:problemid=119928,project=MCU_PLUS_SDK_AM263X,searchquery=taxonomy:'C and C++' build:Build_Apr_13_2023_11_11_AM grouping:off ","KW Issue Link")</f>
        <v>KW Issue Link</v>
      </c>
      <c r="O1199" s="1" t="s">
        <v>1005</v>
      </c>
    </row>
    <row r="1200" spans="1:15" ht="60" x14ac:dyDescent="0.25">
      <c r="A1200" s="1" t="s">
        <v>1257</v>
      </c>
      <c r="B1200" s="1"/>
      <c r="C1200" s="1" t="s">
        <v>1002</v>
      </c>
      <c r="D1200" s="1">
        <v>119929</v>
      </c>
      <c r="E1200" s="1">
        <v>1497</v>
      </c>
      <c r="F1200" s="1" t="s">
        <v>1814</v>
      </c>
      <c r="G1200" s="1" t="s">
        <v>1815</v>
      </c>
      <c r="H1200" s="1" t="s">
        <v>141</v>
      </c>
      <c r="I1200" s="1" t="s">
        <v>65</v>
      </c>
      <c r="J1200" s="1">
        <v>3</v>
      </c>
      <c r="K1200" s="1" t="s">
        <v>142</v>
      </c>
      <c r="L1200" s="1" t="s">
        <v>153</v>
      </c>
      <c r="M1200" s="1" t="s">
        <v>1256</v>
      </c>
      <c r="N1200" s="1" t="str">
        <f>HYPERLINK("https://klocwork.india.ti.com:443/review/insight-review.html#issuedetails_goto:problemid=119929,project=MCU_PLUS_SDK_AM263X,searchquery=taxonomy:'C and C++' build:Build_Apr_13_2023_11_11_AM grouping:off ","KW Issue Link")</f>
        <v>KW Issue Link</v>
      </c>
      <c r="O1200" s="1" t="s">
        <v>1005</v>
      </c>
    </row>
    <row r="1201" spans="1:15" ht="60" x14ac:dyDescent="0.25">
      <c r="A1201" s="1" t="s">
        <v>1257</v>
      </c>
      <c r="B1201" s="1"/>
      <c r="C1201" s="1" t="s">
        <v>1002</v>
      </c>
      <c r="D1201" s="1">
        <v>119931</v>
      </c>
      <c r="E1201" s="1">
        <v>1705</v>
      </c>
      <c r="F1201" s="1" t="s">
        <v>1816</v>
      </c>
      <c r="G1201" s="1" t="s">
        <v>1817</v>
      </c>
      <c r="H1201" s="1" t="s">
        <v>141</v>
      </c>
      <c r="I1201" s="1" t="s">
        <v>65</v>
      </c>
      <c r="J1201" s="1">
        <v>3</v>
      </c>
      <c r="K1201" s="1" t="s">
        <v>142</v>
      </c>
      <c r="L1201" s="1" t="s">
        <v>153</v>
      </c>
      <c r="M1201" s="1" t="s">
        <v>1256</v>
      </c>
      <c r="N1201" s="1" t="str">
        <f>HYPERLINK("https://klocwork.india.ti.com:443/review/insight-review.html#issuedetails_goto:problemid=119931,project=MCU_PLUS_SDK_AM263X,searchquery=taxonomy:'C and C++' build:Build_Apr_13_2023_11_11_AM grouping:off ","KW Issue Link")</f>
        <v>KW Issue Link</v>
      </c>
      <c r="O1201" s="1" t="s">
        <v>1005</v>
      </c>
    </row>
    <row r="1202" spans="1:15" ht="60" x14ac:dyDescent="0.25">
      <c r="A1202" s="1" t="s">
        <v>1266</v>
      </c>
      <c r="B1202" s="1"/>
      <c r="C1202" s="1" t="s">
        <v>1002</v>
      </c>
      <c r="D1202" s="1">
        <v>119932</v>
      </c>
      <c r="E1202" s="1">
        <v>89</v>
      </c>
      <c r="F1202" s="1" t="s">
        <v>1818</v>
      </c>
      <c r="G1202" s="1" t="s">
        <v>1004</v>
      </c>
      <c r="H1202" s="1" t="s">
        <v>141</v>
      </c>
      <c r="I1202" s="1" t="s">
        <v>65</v>
      </c>
      <c r="J1202" s="1">
        <v>3</v>
      </c>
      <c r="K1202" s="1" t="s">
        <v>142</v>
      </c>
      <c r="L1202" s="1" t="s">
        <v>153</v>
      </c>
      <c r="M1202" s="1" t="s">
        <v>1256</v>
      </c>
      <c r="N1202" s="1" t="str">
        <f>HYPERLINK("https://klocwork.india.ti.com:443/review/insight-review.html#issuedetails_goto:problemid=119932,project=MCU_PLUS_SDK_AM263X,searchquery=taxonomy:'C and C++' build:Build_Apr_13_2023_11_11_AM grouping:off ","KW Issue Link")</f>
        <v>KW Issue Link</v>
      </c>
      <c r="O1202" s="1" t="s">
        <v>1005</v>
      </c>
    </row>
    <row r="1203" spans="1:15" ht="60" x14ac:dyDescent="0.25">
      <c r="A1203" s="1" t="s">
        <v>1266</v>
      </c>
      <c r="B1203" s="1"/>
      <c r="C1203" s="1" t="s">
        <v>1002</v>
      </c>
      <c r="D1203" s="1">
        <v>119935</v>
      </c>
      <c r="E1203" s="1">
        <v>1705</v>
      </c>
      <c r="F1203" s="1" t="s">
        <v>1819</v>
      </c>
      <c r="G1203" s="1" t="s">
        <v>1817</v>
      </c>
      <c r="H1203" s="1" t="s">
        <v>141</v>
      </c>
      <c r="I1203" s="1" t="s">
        <v>65</v>
      </c>
      <c r="J1203" s="1">
        <v>3</v>
      </c>
      <c r="K1203" s="1" t="s">
        <v>142</v>
      </c>
      <c r="L1203" s="1" t="s">
        <v>153</v>
      </c>
      <c r="M1203" s="1" t="s">
        <v>1256</v>
      </c>
      <c r="N1203" s="1" t="str">
        <f>HYPERLINK("https://klocwork.india.ti.com:443/review/insight-review.html#issuedetails_goto:problemid=119935,project=MCU_PLUS_SDK_AM263X,searchquery=taxonomy:'C and C++' build:Build_Apr_13_2023_11_11_AM grouping:off ","KW Issue Link")</f>
        <v>KW Issue Link</v>
      </c>
      <c r="O1203" s="1" t="s">
        <v>1005</v>
      </c>
    </row>
    <row r="1204" spans="1:15" ht="60" x14ac:dyDescent="0.25">
      <c r="A1204" s="1" t="s">
        <v>1268</v>
      </c>
      <c r="B1204" s="1"/>
      <c r="C1204" s="1" t="s">
        <v>1002</v>
      </c>
      <c r="D1204" s="1">
        <v>119937</v>
      </c>
      <c r="E1204" s="1">
        <v>89</v>
      </c>
      <c r="F1204" s="1" t="s">
        <v>1820</v>
      </c>
      <c r="G1204" s="1" t="s">
        <v>1004</v>
      </c>
      <c r="H1204" s="1" t="s">
        <v>141</v>
      </c>
      <c r="I1204" s="1" t="s">
        <v>65</v>
      </c>
      <c r="J1204" s="1">
        <v>3</v>
      </c>
      <c r="K1204" s="1" t="s">
        <v>142</v>
      </c>
      <c r="L1204" s="1" t="s">
        <v>153</v>
      </c>
      <c r="M1204" s="1" t="s">
        <v>1256</v>
      </c>
      <c r="N1204" s="1" t="str">
        <f>HYPERLINK("https://klocwork.india.ti.com:443/review/insight-review.html#issuedetails_goto:problemid=119937,project=MCU_PLUS_SDK_AM263X,searchquery=taxonomy:'C and C++' build:Build_Apr_13_2023_11_11_AM grouping:off ","KW Issue Link")</f>
        <v>KW Issue Link</v>
      </c>
      <c r="O1204" s="1" t="s">
        <v>1005</v>
      </c>
    </row>
    <row r="1205" spans="1:15" ht="60" x14ac:dyDescent="0.25">
      <c r="A1205" s="1" t="s">
        <v>1268</v>
      </c>
      <c r="B1205" s="1"/>
      <c r="C1205" s="1" t="s">
        <v>1002</v>
      </c>
      <c r="D1205" s="1">
        <v>119938</v>
      </c>
      <c r="E1205" s="1">
        <v>1140</v>
      </c>
      <c r="F1205" s="1" t="s">
        <v>1821</v>
      </c>
      <c r="G1205" s="1" t="s">
        <v>1822</v>
      </c>
      <c r="H1205" s="1" t="s">
        <v>141</v>
      </c>
      <c r="I1205" s="1" t="s">
        <v>65</v>
      </c>
      <c r="J1205" s="1">
        <v>3</v>
      </c>
      <c r="K1205" s="1" t="s">
        <v>142</v>
      </c>
      <c r="L1205" s="1" t="s">
        <v>153</v>
      </c>
      <c r="M1205" s="1" t="s">
        <v>1256</v>
      </c>
      <c r="N1205" s="1" t="str">
        <f>HYPERLINK("https://klocwork.india.ti.com:443/review/insight-review.html#issuedetails_goto:problemid=119938,project=MCU_PLUS_SDK_AM263X,searchquery=taxonomy:'C and C++' build:Build_Apr_13_2023_11_11_AM grouping:off ","KW Issue Link")</f>
        <v>KW Issue Link</v>
      </c>
      <c r="O1205" s="1" t="s">
        <v>1005</v>
      </c>
    </row>
    <row r="1206" spans="1:15" ht="60" x14ac:dyDescent="0.25">
      <c r="A1206" s="1" t="s">
        <v>1252</v>
      </c>
      <c r="B1206" s="1"/>
      <c r="C1206" s="1" t="s">
        <v>1002</v>
      </c>
      <c r="D1206" s="1">
        <v>119943</v>
      </c>
      <c r="E1206" s="1">
        <v>890</v>
      </c>
      <c r="F1206" s="1" t="s">
        <v>1823</v>
      </c>
      <c r="G1206" s="1" t="s">
        <v>1824</v>
      </c>
      <c r="H1206" s="1" t="s">
        <v>141</v>
      </c>
      <c r="I1206" s="1" t="s">
        <v>65</v>
      </c>
      <c r="J1206" s="1">
        <v>3</v>
      </c>
      <c r="K1206" s="1" t="s">
        <v>142</v>
      </c>
      <c r="L1206" s="1" t="s">
        <v>153</v>
      </c>
      <c r="M1206" s="1" t="s">
        <v>1256</v>
      </c>
      <c r="N1206" s="1" t="str">
        <f>HYPERLINK("https://klocwork.india.ti.com:443/review/insight-review.html#issuedetails_goto:problemid=119943,project=MCU_PLUS_SDK_AM263X,searchquery=taxonomy:'C and C++' build:Build_Apr_13_2023_11_11_AM grouping:off ","KW Issue Link")</f>
        <v>KW Issue Link</v>
      </c>
      <c r="O1206" s="1" t="s">
        <v>1005</v>
      </c>
    </row>
    <row r="1207" spans="1:15" ht="60" x14ac:dyDescent="0.25">
      <c r="A1207" s="1" t="s">
        <v>1252</v>
      </c>
      <c r="B1207" s="1"/>
      <c r="C1207" s="1" t="s">
        <v>1002</v>
      </c>
      <c r="D1207" s="1">
        <v>119944</v>
      </c>
      <c r="E1207" s="1">
        <v>930</v>
      </c>
      <c r="F1207" s="1" t="s">
        <v>1825</v>
      </c>
      <c r="G1207" s="1" t="s">
        <v>1826</v>
      </c>
      <c r="H1207" s="1" t="s">
        <v>141</v>
      </c>
      <c r="I1207" s="1" t="s">
        <v>65</v>
      </c>
      <c r="J1207" s="1">
        <v>3</v>
      </c>
      <c r="K1207" s="1" t="s">
        <v>142</v>
      </c>
      <c r="L1207" s="1" t="s">
        <v>153</v>
      </c>
      <c r="M1207" s="1" t="s">
        <v>1256</v>
      </c>
      <c r="N1207" s="1" t="str">
        <f>HYPERLINK("https://klocwork.india.ti.com:443/review/insight-review.html#issuedetails_goto:problemid=119944,project=MCU_PLUS_SDK_AM263X,searchquery=taxonomy:'C and C++' build:Build_Apr_13_2023_11_11_AM grouping:off ","KW Issue Link")</f>
        <v>KW Issue Link</v>
      </c>
      <c r="O1207" s="1" t="s">
        <v>1005</v>
      </c>
    </row>
    <row r="1208" spans="1:15" ht="60" x14ac:dyDescent="0.25">
      <c r="A1208" s="1" t="s">
        <v>1257</v>
      </c>
      <c r="B1208" s="1"/>
      <c r="C1208" s="1" t="s">
        <v>1827</v>
      </c>
      <c r="D1208" s="1">
        <v>119945</v>
      </c>
      <c r="E1208" s="1">
        <v>191</v>
      </c>
      <c r="F1208" s="1" t="s">
        <v>1828</v>
      </c>
      <c r="G1208" s="1" t="s">
        <v>1829</v>
      </c>
      <c r="H1208" s="1" t="s">
        <v>141</v>
      </c>
      <c r="I1208" s="1" t="s">
        <v>65</v>
      </c>
      <c r="J1208" s="1">
        <v>3</v>
      </c>
      <c r="K1208" s="1" t="s">
        <v>142</v>
      </c>
      <c r="L1208" s="1" t="s">
        <v>153</v>
      </c>
      <c r="M1208" s="1" t="s">
        <v>1256</v>
      </c>
      <c r="N1208" s="1" t="str">
        <f>HYPERLINK("https://klocwork.india.ti.com:443/review/insight-review.html#issuedetails_goto:problemid=119945,project=MCU_PLUS_SDK_AM263X,searchquery=taxonomy:'C and C++' build:Build_Apr_13_2023_11_11_AM grouping:off ","KW Issue Link")</f>
        <v>KW Issue Link</v>
      </c>
      <c r="O1208" s="1" t="s">
        <v>271</v>
      </c>
    </row>
    <row r="1209" spans="1:15" ht="60" x14ac:dyDescent="0.25">
      <c r="A1209" s="1" t="s">
        <v>1257</v>
      </c>
      <c r="B1209" s="1"/>
      <c r="C1209" s="1" t="s">
        <v>397</v>
      </c>
      <c r="D1209" s="1">
        <v>119946</v>
      </c>
      <c r="E1209" s="1">
        <v>106</v>
      </c>
      <c r="F1209" s="1" t="s">
        <v>1830</v>
      </c>
      <c r="G1209" s="1" t="s">
        <v>1831</v>
      </c>
      <c r="H1209" s="1" t="s">
        <v>141</v>
      </c>
      <c r="I1209" s="1" t="s">
        <v>65</v>
      </c>
      <c r="J1209" s="1">
        <v>3</v>
      </c>
      <c r="K1209" s="1" t="s">
        <v>142</v>
      </c>
      <c r="L1209" s="1" t="s">
        <v>153</v>
      </c>
      <c r="M1209" s="1" t="s">
        <v>1256</v>
      </c>
      <c r="N1209" s="1" t="str">
        <f>HYPERLINK("https://klocwork.india.ti.com:443/review/insight-review.html#issuedetails_goto:problemid=119946,project=MCU_PLUS_SDK_AM263X,searchquery=taxonomy:'C and C++' build:Build_Apr_13_2023_11_11_AM grouping:off ","KW Issue Link")</f>
        <v>KW Issue Link</v>
      </c>
      <c r="O1209" s="1" t="s">
        <v>356</v>
      </c>
    </row>
    <row r="1210" spans="1:15" ht="60" x14ac:dyDescent="0.25">
      <c r="A1210" s="1" t="s">
        <v>1257</v>
      </c>
      <c r="B1210" s="1"/>
      <c r="C1210" s="1" t="s">
        <v>397</v>
      </c>
      <c r="D1210" s="1">
        <v>119947</v>
      </c>
      <c r="E1210" s="1">
        <v>153</v>
      </c>
      <c r="F1210" s="1" t="s">
        <v>1832</v>
      </c>
      <c r="G1210" s="1" t="s">
        <v>1833</v>
      </c>
      <c r="H1210" s="1" t="s">
        <v>141</v>
      </c>
      <c r="I1210" s="1" t="s">
        <v>65</v>
      </c>
      <c r="J1210" s="1">
        <v>3</v>
      </c>
      <c r="K1210" s="1" t="s">
        <v>142</v>
      </c>
      <c r="L1210" s="1" t="s">
        <v>153</v>
      </c>
      <c r="M1210" s="1" t="s">
        <v>1256</v>
      </c>
      <c r="N1210" s="1" t="str">
        <f>HYPERLINK("https://klocwork.india.ti.com:443/review/insight-review.html#issuedetails_goto:problemid=119947,project=MCU_PLUS_SDK_AM263X,searchquery=taxonomy:'C and C++' build:Build_Apr_13_2023_11_11_AM grouping:off ","KW Issue Link")</f>
        <v>KW Issue Link</v>
      </c>
      <c r="O1210" s="1" t="s">
        <v>356</v>
      </c>
    </row>
    <row r="1211" spans="1:15" ht="60" x14ac:dyDescent="0.25">
      <c r="A1211" s="1" t="s">
        <v>1257</v>
      </c>
      <c r="B1211" s="1"/>
      <c r="C1211" s="1" t="s">
        <v>397</v>
      </c>
      <c r="D1211" s="1">
        <v>119948</v>
      </c>
      <c r="E1211" s="1">
        <v>303</v>
      </c>
      <c r="F1211" s="1" t="s">
        <v>1834</v>
      </c>
      <c r="G1211" s="1" t="s">
        <v>1835</v>
      </c>
      <c r="H1211" s="1" t="s">
        <v>141</v>
      </c>
      <c r="I1211" s="1" t="s">
        <v>65</v>
      </c>
      <c r="J1211" s="1">
        <v>3</v>
      </c>
      <c r="K1211" s="1" t="s">
        <v>142</v>
      </c>
      <c r="L1211" s="1" t="s">
        <v>153</v>
      </c>
      <c r="M1211" s="1" t="s">
        <v>1256</v>
      </c>
      <c r="N1211" s="1" t="str">
        <f>HYPERLINK("https://klocwork.india.ti.com:443/review/insight-review.html#issuedetails_goto:problemid=119948,project=MCU_PLUS_SDK_AM263X,searchquery=taxonomy:'C and C++' build:Build_Apr_13_2023_11_11_AM grouping:off ","KW Issue Link")</f>
        <v>KW Issue Link</v>
      </c>
      <c r="O1211" s="1" t="s">
        <v>356</v>
      </c>
    </row>
    <row r="1212" spans="1:15" ht="60" x14ac:dyDescent="0.25">
      <c r="A1212" s="1" t="s">
        <v>1257</v>
      </c>
      <c r="B1212" s="1"/>
      <c r="C1212" s="1" t="s">
        <v>397</v>
      </c>
      <c r="D1212" s="1">
        <v>119949</v>
      </c>
      <c r="E1212" s="1">
        <v>477</v>
      </c>
      <c r="F1212" s="1" t="s">
        <v>1836</v>
      </c>
      <c r="G1212" s="1" t="s">
        <v>399</v>
      </c>
      <c r="H1212" s="1" t="s">
        <v>141</v>
      </c>
      <c r="I1212" s="1" t="s">
        <v>65</v>
      </c>
      <c r="J1212" s="1">
        <v>3</v>
      </c>
      <c r="K1212" s="1" t="s">
        <v>142</v>
      </c>
      <c r="L1212" s="1" t="s">
        <v>153</v>
      </c>
      <c r="M1212" s="1" t="s">
        <v>1256</v>
      </c>
      <c r="N1212" s="1" t="str">
        <f>HYPERLINK("https://klocwork.india.ti.com:443/review/insight-review.html#issuedetails_goto:problemid=119949,project=MCU_PLUS_SDK_AM263X,searchquery=taxonomy:'C and C++' build:Build_Apr_13_2023_11_11_AM grouping:off ","KW Issue Link")</f>
        <v>KW Issue Link</v>
      </c>
      <c r="O1212" s="1" t="s">
        <v>356</v>
      </c>
    </row>
    <row r="1213" spans="1:15" ht="60" x14ac:dyDescent="0.25">
      <c r="A1213" s="1" t="s">
        <v>1257</v>
      </c>
      <c r="B1213" s="1"/>
      <c r="C1213" s="1" t="s">
        <v>397</v>
      </c>
      <c r="D1213" s="1">
        <v>119950</v>
      </c>
      <c r="E1213" s="1">
        <v>620</v>
      </c>
      <c r="F1213" s="1" t="s">
        <v>1837</v>
      </c>
      <c r="G1213" s="1" t="s">
        <v>1838</v>
      </c>
      <c r="H1213" s="1" t="s">
        <v>141</v>
      </c>
      <c r="I1213" s="1" t="s">
        <v>65</v>
      </c>
      <c r="J1213" s="1">
        <v>3</v>
      </c>
      <c r="K1213" s="1" t="s">
        <v>142</v>
      </c>
      <c r="L1213" s="1" t="s">
        <v>153</v>
      </c>
      <c r="M1213" s="1" t="s">
        <v>1256</v>
      </c>
      <c r="N1213" s="1" t="str">
        <f>HYPERLINK("https://klocwork.india.ti.com:443/review/insight-review.html#issuedetails_goto:problemid=119950,project=MCU_PLUS_SDK_AM263X,searchquery=taxonomy:'C and C++' build:Build_Apr_13_2023_11_11_AM grouping:off ","KW Issue Link")</f>
        <v>KW Issue Link</v>
      </c>
      <c r="O1213" s="1" t="s">
        <v>356</v>
      </c>
    </row>
    <row r="1214" spans="1:15" ht="60" x14ac:dyDescent="0.25">
      <c r="A1214" s="1" t="s">
        <v>1268</v>
      </c>
      <c r="B1214" s="1"/>
      <c r="C1214" s="1" t="s">
        <v>397</v>
      </c>
      <c r="D1214" s="1">
        <v>119951</v>
      </c>
      <c r="E1214" s="1">
        <v>276</v>
      </c>
      <c r="F1214" s="1" t="s">
        <v>1839</v>
      </c>
      <c r="G1214" s="1" t="s">
        <v>1840</v>
      </c>
      <c r="H1214" s="1" t="s">
        <v>141</v>
      </c>
      <c r="I1214" s="1" t="s">
        <v>65</v>
      </c>
      <c r="J1214" s="1">
        <v>3</v>
      </c>
      <c r="K1214" s="1" t="s">
        <v>142</v>
      </c>
      <c r="L1214" s="1" t="s">
        <v>153</v>
      </c>
      <c r="M1214" s="1" t="s">
        <v>1256</v>
      </c>
      <c r="N1214" s="1" t="str">
        <f>HYPERLINK("https://klocwork.india.ti.com:443/review/insight-review.html#issuedetails_goto:problemid=119951,project=MCU_PLUS_SDK_AM263X,searchquery=taxonomy:'C and C++' build:Build_Apr_13_2023_11_11_AM grouping:off ","KW Issue Link")</f>
        <v>KW Issue Link</v>
      </c>
      <c r="O1214" s="1" t="s">
        <v>356</v>
      </c>
    </row>
    <row r="1215" spans="1:15" ht="60" x14ac:dyDescent="0.25">
      <c r="A1215" s="1" t="s">
        <v>1268</v>
      </c>
      <c r="B1215" s="1"/>
      <c r="C1215" s="1" t="s">
        <v>397</v>
      </c>
      <c r="D1215" s="1">
        <v>119952</v>
      </c>
      <c r="E1215" s="1">
        <v>477</v>
      </c>
      <c r="F1215" s="1" t="s">
        <v>1841</v>
      </c>
      <c r="G1215" s="1" t="s">
        <v>399</v>
      </c>
      <c r="H1215" s="1" t="s">
        <v>141</v>
      </c>
      <c r="I1215" s="1" t="s">
        <v>65</v>
      </c>
      <c r="J1215" s="1">
        <v>3</v>
      </c>
      <c r="K1215" s="1" t="s">
        <v>142</v>
      </c>
      <c r="L1215" s="1" t="s">
        <v>153</v>
      </c>
      <c r="M1215" s="1" t="s">
        <v>1256</v>
      </c>
      <c r="N1215" s="1" t="str">
        <f>HYPERLINK("https://klocwork.india.ti.com:443/review/insight-review.html#issuedetails_goto:problemid=119952,project=MCU_PLUS_SDK_AM263X,searchquery=taxonomy:'C and C++' build:Build_Apr_13_2023_11_11_AM grouping:off ","KW Issue Link")</f>
        <v>KW Issue Link</v>
      </c>
      <c r="O1215" s="1" t="s">
        <v>356</v>
      </c>
    </row>
    <row r="1216" spans="1:15" ht="60" x14ac:dyDescent="0.25">
      <c r="A1216" s="1" t="s">
        <v>1268</v>
      </c>
      <c r="B1216" s="1"/>
      <c r="C1216" s="1" t="s">
        <v>397</v>
      </c>
      <c r="D1216" s="1">
        <v>119953</v>
      </c>
      <c r="E1216" s="1">
        <v>620</v>
      </c>
      <c r="F1216" s="1" t="s">
        <v>1842</v>
      </c>
      <c r="G1216" s="1" t="s">
        <v>1838</v>
      </c>
      <c r="H1216" s="1" t="s">
        <v>141</v>
      </c>
      <c r="I1216" s="1" t="s">
        <v>65</v>
      </c>
      <c r="J1216" s="1">
        <v>3</v>
      </c>
      <c r="K1216" s="1" t="s">
        <v>142</v>
      </c>
      <c r="L1216" s="1" t="s">
        <v>153</v>
      </c>
      <c r="M1216" s="1" t="s">
        <v>1256</v>
      </c>
      <c r="N1216" s="1" t="str">
        <f>HYPERLINK("https://klocwork.india.ti.com:443/review/insight-review.html#issuedetails_goto:problemid=119953,project=MCU_PLUS_SDK_AM263X,searchquery=taxonomy:'C and C++' build:Build_Apr_13_2023_11_11_AM grouping:off ","KW Issue Link")</f>
        <v>KW Issue Link</v>
      </c>
      <c r="O1216" s="1" t="s">
        <v>356</v>
      </c>
    </row>
    <row r="1217" spans="1:15" ht="60" x14ac:dyDescent="0.25">
      <c r="A1217" s="1" t="s">
        <v>1266</v>
      </c>
      <c r="B1217" s="1"/>
      <c r="C1217" s="1" t="s">
        <v>397</v>
      </c>
      <c r="D1217" s="1">
        <v>119954</v>
      </c>
      <c r="E1217" s="1">
        <v>477</v>
      </c>
      <c r="F1217" s="1" t="s">
        <v>1843</v>
      </c>
      <c r="G1217" s="1" t="s">
        <v>399</v>
      </c>
      <c r="H1217" s="1" t="s">
        <v>141</v>
      </c>
      <c r="I1217" s="1" t="s">
        <v>65</v>
      </c>
      <c r="J1217" s="1">
        <v>3</v>
      </c>
      <c r="K1217" s="1" t="s">
        <v>142</v>
      </c>
      <c r="L1217" s="1" t="s">
        <v>153</v>
      </c>
      <c r="M1217" s="1" t="s">
        <v>1256</v>
      </c>
      <c r="N1217" s="1" t="str">
        <f>HYPERLINK("https://klocwork.india.ti.com:443/review/insight-review.html#issuedetails_goto:problemid=119954,project=MCU_PLUS_SDK_AM263X,searchquery=taxonomy:'C and C++' build:Build_Apr_13_2023_11_11_AM grouping:off ","KW Issue Link")</f>
        <v>KW Issue Link</v>
      </c>
      <c r="O1217" s="1" t="s">
        <v>356</v>
      </c>
    </row>
    <row r="1218" spans="1:15" ht="60" x14ac:dyDescent="0.25">
      <c r="A1218" s="1" t="s">
        <v>1266</v>
      </c>
      <c r="B1218" s="1"/>
      <c r="C1218" s="1" t="s">
        <v>397</v>
      </c>
      <c r="D1218" s="1">
        <v>119955</v>
      </c>
      <c r="E1218" s="1">
        <v>620</v>
      </c>
      <c r="F1218" s="1" t="s">
        <v>1844</v>
      </c>
      <c r="G1218" s="1" t="s">
        <v>1838</v>
      </c>
      <c r="H1218" s="1" t="s">
        <v>141</v>
      </c>
      <c r="I1218" s="1" t="s">
        <v>65</v>
      </c>
      <c r="J1218" s="1">
        <v>3</v>
      </c>
      <c r="K1218" s="1" t="s">
        <v>142</v>
      </c>
      <c r="L1218" s="1" t="s">
        <v>153</v>
      </c>
      <c r="M1218" s="1" t="s">
        <v>1256</v>
      </c>
      <c r="N1218" s="1" t="str">
        <f>HYPERLINK("https://klocwork.india.ti.com:443/review/insight-review.html#issuedetails_goto:problemid=119955,project=MCU_PLUS_SDK_AM263X,searchquery=taxonomy:'C and C++' build:Build_Apr_13_2023_11_11_AM grouping:off ","KW Issue Link")</f>
        <v>KW Issue Link</v>
      </c>
      <c r="O1218" s="1" t="s">
        <v>356</v>
      </c>
    </row>
    <row r="1219" spans="1:15" ht="75" x14ac:dyDescent="0.25">
      <c r="A1219" s="1" t="s">
        <v>1257</v>
      </c>
      <c r="B1219" s="1"/>
      <c r="C1219" s="1" t="s">
        <v>400</v>
      </c>
      <c r="D1219" s="1">
        <v>119956</v>
      </c>
      <c r="E1219" s="1">
        <v>1163</v>
      </c>
      <c r="F1219" s="1" t="s">
        <v>1845</v>
      </c>
      <c r="G1219" s="1" t="s">
        <v>1173</v>
      </c>
      <c r="H1219" s="1" t="s">
        <v>141</v>
      </c>
      <c r="I1219" s="1" t="s">
        <v>65</v>
      </c>
      <c r="J1219" s="1">
        <v>3</v>
      </c>
      <c r="K1219" s="1" t="s">
        <v>142</v>
      </c>
      <c r="L1219" s="1" t="s">
        <v>153</v>
      </c>
      <c r="M1219" s="1" t="s">
        <v>1256</v>
      </c>
      <c r="N1219" s="1" t="str">
        <f>HYPERLINK("https://klocwork.india.ti.com:443/review/insight-review.html#issuedetails_goto:problemid=119956,project=MCU_PLUS_SDK_AM263X,searchquery=taxonomy:'C and C++' build:Build_Apr_13_2023_11_11_AM grouping:off ","KW Issue Link")</f>
        <v>KW Issue Link</v>
      </c>
      <c r="O1219" s="1" t="s">
        <v>356</v>
      </c>
    </row>
    <row r="1220" spans="1:15" ht="75" x14ac:dyDescent="0.25">
      <c r="A1220" s="1" t="s">
        <v>1257</v>
      </c>
      <c r="B1220" s="1"/>
      <c r="C1220" s="1" t="s">
        <v>400</v>
      </c>
      <c r="D1220" s="1">
        <v>119957</v>
      </c>
      <c r="E1220" s="1">
        <v>1226</v>
      </c>
      <c r="F1220" s="1" t="s">
        <v>1846</v>
      </c>
      <c r="G1220" s="1" t="s">
        <v>1174</v>
      </c>
      <c r="H1220" s="1" t="s">
        <v>141</v>
      </c>
      <c r="I1220" s="1" t="s">
        <v>65</v>
      </c>
      <c r="J1220" s="1">
        <v>3</v>
      </c>
      <c r="K1220" s="1" t="s">
        <v>142</v>
      </c>
      <c r="L1220" s="1" t="s">
        <v>153</v>
      </c>
      <c r="M1220" s="1" t="s">
        <v>1256</v>
      </c>
      <c r="N1220" s="1" t="str">
        <f>HYPERLINK("https://klocwork.india.ti.com:443/review/insight-review.html#issuedetails_goto:problemid=119957,project=MCU_PLUS_SDK_AM263X,searchquery=taxonomy:'C and C++' build:Build_Apr_13_2023_11_11_AM grouping:off ","KW Issue Link")</f>
        <v>KW Issue Link</v>
      </c>
      <c r="O1220" s="1" t="s">
        <v>356</v>
      </c>
    </row>
    <row r="1221" spans="1:15" ht="75" x14ac:dyDescent="0.25">
      <c r="A1221" s="1" t="s">
        <v>1266</v>
      </c>
      <c r="B1221" s="1"/>
      <c r="C1221" s="1" t="s">
        <v>400</v>
      </c>
      <c r="D1221" s="1">
        <v>119958</v>
      </c>
      <c r="E1221" s="1">
        <v>1163</v>
      </c>
      <c r="F1221" s="1" t="s">
        <v>1847</v>
      </c>
      <c r="G1221" s="1" t="s">
        <v>1173</v>
      </c>
      <c r="H1221" s="1" t="s">
        <v>141</v>
      </c>
      <c r="I1221" s="1" t="s">
        <v>65</v>
      </c>
      <c r="J1221" s="1">
        <v>3</v>
      </c>
      <c r="K1221" s="1" t="s">
        <v>142</v>
      </c>
      <c r="L1221" s="1" t="s">
        <v>153</v>
      </c>
      <c r="M1221" s="1" t="s">
        <v>1256</v>
      </c>
      <c r="N1221" s="1" t="str">
        <f>HYPERLINK("https://klocwork.india.ti.com:443/review/insight-review.html#issuedetails_goto:problemid=119958,project=MCU_PLUS_SDK_AM263X,searchquery=taxonomy:'C and C++' build:Build_Apr_13_2023_11_11_AM grouping:off ","KW Issue Link")</f>
        <v>KW Issue Link</v>
      </c>
      <c r="O1221" s="1" t="s">
        <v>356</v>
      </c>
    </row>
    <row r="1222" spans="1:15" ht="75" x14ac:dyDescent="0.25">
      <c r="A1222" s="1" t="s">
        <v>1266</v>
      </c>
      <c r="B1222" s="1"/>
      <c r="C1222" s="1" t="s">
        <v>400</v>
      </c>
      <c r="D1222" s="1">
        <v>119959</v>
      </c>
      <c r="E1222" s="1">
        <v>1226</v>
      </c>
      <c r="F1222" s="1" t="s">
        <v>1848</v>
      </c>
      <c r="G1222" s="1" t="s">
        <v>1174</v>
      </c>
      <c r="H1222" s="1" t="s">
        <v>141</v>
      </c>
      <c r="I1222" s="1" t="s">
        <v>65</v>
      </c>
      <c r="J1222" s="1">
        <v>3</v>
      </c>
      <c r="K1222" s="1" t="s">
        <v>142</v>
      </c>
      <c r="L1222" s="1" t="s">
        <v>153</v>
      </c>
      <c r="M1222" s="1" t="s">
        <v>1256</v>
      </c>
      <c r="N1222" s="1" t="str">
        <f>HYPERLINK("https://klocwork.india.ti.com:443/review/insight-review.html#issuedetails_goto:problemid=119959,project=MCU_PLUS_SDK_AM263X,searchquery=taxonomy:'C and C++' build:Build_Apr_13_2023_11_11_AM grouping:off ","KW Issue Link")</f>
        <v>KW Issue Link</v>
      </c>
      <c r="O1222" s="1" t="s">
        <v>356</v>
      </c>
    </row>
    <row r="1223" spans="1:15" ht="75" x14ac:dyDescent="0.25">
      <c r="A1223" s="1" t="s">
        <v>1257</v>
      </c>
      <c r="B1223" s="1"/>
      <c r="C1223" s="1" t="s">
        <v>411</v>
      </c>
      <c r="D1223" s="1">
        <v>119960</v>
      </c>
      <c r="E1223" s="1">
        <v>673</v>
      </c>
      <c r="F1223" s="1" t="s">
        <v>1849</v>
      </c>
      <c r="G1223" s="1" t="s">
        <v>1850</v>
      </c>
      <c r="H1223" s="1" t="s">
        <v>141</v>
      </c>
      <c r="I1223" s="1" t="s">
        <v>65</v>
      </c>
      <c r="J1223" s="1">
        <v>3</v>
      </c>
      <c r="K1223" s="1" t="s">
        <v>142</v>
      </c>
      <c r="L1223" s="1" t="s">
        <v>153</v>
      </c>
      <c r="M1223" s="1" t="s">
        <v>1256</v>
      </c>
      <c r="N1223" s="1" t="str">
        <f>HYPERLINK("https://klocwork.india.ti.com:443/review/insight-review.html#issuedetails_goto:problemid=119960,project=MCU_PLUS_SDK_AM263X,searchquery=taxonomy:'C and C++' build:Build_Apr_13_2023_11_11_AM grouping:off ","KW Issue Link")</f>
        <v>KW Issue Link</v>
      </c>
      <c r="O1223" s="1" t="s">
        <v>356</v>
      </c>
    </row>
    <row r="1224" spans="1:15" ht="75" x14ac:dyDescent="0.25">
      <c r="A1224" s="1" t="s">
        <v>1257</v>
      </c>
      <c r="B1224" s="1"/>
      <c r="C1224" s="1" t="s">
        <v>411</v>
      </c>
      <c r="D1224" s="1">
        <v>119961</v>
      </c>
      <c r="E1224" s="1">
        <v>827</v>
      </c>
      <c r="F1224" s="1" t="s">
        <v>1851</v>
      </c>
      <c r="G1224" s="1" t="s">
        <v>1852</v>
      </c>
      <c r="H1224" s="1" t="s">
        <v>141</v>
      </c>
      <c r="I1224" s="1" t="s">
        <v>65</v>
      </c>
      <c r="J1224" s="1">
        <v>3</v>
      </c>
      <c r="K1224" s="1" t="s">
        <v>142</v>
      </c>
      <c r="L1224" s="1" t="s">
        <v>153</v>
      </c>
      <c r="M1224" s="1" t="s">
        <v>1256</v>
      </c>
      <c r="N1224" s="1" t="str">
        <f>HYPERLINK("https://klocwork.india.ti.com:443/review/insight-review.html#issuedetails_goto:problemid=119961,project=MCU_PLUS_SDK_AM263X,searchquery=taxonomy:'C and C++' build:Build_Apr_13_2023_11_11_AM grouping:off ","KW Issue Link")</f>
        <v>KW Issue Link</v>
      </c>
      <c r="O1224" s="1" t="s">
        <v>356</v>
      </c>
    </row>
    <row r="1225" spans="1:15" ht="75" x14ac:dyDescent="0.25">
      <c r="A1225" s="1" t="s">
        <v>1257</v>
      </c>
      <c r="B1225" s="1"/>
      <c r="C1225" s="1" t="s">
        <v>411</v>
      </c>
      <c r="D1225" s="1">
        <v>119962</v>
      </c>
      <c r="E1225" s="1">
        <v>1103</v>
      </c>
      <c r="F1225" s="1" t="s">
        <v>1853</v>
      </c>
      <c r="G1225" s="1" t="s">
        <v>1854</v>
      </c>
      <c r="H1225" s="1" t="s">
        <v>141</v>
      </c>
      <c r="I1225" s="1" t="s">
        <v>65</v>
      </c>
      <c r="J1225" s="1">
        <v>3</v>
      </c>
      <c r="K1225" s="1" t="s">
        <v>142</v>
      </c>
      <c r="L1225" s="1" t="s">
        <v>153</v>
      </c>
      <c r="M1225" s="1" t="s">
        <v>1256</v>
      </c>
      <c r="N1225" s="1" t="str">
        <f>HYPERLINK("https://klocwork.india.ti.com:443/review/insight-review.html#issuedetails_goto:problemid=119962,project=MCU_PLUS_SDK_AM263X,searchquery=taxonomy:'C and C++' build:Build_Apr_13_2023_11_11_AM grouping:off ","KW Issue Link")</f>
        <v>KW Issue Link</v>
      </c>
      <c r="O1225" s="1" t="s">
        <v>356</v>
      </c>
    </row>
    <row r="1226" spans="1:15" ht="75" x14ac:dyDescent="0.25">
      <c r="A1226" s="1" t="s">
        <v>1257</v>
      </c>
      <c r="B1226" s="1"/>
      <c r="C1226" s="1" t="s">
        <v>411</v>
      </c>
      <c r="D1226" s="1">
        <v>119963</v>
      </c>
      <c r="E1226" s="1">
        <v>1265</v>
      </c>
      <c r="F1226" s="1" t="s">
        <v>1855</v>
      </c>
      <c r="G1226" s="1" t="s">
        <v>1856</v>
      </c>
      <c r="H1226" s="1" t="s">
        <v>141</v>
      </c>
      <c r="I1226" s="1" t="s">
        <v>65</v>
      </c>
      <c r="J1226" s="1">
        <v>3</v>
      </c>
      <c r="K1226" s="1" t="s">
        <v>142</v>
      </c>
      <c r="L1226" s="1" t="s">
        <v>153</v>
      </c>
      <c r="M1226" s="1" t="s">
        <v>1256</v>
      </c>
      <c r="N1226" s="1" t="str">
        <f>HYPERLINK("https://klocwork.india.ti.com:443/review/insight-review.html#issuedetails_goto:problemid=119963,project=MCU_PLUS_SDK_AM263X,searchquery=taxonomy:'C and C++' build:Build_Apr_13_2023_11_11_AM grouping:off ","KW Issue Link")</f>
        <v>KW Issue Link</v>
      </c>
      <c r="O1226" s="1" t="s">
        <v>356</v>
      </c>
    </row>
    <row r="1227" spans="1:15" ht="75" x14ac:dyDescent="0.25">
      <c r="A1227" s="1" t="s">
        <v>1257</v>
      </c>
      <c r="B1227" s="1"/>
      <c r="C1227" s="1" t="s">
        <v>411</v>
      </c>
      <c r="D1227" s="1">
        <v>119964</v>
      </c>
      <c r="E1227" s="1">
        <v>1496</v>
      </c>
      <c r="F1227" s="1" t="s">
        <v>1857</v>
      </c>
      <c r="G1227" s="1" t="s">
        <v>1858</v>
      </c>
      <c r="H1227" s="1" t="s">
        <v>141</v>
      </c>
      <c r="I1227" s="1" t="s">
        <v>65</v>
      </c>
      <c r="J1227" s="1">
        <v>3</v>
      </c>
      <c r="K1227" s="1" t="s">
        <v>142</v>
      </c>
      <c r="L1227" s="1" t="s">
        <v>153</v>
      </c>
      <c r="M1227" s="1" t="s">
        <v>1256</v>
      </c>
      <c r="N1227" s="1" t="str">
        <f>HYPERLINK("https://klocwork.india.ti.com:443/review/insight-review.html#issuedetails_goto:problemid=119964,project=MCU_PLUS_SDK_AM263X,searchquery=taxonomy:'C and C++' build:Build_Apr_13_2023_11_11_AM grouping:off ","KW Issue Link")</f>
        <v>KW Issue Link</v>
      </c>
      <c r="O1227" s="1" t="s">
        <v>356</v>
      </c>
    </row>
    <row r="1228" spans="1:15" ht="75" x14ac:dyDescent="0.25">
      <c r="A1228" s="1" t="s">
        <v>1257</v>
      </c>
      <c r="B1228" s="1"/>
      <c r="C1228" s="1" t="s">
        <v>411</v>
      </c>
      <c r="D1228" s="1">
        <v>119965</v>
      </c>
      <c r="E1228" s="1">
        <v>1627</v>
      </c>
      <c r="F1228" s="1" t="s">
        <v>1859</v>
      </c>
      <c r="G1228" s="1" t="s">
        <v>1860</v>
      </c>
      <c r="H1228" s="1" t="s">
        <v>141</v>
      </c>
      <c r="I1228" s="1" t="s">
        <v>65</v>
      </c>
      <c r="J1228" s="1">
        <v>3</v>
      </c>
      <c r="K1228" s="1" t="s">
        <v>142</v>
      </c>
      <c r="L1228" s="1" t="s">
        <v>153</v>
      </c>
      <c r="M1228" s="1" t="s">
        <v>1256</v>
      </c>
      <c r="N1228" s="1" t="str">
        <f>HYPERLINK("https://klocwork.india.ti.com:443/review/insight-review.html#issuedetails_goto:problemid=119965,project=MCU_PLUS_SDK_AM263X,searchquery=taxonomy:'C and C++' build:Build_Apr_13_2023_11_11_AM grouping:off ","KW Issue Link")</f>
        <v>KW Issue Link</v>
      </c>
      <c r="O1228" s="1" t="s">
        <v>356</v>
      </c>
    </row>
    <row r="1229" spans="1:15" ht="75" x14ac:dyDescent="0.25">
      <c r="A1229" s="1" t="s">
        <v>1266</v>
      </c>
      <c r="B1229" s="1"/>
      <c r="C1229" s="1" t="s">
        <v>411</v>
      </c>
      <c r="D1229" s="1">
        <v>119966</v>
      </c>
      <c r="E1229" s="1">
        <v>673</v>
      </c>
      <c r="F1229" s="1" t="s">
        <v>1861</v>
      </c>
      <c r="G1229" s="1" t="s">
        <v>1850</v>
      </c>
      <c r="H1229" s="1" t="s">
        <v>141</v>
      </c>
      <c r="I1229" s="1" t="s">
        <v>65</v>
      </c>
      <c r="J1229" s="1">
        <v>3</v>
      </c>
      <c r="K1229" s="1" t="s">
        <v>142</v>
      </c>
      <c r="L1229" s="1" t="s">
        <v>153</v>
      </c>
      <c r="M1229" s="1" t="s">
        <v>1256</v>
      </c>
      <c r="N1229" s="1" t="str">
        <f>HYPERLINK("https://klocwork.india.ti.com:443/review/insight-review.html#issuedetails_goto:problemid=119966,project=MCU_PLUS_SDK_AM263X,searchquery=taxonomy:'C and C++' build:Build_Apr_13_2023_11_11_AM grouping:off ","KW Issue Link")</f>
        <v>KW Issue Link</v>
      </c>
      <c r="O1229" s="1" t="s">
        <v>356</v>
      </c>
    </row>
    <row r="1230" spans="1:15" ht="75" x14ac:dyDescent="0.25">
      <c r="A1230" s="1" t="s">
        <v>1266</v>
      </c>
      <c r="B1230" s="1"/>
      <c r="C1230" s="1" t="s">
        <v>411</v>
      </c>
      <c r="D1230" s="1">
        <v>119967</v>
      </c>
      <c r="E1230" s="1">
        <v>827</v>
      </c>
      <c r="F1230" s="1" t="s">
        <v>1862</v>
      </c>
      <c r="G1230" s="1" t="s">
        <v>1852</v>
      </c>
      <c r="H1230" s="1" t="s">
        <v>141</v>
      </c>
      <c r="I1230" s="1" t="s">
        <v>65</v>
      </c>
      <c r="J1230" s="1">
        <v>3</v>
      </c>
      <c r="K1230" s="1" t="s">
        <v>142</v>
      </c>
      <c r="L1230" s="1" t="s">
        <v>153</v>
      </c>
      <c r="M1230" s="1" t="s">
        <v>1256</v>
      </c>
      <c r="N1230" s="1" t="str">
        <f>HYPERLINK("https://klocwork.india.ti.com:443/review/insight-review.html#issuedetails_goto:problemid=119967,project=MCU_PLUS_SDK_AM263X,searchquery=taxonomy:'C and C++' build:Build_Apr_13_2023_11_11_AM grouping:off ","KW Issue Link")</f>
        <v>KW Issue Link</v>
      </c>
      <c r="O1230" s="1" t="s">
        <v>356</v>
      </c>
    </row>
    <row r="1231" spans="1:15" ht="75" x14ac:dyDescent="0.25">
      <c r="A1231" s="1" t="s">
        <v>1266</v>
      </c>
      <c r="B1231" s="1"/>
      <c r="C1231" s="1" t="s">
        <v>411</v>
      </c>
      <c r="D1231" s="1">
        <v>119968</v>
      </c>
      <c r="E1231" s="1">
        <v>1103</v>
      </c>
      <c r="F1231" s="1" t="s">
        <v>1863</v>
      </c>
      <c r="G1231" s="1" t="s">
        <v>1854</v>
      </c>
      <c r="H1231" s="1" t="s">
        <v>141</v>
      </c>
      <c r="I1231" s="1" t="s">
        <v>65</v>
      </c>
      <c r="J1231" s="1">
        <v>3</v>
      </c>
      <c r="K1231" s="1" t="s">
        <v>142</v>
      </c>
      <c r="L1231" s="1" t="s">
        <v>153</v>
      </c>
      <c r="M1231" s="1" t="s">
        <v>1256</v>
      </c>
      <c r="N1231" s="1" t="str">
        <f>HYPERLINK("https://klocwork.india.ti.com:443/review/insight-review.html#issuedetails_goto:problemid=119968,project=MCU_PLUS_SDK_AM263X,searchquery=taxonomy:'C and C++' build:Build_Apr_13_2023_11_11_AM grouping:off ","KW Issue Link")</f>
        <v>KW Issue Link</v>
      </c>
      <c r="O1231" s="1" t="s">
        <v>356</v>
      </c>
    </row>
    <row r="1232" spans="1:15" ht="75" x14ac:dyDescent="0.25">
      <c r="A1232" s="1" t="s">
        <v>1266</v>
      </c>
      <c r="B1232" s="1"/>
      <c r="C1232" s="1" t="s">
        <v>411</v>
      </c>
      <c r="D1232" s="1">
        <v>119969</v>
      </c>
      <c r="E1232" s="1">
        <v>1265</v>
      </c>
      <c r="F1232" s="1" t="s">
        <v>1864</v>
      </c>
      <c r="G1232" s="1" t="s">
        <v>1856</v>
      </c>
      <c r="H1232" s="1" t="s">
        <v>141</v>
      </c>
      <c r="I1232" s="1" t="s">
        <v>65</v>
      </c>
      <c r="J1232" s="1">
        <v>3</v>
      </c>
      <c r="K1232" s="1" t="s">
        <v>142</v>
      </c>
      <c r="L1232" s="1" t="s">
        <v>153</v>
      </c>
      <c r="M1232" s="1" t="s">
        <v>1256</v>
      </c>
      <c r="N1232" s="1" t="str">
        <f>HYPERLINK("https://klocwork.india.ti.com:443/review/insight-review.html#issuedetails_goto:problemid=119969,project=MCU_PLUS_SDK_AM263X,searchquery=taxonomy:'C and C++' build:Build_Apr_13_2023_11_11_AM grouping:off ","KW Issue Link")</f>
        <v>KW Issue Link</v>
      </c>
      <c r="O1232" s="1" t="s">
        <v>356</v>
      </c>
    </row>
    <row r="1233" spans="1:15" ht="75" x14ac:dyDescent="0.25">
      <c r="A1233" s="1" t="s">
        <v>1266</v>
      </c>
      <c r="B1233" s="1"/>
      <c r="C1233" s="1" t="s">
        <v>411</v>
      </c>
      <c r="D1233" s="1">
        <v>119970</v>
      </c>
      <c r="E1233" s="1">
        <v>1851</v>
      </c>
      <c r="F1233" s="1" t="s">
        <v>1865</v>
      </c>
      <c r="G1233" s="1" t="s">
        <v>1866</v>
      </c>
      <c r="H1233" s="1" t="s">
        <v>141</v>
      </c>
      <c r="I1233" s="1" t="s">
        <v>65</v>
      </c>
      <c r="J1233" s="1">
        <v>3</v>
      </c>
      <c r="K1233" s="1" t="s">
        <v>142</v>
      </c>
      <c r="L1233" s="1" t="s">
        <v>153</v>
      </c>
      <c r="M1233" s="1" t="s">
        <v>1256</v>
      </c>
      <c r="N1233" s="1" t="str">
        <f>HYPERLINK("https://klocwork.india.ti.com:443/review/insight-review.html#issuedetails_goto:problemid=119970,project=MCU_PLUS_SDK_AM263X,searchquery=taxonomy:'C and C++' build:Build_Apr_13_2023_11_11_AM grouping:off ","KW Issue Link")</f>
        <v>KW Issue Link</v>
      </c>
      <c r="O1233" s="1" t="s">
        <v>356</v>
      </c>
    </row>
    <row r="1234" spans="1:15" ht="75" x14ac:dyDescent="0.25">
      <c r="A1234" s="1" t="s">
        <v>1268</v>
      </c>
      <c r="B1234" s="1"/>
      <c r="C1234" s="1" t="s">
        <v>411</v>
      </c>
      <c r="D1234" s="1">
        <v>119971</v>
      </c>
      <c r="E1234" s="1">
        <v>673</v>
      </c>
      <c r="F1234" s="1" t="s">
        <v>1867</v>
      </c>
      <c r="G1234" s="1" t="s">
        <v>1850</v>
      </c>
      <c r="H1234" s="1" t="s">
        <v>141</v>
      </c>
      <c r="I1234" s="1" t="s">
        <v>65</v>
      </c>
      <c r="J1234" s="1">
        <v>3</v>
      </c>
      <c r="K1234" s="1" t="s">
        <v>142</v>
      </c>
      <c r="L1234" s="1" t="s">
        <v>153</v>
      </c>
      <c r="M1234" s="1" t="s">
        <v>1256</v>
      </c>
      <c r="N1234" s="1" t="str">
        <f>HYPERLINK("https://klocwork.india.ti.com:443/review/insight-review.html#issuedetails_goto:problemid=119971,project=MCU_PLUS_SDK_AM263X,searchquery=taxonomy:'C and C++' build:Build_Apr_13_2023_11_11_AM grouping:off ","KW Issue Link")</f>
        <v>KW Issue Link</v>
      </c>
      <c r="O1234" s="1" t="s">
        <v>356</v>
      </c>
    </row>
    <row r="1235" spans="1:15" ht="75" x14ac:dyDescent="0.25">
      <c r="A1235" s="1" t="s">
        <v>1268</v>
      </c>
      <c r="B1235" s="1"/>
      <c r="C1235" s="1" t="s">
        <v>411</v>
      </c>
      <c r="D1235" s="1">
        <v>119972</v>
      </c>
      <c r="E1235" s="1">
        <v>827</v>
      </c>
      <c r="F1235" s="1" t="s">
        <v>1868</v>
      </c>
      <c r="G1235" s="1" t="s">
        <v>1852</v>
      </c>
      <c r="H1235" s="1" t="s">
        <v>141</v>
      </c>
      <c r="I1235" s="1" t="s">
        <v>65</v>
      </c>
      <c r="J1235" s="1">
        <v>3</v>
      </c>
      <c r="K1235" s="1" t="s">
        <v>142</v>
      </c>
      <c r="L1235" s="1" t="s">
        <v>153</v>
      </c>
      <c r="M1235" s="1" t="s">
        <v>1256</v>
      </c>
      <c r="N1235" s="1" t="str">
        <f>HYPERLINK("https://klocwork.india.ti.com:443/review/insight-review.html#issuedetails_goto:problemid=119972,project=MCU_PLUS_SDK_AM263X,searchquery=taxonomy:'C and C++' build:Build_Apr_13_2023_11_11_AM grouping:off ","KW Issue Link")</f>
        <v>KW Issue Link</v>
      </c>
      <c r="O1235" s="1" t="s">
        <v>356</v>
      </c>
    </row>
    <row r="1236" spans="1:15" ht="75" x14ac:dyDescent="0.25">
      <c r="A1236" s="1" t="s">
        <v>1268</v>
      </c>
      <c r="B1236" s="1"/>
      <c r="C1236" s="1" t="s">
        <v>411</v>
      </c>
      <c r="D1236" s="1">
        <v>119973</v>
      </c>
      <c r="E1236" s="1">
        <v>1103</v>
      </c>
      <c r="F1236" s="1" t="s">
        <v>1869</v>
      </c>
      <c r="G1236" s="1" t="s">
        <v>1854</v>
      </c>
      <c r="H1236" s="1" t="s">
        <v>141</v>
      </c>
      <c r="I1236" s="1" t="s">
        <v>65</v>
      </c>
      <c r="J1236" s="1">
        <v>3</v>
      </c>
      <c r="K1236" s="1" t="s">
        <v>142</v>
      </c>
      <c r="L1236" s="1" t="s">
        <v>153</v>
      </c>
      <c r="M1236" s="1" t="s">
        <v>1256</v>
      </c>
      <c r="N1236" s="1" t="str">
        <f>HYPERLINK("https://klocwork.india.ti.com:443/review/insight-review.html#issuedetails_goto:problemid=119973,project=MCU_PLUS_SDK_AM263X,searchquery=taxonomy:'C and C++' build:Build_Apr_13_2023_11_11_AM grouping:off ","KW Issue Link")</f>
        <v>KW Issue Link</v>
      </c>
      <c r="O1236" s="1" t="s">
        <v>356</v>
      </c>
    </row>
    <row r="1237" spans="1:15" ht="75" x14ac:dyDescent="0.25">
      <c r="A1237" s="1" t="s">
        <v>1268</v>
      </c>
      <c r="B1237" s="1"/>
      <c r="C1237" s="1" t="s">
        <v>411</v>
      </c>
      <c r="D1237" s="1">
        <v>119974</v>
      </c>
      <c r="E1237" s="1">
        <v>1265</v>
      </c>
      <c r="F1237" s="1" t="s">
        <v>1870</v>
      </c>
      <c r="G1237" s="1" t="s">
        <v>1856</v>
      </c>
      <c r="H1237" s="1" t="s">
        <v>141</v>
      </c>
      <c r="I1237" s="1" t="s">
        <v>65</v>
      </c>
      <c r="J1237" s="1">
        <v>3</v>
      </c>
      <c r="K1237" s="1" t="s">
        <v>142</v>
      </c>
      <c r="L1237" s="1" t="s">
        <v>153</v>
      </c>
      <c r="M1237" s="1" t="s">
        <v>1256</v>
      </c>
      <c r="N1237" s="1" t="str">
        <f>HYPERLINK("https://klocwork.india.ti.com:443/review/insight-review.html#issuedetails_goto:problemid=119974,project=MCU_PLUS_SDK_AM263X,searchquery=taxonomy:'C and C++' build:Build_Apr_13_2023_11_11_AM grouping:off ","KW Issue Link")</f>
        <v>KW Issue Link</v>
      </c>
      <c r="O1237" s="1" t="s">
        <v>356</v>
      </c>
    </row>
    <row r="1238" spans="1:15" ht="75" x14ac:dyDescent="0.25">
      <c r="A1238" s="1" t="s">
        <v>1268</v>
      </c>
      <c r="B1238" s="1"/>
      <c r="C1238" s="1" t="s">
        <v>411</v>
      </c>
      <c r="D1238" s="1">
        <v>119975</v>
      </c>
      <c r="E1238" s="1">
        <v>1851</v>
      </c>
      <c r="F1238" s="1" t="s">
        <v>1871</v>
      </c>
      <c r="G1238" s="1" t="s">
        <v>1866</v>
      </c>
      <c r="H1238" s="1" t="s">
        <v>141</v>
      </c>
      <c r="I1238" s="1" t="s">
        <v>65</v>
      </c>
      <c r="J1238" s="1">
        <v>3</v>
      </c>
      <c r="K1238" s="1" t="s">
        <v>142</v>
      </c>
      <c r="L1238" s="1" t="s">
        <v>153</v>
      </c>
      <c r="M1238" s="1" t="s">
        <v>1256</v>
      </c>
      <c r="N1238" s="1" t="str">
        <f>HYPERLINK("https://klocwork.india.ti.com:443/review/insight-review.html#issuedetails_goto:problemid=119975,project=MCU_PLUS_SDK_AM263X,searchquery=taxonomy:'C and C++' build:Build_Apr_13_2023_11_11_AM grouping:off ","KW Issue Link")</f>
        <v>KW Issue Link</v>
      </c>
      <c r="O1238" s="1" t="s">
        <v>356</v>
      </c>
    </row>
    <row r="1239" spans="1:15" ht="60" x14ac:dyDescent="0.25">
      <c r="A1239" s="1" t="s">
        <v>1257</v>
      </c>
      <c r="B1239" s="1"/>
      <c r="C1239" s="1" t="s">
        <v>1872</v>
      </c>
      <c r="D1239" s="1">
        <v>119976</v>
      </c>
      <c r="E1239" s="1">
        <v>142</v>
      </c>
      <c r="F1239" s="1" t="s">
        <v>1873</v>
      </c>
      <c r="G1239" s="1" t="s">
        <v>1874</v>
      </c>
      <c r="H1239" s="1" t="s">
        <v>141</v>
      </c>
      <c r="I1239" s="1" t="s">
        <v>65</v>
      </c>
      <c r="J1239" s="1">
        <v>3</v>
      </c>
      <c r="K1239" s="1" t="s">
        <v>142</v>
      </c>
      <c r="L1239" s="1" t="s">
        <v>153</v>
      </c>
      <c r="M1239" s="1" t="s">
        <v>1256</v>
      </c>
      <c r="N1239" s="1" t="str">
        <f>HYPERLINK("https://klocwork.india.ti.com:443/review/insight-review.html#issuedetails_goto:problemid=119976,project=MCU_PLUS_SDK_AM263X,searchquery=taxonomy:'C and C++' build:Build_Apr_13_2023_11_11_AM grouping:off ","KW Issue Link")</f>
        <v>KW Issue Link</v>
      </c>
      <c r="O1239" s="1" t="s">
        <v>356</v>
      </c>
    </row>
    <row r="1240" spans="1:15" ht="60" x14ac:dyDescent="0.25">
      <c r="A1240" s="1" t="s">
        <v>1266</v>
      </c>
      <c r="B1240" s="1"/>
      <c r="C1240" s="1" t="s">
        <v>1875</v>
      </c>
      <c r="D1240" s="1">
        <v>119977</v>
      </c>
      <c r="E1240" s="1">
        <v>127</v>
      </c>
      <c r="F1240" s="1" t="s">
        <v>1876</v>
      </c>
      <c r="G1240" s="1" t="s">
        <v>1877</v>
      </c>
      <c r="H1240" s="1" t="s">
        <v>141</v>
      </c>
      <c r="I1240" s="1" t="s">
        <v>65</v>
      </c>
      <c r="J1240" s="1">
        <v>3</v>
      </c>
      <c r="K1240" s="1" t="s">
        <v>142</v>
      </c>
      <c r="L1240" s="1" t="s">
        <v>153</v>
      </c>
      <c r="M1240" s="1" t="s">
        <v>1256</v>
      </c>
      <c r="N1240" s="1" t="str">
        <f>HYPERLINK("https://klocwork.india.ti.com:443/review/insight-review.html#issuedetails_goto:problemid=119977,project=MCU_PLUS_SDK_AM263X,searchquery=taxonomy:'C and C++' build:Build_Apr_13_2023_11_11_AM grouping:off ","KW Issue Link")</f>
        <v>KW Issue Link</v>
      </c>
      <c r="O1240" s="1" t="s">
        <v>356</v>
      </c>
    </row>
    <row r="1241" spans="1:15" ht="60" x14ac:dyDescent="0.25">
      <c r="A1241" s="1" t="s">
        <v>1268</v>
      </c>
      <c r="B1241" s="1"/>
      <c r="C1241" s="1" t="s">
        <v>1875</v>
      </c>
      <c r="D1241" s="1">
        <v>119978</v>
      </c>
      <c r="E1241" s="1">
        <v>127</v>
      </c>
      <c r="F1241" s="1" t="s">
        <v>1878</v>
      </c>
      <c r="G1241" s="1" t="s">
        <v>1877</v>
      </c>
      <c r="H1241" s="1" t="s">
        <v>141</v>
      </c>
      <c r="I1241" s="1" t="s">
        <v>65</v>
      </c>
      <c r="J1241" s="1">
        <v>3</v>
      </c>
      <c r="K1241" s="1" t="s">
        <v>142</v>
      </c>
      <c r="L1241" s="1" t="s">
        <v>153</v>
      </c>
      <c r="M1241" s="1" t="s">
        <v>1256</v>
      </c>
      <c r="N1241" s="1" t="str">
        <f>HYPERLINK("https://klocwork.india.ti.com:443/review/insight-review.html#issuedetails_goto:problemid=119978,project=MCU_PLUS_SDK_AM263X,searchquery=taxonomy:'C and C++' build:Build_Apr_13_2023_11_11_AM grouping:off ","KW Issue Link")</f>
        <v>KW Issue Link</v>
      </c>
      <c r="O1241" s="1" t="s">
        <v>356</v>
      </c>
    </row>
    <row r="1242" spans="1:15" ht="75" x14ac:dyDescent="0.25">
      <c r="A1242" s="1" t="s">
        <v>1252</v>
      </c>
      <c r="B1242" s="1"/>
      <c r="C1242" s="1" t="s">
        <v>1879</v>
      </c>
      <c r="D1242" s="1">
        <v>119979</v>
      </c>
      <c r="E1242" s="1">
        <v>333</v>
      </c>
      <c r="F1242" s="1" t="s">
        <v>1880</v>
      </c>
      <c r="G1242" s="1" t="s">
        <v>1881</v>
      </c>
      <c r="H1242" s="1" t="s">
        <v>141</v>
      </c>
      <c r="I1242" s="1" t="s">
        <v>65</v>
      </c>
      <c r="J1242" s="1">
        <v>3</v>
      </c>
      <c r="K1242" s="1" t="s">
        <v>142</v>
      </c>
      <c r="L1242" s="1" t="s">
        <v>153</v>
      </c>
      <c r="M1242" s="1" t="s">
        <v>1256</v>
      </c>
      <c r="N1242" s="1" t="str">
        <f>HYPERLINK("https://klocwork.india.ti.com:443/review/insight-review.html#issuedetails_goto:problemid=119979,project=MCU_PLUS_SDK_AM263X,searchquery=taxonomy:'C and C++' build:Build_Apr_13_2023_11_11_AM grouping:off ","KW Issue Link")</f>
        <v>KW Issue Link</v>
      </c>
      <c r="O1242" s="1" t="s">
        <v>356</v>
      </c>
    </row>
    <row r="1243" spans="1:15" ht="75" x14ac:dyDescent="0.25">
      <c r="A1243" s="1" t="s">
        <v>1252</v>
      </c>
      <c r="B1243" s="1"/>
      <c r="C1243" s="1" t="s">
        <v>1879</v>
      </c>
      <c r="D1243" s="1">
        <v>119980</v>
      </c>
      <c r="E1243" s="1">
        <v>378</v>
      </c>
      <c r="F1243" s="1" t="s">
        <v>1882</v>
      </c>
      <c r="G1243" s="1" t="s">
        <v>1883</v>
      </c>
      <c r="H1243" s="1" t="s">
        <v>141</v>
      </c>
      <c r="I1243" s="1" t="s">
        <v>65</v>
      </c>
      <c r="J1243" s="1">
        <v>3</v>
      </c>
      <c r="K1243" s="1" t="s">
        <v>142</v>
      </c>
      <c r="L1243" s="1" t="s">
        <v>153</v>
      </c>
      <c r="M1243" s="1" t="s">
        <v>1256</v>
      </c>
      <c r="N1243" s="1" t="str">
        <f>HYPERLINK("https://klocwork.india.ti.com:443/review/insight-review.html#issuedetails_goto:problemid=119980,project=MCU_PLUS_SDK_AM263X,searchquery=taxonomy:'C and C++' build:Build_Apr_13_2023_11_11_AM grouping:off ","KW Issue Link")</f>
        <v>KW Issue Link</v>
      </c>
      <c r="O1243" s="1" t="s">
        <v>356</v>
      </c>
    </row>
    <row r="1244" spans="1:15" ht="60" x14ac:dyDescent="0.25">
      <c r="A1244" s="1" t="s">
        <v>1266</v>
      </c>
      <c r="B1244" s="1"/>
      <c r="C1244" s="1" t="s">
        <v>431</v>
      </c>
      <c r="D1244" s="1">
        <v>119982</v>
      </c>
      <c r="E1244" s="1">
        <v>291</v>
      </c>
      <c r="F1244" s="1" t="s">
        <v>1884</v>
      </c>
      <c r="G1244" s="1" t="s">
        <v>433</v>
      </c>
      <c r="H1244" s="1" t="s">
        <v>141</v>
      </c>
      <c r="I1244" s="1" t="s">
        <v>65</v>
      </c>
      <c r="J1244" s="1">
        <v>3</v>
      </c>
      <c r="K1244" s="1" t="s">
        <v>142</v>
      </c>
      <c r="L1244" s="1" t="s">
        <v>153</v>
      </c>
      <c r="M1244" s="1" t="s">
        <v>1256</v>
      </c>
      <c r="N1244" s="1" t="str">
        <f>HYPERLINK("https://klocwork.india.ti.com:443/review/insight-review.html#issuedetails_goto:problemid=119982,project=MCU_PLUS_SDK_AM263X,searchquery=taxonomy:'C and C++' build:Build_Apr_13_2023_11_11_AM grouping:off ","KW Issue Link")</f>
        <v>KW Issue Link</v>
      </c>
      <c r="O1244" s="1" t="s">
        <v>356</v>
      </c>
    </row>
    <row r="1245" spans="1:15" ht="60" x14ac:dyDescent="0.25">
      <c r="A1245" s="1" t="s">
        <v>1266</v>
      </c>
      <c r="B1245" s="1"/>
      <c r="C1245" s="1" t="s">
        <v>431</v>
      </c>
      <c r="D1245" s="1">
        <v>119983</v>
      </c>
      <c r="E1245" s="1">
        <v>807</v>
      </c>
      <c r="F1245" s="1" t="s">
        <v>1885</v>
      </c>
      <c r="G1245" s="1" t="s">
        <v>1886</v>
      </c>
      <c r="H1245" s="1" t="s">
        <v>141</v>
      </c>
      <c r="I1245" s="1" t="s">
        <v>65</v>
      </c>
      <c r="J1245" s="1">
        <v>3</v>
      </c>
      <c r="K1245" s="1" t="s">
        <v>142</v>
      </c>
      <c r="L1245" s="1" t="s">
        <v>153</v>
      </c>
      <c r="M1245" s="1" t="s">
        <v>1256</v>
      </c>
      <c r="N1245" s="1" t="str">
        <f>HYPERLINK("https://klocwork.india.ti.com:443/review/insight-review.html#issuedetails_goto:problemid=119983,project=MCU_PLUS_SDK_AM263X,searchquery=taxonomy:'C and C++' build:Build_Apr_13_2023_11_11_AM grouping:off ","KW Issue Link")</f>
        <v>KW Issue Link</v>
      </c>
      <c r="O1245" s="1" t="s">
        <v>356</v>
      </c>
    </row>
    <row r="1246" spans="1:15" ht="60" x14ac:dyDescent="0.25">
      <c r="A1246" s="1" t="s">
        <v>1268</v>
      </c>
      <c r="B1246" s="1"/>
      <c r="C1246" s="1" t="s">
        <v>431</v>
      </c>
      <c r="D1246" s="1">
        <v>119984</v>
      </c>
      <c r="E1246" s="1">
        <v>291</v>
      </c>
      <c r="F1246" s="1" t="s">
        <v>1887</v>
      </c>
      <c r="G1246" s="1" t="s">
        <v>433</v>
      </c>
      <c r="H1246" s="1" t="s">
        <v>141</v>
      </c>
      <c r="I1246" s="1" t="s">
        <v>65</v>
      </c>
      <c r="J1246" s="1">
        <v>3</v>
      </c>
      <c r="K1246" s="1" t="s">
        <v>142</v>
      </c>
      <c r="L1246" s="1" t="s">
        <v>153</v>
      </c>
      <c r="M1246" s="1" t="s">
        <v>1256</v>
      </c>
      <c r="N1246" s="1" t="str">
        <f>HYPERLINK("https://klocwork.india.ti.com:443/review/insight-review.html#issuedetails_goto:problemid=119984,project=MCU_PLUS_SDK_AM263X,searchquery=taxonomy:'C and C++' build:Build_Apr_13_2023_11_11_AM grouping:off ","KW Issue Link")</f>
        <v>KW Issue Link</v>
      </c>
      <c r="O1246" s="1" t="s">
        <v>356</v>
      </c>
    </row>
    <row r="1247" spans="1:15" ht="60" x14ac:dyDescent="0.25">
      <c r="A1247" s="1" t="s">
        <v>1268</v>
      </c>
      <c r="B1247" s="1"/>
      <c r="C1247" s="1" t="s">
        <v>431</v>
      </c>
      <c r="D1247" s="1">
        <v>119985</v>
      </c>
      <c r="E1247" s="1">
        <v>807</v>
      </c>
      <c r="F1247" s="1" t="s">
        <v>1888</v>
      </c>
      <c r="G1247" s="1" t="s">
        <v>1886</v>
      </c>
      <c r="H1247" s="1" t="s">
        <v>141</v>
      </c>
      <c r="I1247" s="1" t="s">
        <v>65</v>
      </c>
      <c r="J1247" s="1">
        <v>3</v>
      </c>
      <c r="K1247" s="1" t="s">
        <v>142</v>
      </c>
      <c r="L1247" s="1" t="s">
        <v>153</v>
      </c>
      <c r="M1247" s="1" t="s">
        <v>1256</v>
      </c>
      <c r="N1247" s="1" t="str">
        <f>HYPERLINK("https://klocwork.india.ti.com:443/review/insight-review.html#issuedetails_goto:problemid=119985,project=MCU_PLUS_SDK_AM263X,searchquery=taxonomy:'C and C++' build:Build_Apr_13_2023_11_11_AM grouping:off ","KW Issue Link")</f>
        <v>KW Issue Link</v>
      </c>
      <c r="O1247" s="1" t="s">
        <v>356</v>
      </c>
    </row>
    <row r="1248" spans="1:15" ht="60" x14ac:dyDescent="0.25">
      <c r="A1248" s="1" t="s">
        <v>1252</v>
      </c>
      <c r="B1248" s="1"/>
      <c r="C1248" s="1" t="s">
        <v>431</v>
      </c>
      <c r="D1248" s="1">
        <v>119986</v>
      </c>
      <c r="E1248" s="1">
        <v>449</v>
      </c>
      <c r="F1248" s="1" t="s">
        <v>1889</v>
      </c>
      <c r="G1248" s="1" t="s">
        <v>1890</v>
      </c>
      <c r="H1248" s="1" t="s">
        <v>141</v>
      </c>
      <c r="I1248" s="1" t="s">
        <v>65</v>
      </c>
      <c r="J1248" s="1">
        <v>3</v>
      </c>
      <c r="K1248" s="1" t="s">
        <v>142</v>
      </c>
      <c r="L1248" s="1" t="s">
        <v>153</v>
      </c>
      <c r="M1248" s="1" t="s">
        <v>1256</v>
      </c>
      <c r="N1248" s="1" t="str">
        <f>HYPERLINK("https://klocwork.india.ti.com:443/review/insight-review.html#issuedetails_goto:problemid=119986,project=MCU_PLUS_SDK_AM263X,searchquery=taxonomy:'C and C++' build:Build_Apr_13_2023_11_11_AM grouping:off ","KW Issue Link")</f>
        <v>KW Issue Link</v>
      </c>
      <c r="O1248" s="1" t="s">
        <v>356</v>
      </c>
    </row>
    <row r="1249" spans="1:15" ht="60" x14ac:dyDescent="0.25">
      <c r="A1249" s="1" t="s">
        <v>1257</v>
      </c>
      <c r="B1249" s="1"/>
      <c r="C1249" s="1" t="s">
        <v>431</v>
      </c>
      <c r="D1249" s="1">
        <v>119987</v>
      </c>
      <c r="E1249" s="1">
        <v>488</v>
      </c>
      <c r="F1249" s="1" t="s">
        <v>1891</v>
      </c>
      <c r="G1249" s="1" t="s">
        <v>1892</v>
      </c>
      <c r="H1249" s="1" t="s">
        <v>141</v>
      </c>
      <c r="I1249" s="1" t="s">
        <v>65</v>
      </c>
      <c r="J1249" s="1">
        <v>3</v>
      </c>
      <c r="K1249" s="1" t="s">
        <v>142</v>
      </c>
      <c r="L1249" s="1" t="s">
        <v>153</v>
      </c>
      <c r="M1249" s="1" t="s">
        <v>1256</v>
      </c>
      <c r="N1249" s="1" t="str">
        <f>HYPERLINK("https://klocwork.india.ti.com:443/review/insight-review.html#issuedetails_goto:problemid=119987,project=MCU_PLUS_SDK_AM263X,searchquery=taxonomy:'C and C++' build:Build_Apr_13_2023_11_11_AM grouping:off ","KW Issue Link")</f>
        <v>KW Issue Link</v>
      </c>
      <c r="O1249" s="1" t="s">
        <v>356</v>
      </c>
    </row>
    <row r="1250" spans="1:15" ht="60" x14ac:dyDescent="0.25">
      <c r="A1250" s="1" t="s">
        <v>1257</v>
      </c>
      <c r="B1250" s="1"/>
      <c r="C1250" s="1" t="s">
        <v>431</v>
      </c>
      <c r="D1250" s="1">
        <v>119988</v>
      </c>
      <c r="E1250" s="1">
        <v>807</v>
      </c>
      <c r="F1250" s="1" t="s">
        <v>1893</v>
      </c>
      <c r="G1250" s="1" t="s">
        <v>1886</v>
      </c>
      <c r="H1250" s="1" t="s">
        <v>141</v>
      </c>
      <c r="I1250" s="1" t="s">
        <v>65</v>
      </c>
      <c r="J1250" s="1">
        <v>3</v>
      </c>
      <c r="K1250" s="1" t="s">
        <v>142</v>
      </c>
      <c r="L1250" s="1" t="s">
        <v>153</v>
      </c>
      <c r="M1250" s="1" t="s">
        <v>1256</v>
      </c>
      <c r="N1250" s="1" t="str">
        <f>HYPERLINK("https://klocwork.india.ti.com:443/review/insight-review.html#issuedetails_goto:problemid=119988,project=MCU_PLUS_SDK_AM263X,searchquery=taxonomy:'C and C++' build:Build_Apr_13_2023_11_11_AM grouping:off ","KW Issue Link")</f>
        <v>KW Issue Link</v>
      </c>
      <c r="O1250" s="1" t="s">
        <v>356</v>
      </c>
    </row>
    <row r="1251" spans="1:15" ht="60" x14ac:dyDescent="0.25">
      <c r="A1251" s="1" t="s">
        <v>1257</v>
      </c>
      <c r="B1251" s="1"/>
      <c r="C1251" s="1" t="s">
        <v>1146</v>
      </c>
      <c r="D1251" s="1">
        <v>119989</v>
      </c>
      <c r="E1251" s="1">
        <v>281</v>
      </c>
      <c r="F1251" s="1" t="s">
        <v>1894</v>
      </c>
      <c r="G1251" s="1" t="s">
        <v>1895</v>
      </c>
      <c r="H1251" s="1" t="s">
        <v>141</v>
      </c>
      <c r="I1251" s="1" t="s">
        <v>65</v>
      </c>
      <c r="J1251" s="1">
        <v>3</v>
      </c>
      <c r="K1251" s="1" t="s">
        <v>142</v>
      </c>
      <c r="L1251" s="1" t="s">
        <v>153</v>
      </c>
      <c r="M1251" s="1" t="s">
        <v>1256</v>
      </c>
      <c r="N1251" s="1" t="str">
        <f>HYPERLINK("https://klocwork.india.ti.com:443/review/insight-review.html#issuedetails_goto:problemid=119989,project=MCU_PLUS_SDK_AM263X,searchquery=taxonomy:'C and C++' build:Build_Apr_13_2023_11_11_AM grouping:off ","KW Issue Link")</f>
        <v>KW Issue Link</v>
      </c>
      <c r="O1251" s="1" t="s">
        <v>356</v>
      </c>
    </row>
    <row r="1252" spans="1:15" ht="60" x14ac:dyDescent="0.25">
      <c r="A1252" s="1" t="s">
        <v>1257</v>
      </c>
      <c r="B1252" s="1"/>
      <c r="C1252" s="1" t="s">
        <v>1146</v>
      </c>
      <c r="D1252" s="1">
        <v>119990</v>
      </c>
      <c r="E1252" s="1">
        <v>313</v>
      </c>
      <c r="F1252" s="1" t="s">
        <v>1896</v>
      </c>
      <c r="G1252" s="1" t="s">
        <v>1897</v>
      </c>
      <c r="H1252" s="1" t="s">
        <v>141</v>
      </c>
      <c r="I1252" s="1" t="s">
        <v>65</v>
      </c>
      <c r="J1252" s="1">
        <v>3</v>
      </c>
      <c r="K1252" s="1" t="s">
        <v>142</v>
      </c>
      <c r="L1252" s="1" t="s">
        <v>153</v>
      </c>
      <c r="M1252" s="1" t="s">
        <v>1256</v>
      </c>
      <c r="N1252" s="1" t="str">
        <f>HYPERLINK("https://klocwork.india.ti.com:443/review/insight-review.html#issuedetails_goto:problemid=119990,project=MCU_PLUS_SDK_AM263X,searchquery=taxonomy:'C and C++' build:Build_Apr_13_2023_11_11_AM grouping:off ","KW Issue Link")</f>
        <v>KW Issue Link</v>
      </c>
      <c r="O1252" s="1" t="s">
        <v>356</v>
      </c>
    </row>
    <row r="1253" spans="1:15" ht="60" x14ac:dyDescent="0.25">
      <c r="A1253" s="1" t="s">
        <v>1257</v>
      </c>
      <c r="B1253" s="1"/>
      <c r="C1253" s="1" t="s">
        <v>1146</v>
      </c>
      <c r="D1253" s="1">
        <v>119991</v>
      </c>
      <c r="E1253" s="1">
        <v>340</v>
      </c>
      <c r="F1253" s="1" t="s">
        <v>1898</v>
      </c>
      <c r="G1253" s="1" t="s">
        <v>1899</v>
      </c>
      <c r="H1253" s="1" t="s">
        <v>141</v>
      </c>
      <c r="I1253" s="1" t="s">
        <v>65</v>
      </c>
      <c r="J1253" s="1">
        <v>3</v>
      </c>
      <c r="K1253" s="1" t="s">
        <v>142</v>
      </c>
      <c r="L1253" s="1" t="s">
        <v>153</v>
      </c>
      <c r="M1253" s="1" t="s">
        <v>1256</v>
      </c>
      <c r="N1253" s="1" t="str">
        <f>HYPERLINK("https://klocwork.india.ti.com:443/review/insight-review.html#issuedetails_goto:problemid=119991,project=MCU_PLUS_SDK_AM263X,searchquery=taxonomy:'C and C++' build:Build_Apr_13_2023_11_11_AM grouping:off ","KW Issue Link")</f>
        <v>KW Issue Link</v>
      </c>
      <c r="O1253" s="1" t="s">
        <v>356</v>
      </c>
    </row>
    <row r="1254" spans="1:15" ht="60" x14ac:dyDescent="0.25">
      <c r="A1254" s="1" t="s">
        <v>1257</v>
      </c>
      <c r="B1254" s="1"/>
      <c r="C1254" s="1" t="s">
        <v>1146</v>
      </c>
      <c r="D1254" s="1">
        <v>119992</v>
      </c>
      <c r="E1254" s="1">
        <v>383</v>
      </c>
      <c r="F1254" s="1" t="s">
        <v>1900</v>
      </c>
      <c r="G1254" s="1" t="s">
        <v>1901</v>
      </c>
      <c r="H1254" s="1" t="s">
        <v>141</v>
      </c>
      <c r="I1254" s="1" t="s">
        <v>65</v>
      </c>
      <c r="J1254" s="1">
        <v>3</v>
      </c>
      <c r="K1254" s="1" t="s">
        <v>142</v>
      </c>
      <c r="L1254" s="1" t="s">
        <v>153</v>
      </c>
      <c r="M1254" s="1" t="s">
        <v>1256</v>
      </c>
      <c r="N1254" s="1" t="str">
        <f>HYPERLINK("https://klocwork.india.ti.com:443/review/insight-review.html#issuedetails_goto:problemid=119992,project=MCU_PLUS_SDK_AM263X,searchquery=taxonomy:'C and C++' build:Build_Apr_13_2023_11_11_AM grouping:off ","KW Issue Link")</f>
        <v>KW Issue Link</v>
      </c>
      <c r="O1254" s="1" t="s">
        <v>356</v>
      </c>
    </row>
    <row r="1255" spans="1:15" ht="60" x14ac:dyDescent="0.25">
      <c r="A1255" s="1" t="s">
        <v>1257</v>
      </c>
      <c r="B1255" s="1"/>
      <c r="C1255" s="1" t="s">
        <v>1146</v>
      </c>
      <c r="D1255" s="1">
        <v>119993</v>
      </c>
      <c r="E1255" s="1">
        <v>495</v>
      </c>
      <c r="F1255" s="1" t="s">
        <v>1902</v>
      </c>
      <c r="G1255" s="1" t="s">
        <v>1903</v>
      </c>
      <c r="H1255" s="1" t="s">
        <v>141</v>
      </c>
      <c r="I1255" s="1" t="s">
        <v>65</v>
      </c>
      <c r="J1255" s="1">
        <v>3</v>
      </c>
      <c r="K1255" s="1" t="s">
        <v>142</v>
      </c>
      <c r="L1255" s="1" t="s">
        <v>153</v>
      </c>
      <c r="M1255" s="1" t="s">
        <v>1256</v>
      </c>
      <c r="N1255" s="1" t="str">
        <f>HYPERLINK("https://klocwork.india.ti.com:443/review/insight-review.html#issuedetails_goto:problemid=119993,project=MCU_PLUS_SDK_AM263X,searchquery=taxonomy:'C and C++' build:Build_Apr_13_2023_11_11_AM grouping:off ","KW Issue Link")</f>
        <v>KW Issue Link</v>
      </c>
      <c r="O1255" s="1" t="s">
        <v>356</v>
      </c>
    </row>
    <row r="1256" spans="1:15" ht="60" x14ac:dyDescent="0.25">
      <c r="A1256" s="1" t="s">
        <v>1266</v>
      </c>
      <c r="B1256" s="1"/>
      <c r="C1256" s="1" t="s">
        <v>1146</v>
      </c>
      <c r="D1256" s="1">
        <v>119994</v>
      </c>
      <c r="E1256" s="1">
        <v>281</v>
      </c>
      <c r="F1256" s="1" t="s">
        <v>1904</v>
      </c>
      <c r="G1256" s="1" t="s">
        <v>1895</v>
      </c>
      <c r="H1256" s="1" t="s">
        <v>141</v>
      </c>
      <c r="I1256" s="1" t="s">
        <v>65</v>
      </c>
      <c r="J1256" s="1">
        <v>3</v>
      </c>
      <c r="K1256" s="1" t="s">
        <v>142</v>
      </c>
      <c r="L1256" s="1" t="s">
        <v>153</v>
      </c>
      <c r="M1256" s="1" t="s">
        <v>1256</v>
      </c>
      <c r="N1256" s="1" t="str">
        <f>HYPERLINK("https://klocwork.india.ti.com:443/review/insight-review.html#issuedetails_goto:problemid=119994,project=MCU_PLUS_SDK_AM263X,searchquery=taxonomy:'C and C++' build:Build_Apr_13_2023_11_11_AM grouping:off ","KW Issue Link")</f>
        <v>KW Issue Link</v>
      </c>
      <c r="O1256" s="1" t="s">
        <v>356</v>
      </c>
    </row>
    <row r="1257" spans="1:15" ht="60" x14ac:dyDescent="0.25">
      <c r="A1257" s="1" t="s">
        <v>1268</v>
      </c>
      <c r="B1257" s="1"/>
      <c r="C1257" s="1" t="s">
        <v>1146</v>
      </c>
      <c r="D1257" s="1">
        <v>119995</v>
      </c>
      <c r="E1257" s="1">
        <v>281</v>
      </c>
      <c r="F1257" s="1" t="s">
        <v>1905</v>
      </c>
      <c r="G1257" s="1" t="s">
        <v>1895</v>
      </c>
      <c r="H1257" s="1" t="s">
        <v>141</v>
      </c>
      <c r="I1257" s="1" t="s">
        <v>65</v>
      </c>
      <c r="J1257" s="1">
        <v>3</v>
      </c>
      <c r="K1257" s="1" t="s">
        <v>142</v>
      </c>
      <c r="L1257" s="1" t="s">
        <v>153</v>
      </c>
      <c r="M1257" s="1" t="s">
        <v>1256</v>
      </c>
      <c r="N1257" s="1" t="str">
        <f>HYPERLINK("https://klocwork.india.ti.com:443/review/insight-review.html#issuedetails_goto:problemid=119995,project=MCU_PLUS_SDK_AM263X,searchquery=taxonomy:'C and C++' build:Build_Apr_13_2023_11_11_AM grouping:off ","KW Issue Link")</f>
        <v>KW Issue Link</v>
      </c>
      <c r="O1257" s="1" t="s">
        <v>356</v>
      </c>
    </row>
    <row r="1258" spans="1:15" ht="60" x14ac:dyDescent="0.25">
      <c r="A1258" s="1" t="s">
        <v>1266</v>
      </c>
      <c r="B1258" s="1"/>
      <c r="C1258" s="1" t="s">
        <v>439</v>
      </c>
      <c r="D1258" s="1">
        <v>119996</v>
      </c>
      <c r="E1258" s="1">
        <v>195</v>
      </c>
      <c r="F1258" s="1" t="s">
        <v>1906</v>
      </c>
      <c r="G1258" s="1" t="s">
        <v>1907</v>
      </c>
      <c r="H1258" s="1" t="s">
        <v>141</v>
      </c>
      <c r="I1258" s="1" t="s">
        <v>65</v>
      </c>
      <c r="J1258" s="1">
        <v>3</v>
      </c>
      <c r="K1258" s="1" t="s">
        <v>142</v>
      </c>
      <c r="L1258" s="1" t="s">
        <v>153</v>
      </c>
      <c r="M1258" s="1" t="s">
        <v>1256</v>
      </c>
      <c r="N1258" s="1" t="str">
        <f>HYPERLINK("https://klocwork.india.ti.com:443/review/insight-review.html#issuedetails_goto:problemid=119996,project=MCU_PLUS_SDK_AM263X,searchquery=taxonomy:'C and C++' build:Build_Apr_13_2023_11_11_AM grouping:off ","KW Issue Link")</f>
        <v>KW Issue Link</v>
      </c>
      <c r="O1258" s="1" t="s">
        <v>356</v>
      </c>
    </row>
    <row r="1259" spans="1:15" ht="60" x14ac:dyDescent="0.25">
      <c r="A1259" s="1" t="s">
        <v>1268</v>
      </c>
      <c r="B1259" s="1"/>
      <c r="C1259" s="1" t="s">
        <v>439</v>
      </c>
      <c r="D1259" s="1">
        <v>119998</v>
      </c>
      <c r="E1259" s="1">
        <v>195</v>
      </c>
      <c r="F1259" s="1" t="s">
        <v>1908</v>
      </c>
      <c r="G1259" s="1" t="s">
        <v>1907</v>
      </c>
      <c r="H1259" s="1" t="s">
        <v>141</v>
      </c>
      <c r="I1259" s="1" t="s">
        <v>65</v>
      </c>
      <c r="J1259" s="1">
        <v>3</v>
      </c>
      <c r="K1259" s="1" t="s">
        <v>142</v>
      </c>
      <c r="L1259" s="1" t="s">
        <v>153</v>
      </c>
      <c r="M1259" s="1" t="s">
        <v>1256</v>
      </c>
      <c r="N1259" s="1" t="str">
        <f>HYPERLINK("https://klocwork.india.ti.com:443/review/insight-review.html#issuedetails_goto:problemid=119998,project=MCU_PLUS_SDK_AM263X,searchquery=taxonomy:'C and C++' build:Build_Apr_13_2023_11_11_AM grouping:off ","KW Issue Link")</f>
        <v>KW Issue Link</v>
      </c>
      <c r="O1259" s="1" t="s">
        <v>356</v>
      </c>
    </row>
    <row r="1260" spans="1:15" ht="60" x14ac:dyDescent="0.25">
      <c r="A1260" s="1" t="s">
        <v>1257</v>
      </c>
      <c r="B1260" s="1"/>
      <c r="C1260" s="1" t="s">
        <v>439</v>
      </c>
      <c r="D1260" s="1">
        <v>120000</v>
      </c>
      <c r="E1260" s="1">
        <v>244</v>
      </c>
      <c r="F1260" s="1" t="s">
        <v>1909</v>
      </c>
      <c r="G1260" s="1" t="s">
        <v>440</v>
      </c>
      <c r="H1260" s="1" t="s">
        <v>141</v>
      </c>
      <c r="I1260" s="1" t="s">
        <v>65</v>
      </c>
      <c r="J1260" s="1">
        <v>3</v>
      </c>
      <c r="K1260" s="1" t="s">
        <v>142</v>
      </c>
      <c r="L1260" s="1" t="s">
        <v>153</v>
      </c>
      <c r="M1260" s="1" t="s">
        <v>1256</v>
      </c>
      <c r="N1260" s="1" t="str">
        <f>HYPERLINK("https://klocwork.india.ti.com:443/review/insight-review.html#issuedetails_goto:problemid=120000,project=MCU_PLUS_SDK_AM263X,searchquery=taxonomy:'C and C++' build:Build_Apr_13_2023_11_11_AM grouping:off ","KW Issue Link")</f>
        <v>KW Issue Link</v>
      </c>
      <c r="O1260" s="1" t="s">
        <v>356</v>
      </c>
    </row>
    <row r="1261" spans="1:15" ht="60" x14ac:dyDescent="0.25">
      <c r="A1261" s="1" t="s">
        <v>1252</v>
      </c>
      <c r="B1261" s="1"/>
      <c r="C1261" s="1" t="s">
        <v>441</v>
      </c>
      <c r="D1261" s="1">
        <v>120001</v>
      </c>
      <c r="E1261" s="1">
        <v>262</v>
      </c>
      <c r="F1261" s="1" t="s">
        <v>1910</v>
      </c>
      <c r="G1261" s="1" t="s">
        <v>1911</v>
      </c>
      <c r="H1261" s="1" t="s">
        <v>141</v>
      </c>
      <c r="I1261" s="1" t="s">
        <v>65</v>
      </c>
      <c r="J1261" s="1">
        <v>3</v>
      </c>
      <c r="K1261" s="1" t="s">
        <v>142</v>
      </c>
      <c r="L1261" s="1" t="s">
        <v>153</v>
      </c>
      <c r="M1261" s="1" t="s">
        <v>1256</v>
      </c>
      <c r="N1261" s="1" t="str">
        <f>HYPERLINK("https://klocwork.india.ti.com:443/review/insight-review.html#issuedetails_goto:problemid=120001,project=MCU_PLUS_SDK_AM263X,searchquery=taxonomy:'C and C++' build:Build_Apr_13_2023_11_11_AM grouping:off ","KW Issue Link")</f>
        <v>KW Issue Link</v>
      </c>
      <c r="O1261" s="1" t="s">
        <v>356</v>
      </c>
    </row>
    <row r="1262" spans="1:15" ht="60" x14ac:dyDescent="0.25">
      <c r="A1262" s="1" t="s">
        <v>1266</v>
      </c>
      <c r="B1262" s="1"/>
      <c r="C1262" s="1" t="s">
        <v>441</v>
      </c>
      <c r="D1262" s="1">
        <v>120002</v>
      </c>
      <c r="E1262" s="1">
        <v>365</v>
      </c>
      <c r="F1262" s="1" t="s">
        <v>1912</v>
      </c>
      <c r="G1262" s="1" t="s">
        <v>443</v>
      </c>
      <c r="H1262" s="1" t="s">
        <v>141</v>
      </c>
      <c r="I1262" s="1" t="s">
        <v>65</v>
      </c>
      <c r="J1262" s="1">
        <v>3</v>
      </c>
      <c r="K1262" s="1" t="s">
        <v>142</v>
      </c>
      <c r="L1262" s="1" t="s">
        <v>153</v>
      </c>
      <c r="M1262" s="1" t="s">
        <v>1256</v>
      </c>
      <c r="N1262" s="1" t="str">
        <f>HYPERLINK("https://klocwork.india.ti.com:443/review/insight-review.html#issuedetails_goto:problemid=120002,project=MCU_PLUS_SDK_AM263X,searchquery=taxonomy:'C and C++' build:Build_Apr_13_2023_11_11_AM grouping:off ","KW Issue Link")</f>
        <v>KW Issue Link</v>
      </c>
      <c r="O1262" s="1" t="s">
        <v>356</v>
      </c>
    </row>
    <row r="1263" spans="1:15" ht="60" x14ac:dyDescent="0.25">
      <c r="A1263" s="1" t="s">
        <v>1266</v>
      </c>
      <c r="B1263" s="1"/>
      <c r="C1263" s="1" t="s">
        <v>441</v>
      </c>
      <c r="D1263" s="1">
        <v>120003</v>
      </c>
      <c r="E1263" s="1">
        <v>857</v>
      </c>
      <c r="F1263" s="1" t="s">
        <v>1913</v>
      </c>
      <c r="G1263" s="1" t="s">
        <v>1914</v>
      </c>
      <c r="H1263" s="1" t="s">
        <v>141</v>
      </c>
      <c r="I1263" s="1" t="s">
        <v>65</v>
      </c>
      <c r="J1263" s="1">
        <v>3</v>
      </c>
      <c r="K1263" s="1" t="s">
        <v>142</v>
      </c>
      <c r="L1263" s="1" t="s">
        <v>153</v>
      </c>
      <c r="M1263" s="1" t="s">
        <v>1256</v>
      </c>
      <c r="N1263" s="1" t="str">
        <f>HYPERLINK("https://klocwork.india.ti.com:443/review/insight-review.html#issuedetails_goto:problemid=120003,project=MCU_PLUS_SDK_AM263X,searchquery=taxonomy:'C and C++' build:Build_Apr_13_2023_11_11_AM grouping:off ","KW Issue Link")</f>
        <v>KW Issue Link</v>
      </c>
      <c r="O1263" s="1" t="s">
        <v>356</v>
      </c>
    </row>
    <row r="1264" spans="1:15" ht="60" x14ac:dyDescent="0.25">
      <c r="A1264" s="1" t="s">
        <v>1266</v>
      </c>
      <c r="B1264" s="1"/>
      <c r="C1264" s="1" t="s">
        <v>441</v>
      </c>
      <c r="D1264" s="1">
        <v>120004</v>
      </c>
      <c r="E1264" s="1">
        <v>1207</v>
      </c>
      <c r="F1264" s="1" t="s">
        <v>1915</v>
      </c>
      <c r="G1264" s="1" t="s">
        <v>1916</v>
      </c>
      <c r="H1264" s="1" t="s">
        <v>141</v>
      </c>
      <c r="I1264" s="1" t="s">
        <v>65</v>
      </c>
      <c r="J1264" s="1">
        <v>3</v>
      </c>
      <c r="K1264" s="1" t="s">
        <v>142</v>
      </c>
      <c r="L1264" s="1" t="s">
        <v>153</v>
      </c>
      <c r="M1264" s="1" t="s">
        <v>1256</v>
      </c>
      <c r="N1264" s="1" t="str">
        <f>HYPERLINK("https://klocwork.india.ti.com:443/review/insight-review.html#issuedetails_goto:problemid=120004,project=MCU_PLUS_SDK_AM263X,searchquery=taxonomy:'C and C++' build:Build_Apr_13_2023_11_11_AM grouping:off ","KW Issue Link")</f>
        <v>KW Issue Link</v>
      </c>
      <c r="O1264" s="1" t="s">
        <v>356</v>
      </c>
    </row>
    <row r="1265" spans="1:15" ht="60" x14ac:dyDescent="0.25">
      <c r="A1265" s="1" t="s">
        <v>1266</v>
      </c>
      <c r="B1265" s="1"/>
      <c r="C1265" s="1" t="s">
        <v>441</v>
      </c>
      <c r="D1265" s="1">
        <v>120005</v>
      </c>
      <c r="E1265" s="1">
        <v>1661</v>
      </c>
      <c r="F1265" s="1" t="s">
        <v>1917</v>
      </c>
      <c r="G1265" s="1" t="s">
        <v>1918</v>
      </c>
      <c r="H1265" s="1" t="s">
        <v>141</v>
      </c>
      <c r="I1265" s="1" t="s">
        <v>65</v>
      </c>
      <c r="J1265" s="1">
        <v>3</v>
      </c>
      <c r="K1265" s="1" t="s">
        <v>142</v>
      </c>
      <c r="L1265" s="1" t="s">
        <v>153</v>
      </c>
      <c r="M1265" s="1" t="s">
        <v>1256</v>
      </c>
      <c r="N1265" s="1" t="str">
        <f>HYPERLINK("https://klocwork.india.ti.com:443/review/insight-review.html#issuedetails_goto:problemid=120005,project=MCU_PLUS_SDK_AM263X,searchquery=taxonomy:'C and C++' build:Build_Apr_13_2023_11_11_AM grouping:off ","KW Issue Link")</f>
        <v>KW Issue Link</v>
      </c>
      <c r="O1265" s="1" t="s">
        <v>356</v>
      </c>
    </row>
    <row r="1266" spans="1:15" ht="60" x14ac:dyDescent="0.25">
      <c r="A1266" s="1" t="s">
        <v>1268</v>
      </c>
      <c r="B1266" s="1"/>
      <c r="C1266" s="1" t="s">
        <v>441</v>
      </c>
      <c r="D1266" s="1">
        <v>120006</v>
      </c>
      <c r="E1266" s="1">
        <v>1046</v>
      </c>
      <c r="F1266" s="1" t="s">
        <v>1919</v>
      </c>
      <c r="G1266" s="1" t="s">
        <v>1920</v>
      </c>
      <c r="H1266" s="1" t="s">
        <v>141</v>
      </c>
      <c r="I1266" s="1" t="s">
        <v>65</v>
      </c>
      <c r="J1266" s="1">
        <v>3</v>
      </c>
      <c r="K1266" s="1" t="s">
        <v>142</v>
      </c>
      <c r="L1266" s="1" t="s">
        <v>153</v>
      </c>
      <c r="M1266" s="1" t="s">
        <v>1256</v>
      </c>
      <c r="N1266" s="1" t="str">
        <f>HYPERLINK("https://klocwork.india.ti.com:443/review/insight-review.html#issuedetails_goto:problemid=120006,project=MCU_PLUS_SDK_AM263X,searchquery=taxonomy:'C and C++' build:Build_Apr_13_2023_11_11_AM grouping:off ","KW Issue Link")</f>
        <v>KW Issue Link</v>
      </c>
      <c r="O1266" s="1" t="s">
        <v>356</v>
      </c>
    </row>
    <row r="1267" spans="1:15" ht="60" x14ac:dyDescent="0.25">
      <c r="A1267" s="1" t="s">
        <v>1268</v>
      </c>
      <c r="B1267" s="1"/>
      <c r="C1267" s="1" t="s">
        <v>441</v>
      </c>
      <c r="D1267" s="1">
        <v>120007</v>
      </c>
      <c r="E1267" s="1">
        <v>1142</v>
      </c>
      <c r="F1267" s="1" t="s">
        <v>1921</v>
      </c>
      <c r="G1267" s="1" t="s">
        <v>1922</v>
      </c>
      <c r="H1267" s="1" t="s">
        <v>141</v>
      </c>
      <c r="I1267" s="1" t="s">
        <v>65</v>
      </c>
      <c r="J1267" s="1">
        <v>3</v>
      </c>
      <c r="K1267" s="1" t="s">
        <v>142</v>
      </c>
      <c r="L1267" s="1" t="s">
        <v>153</v>
      </c>
      <c r="M1267" s="1" t="s">
        <v>1256</v>
      </c>
      <c r="N1267" s="1" t="str">
        <f>HYPERLINK("https://klocwork.india.ti.com:443/review/insight-review.html#issuedetails_goto:problemid=120007,project=MCU_PLUS_SDK_AM263X,searchquery=taxonomy:'C and C++' build:Build_Apr_13_2023_11_11_AM grouping:off ","KW Issue Link")</f>
        <v>KW Issue Link</v>
      </c>
      <c r="O1267" s="1" t="s">
        <v>356</v>
      </c>
    </row>
    <row r="1268" spans="1:15" ht="60" x14ac:dyDescent="0.25">
      <c r="A1268" s="1" t="s">
        <v>1268</v>
      </c>
      <c r="B1268" s="1"/>
      <c r="C1268" s="1" t="s">
        <v>441</v>
      </c>
      <c r="D1268" s="1">
        <v>120008</v>
      </c>
      <c r="E1268" s="1">
        <v>1446</v>
      </c>
      <c r="F1268" s="1" t="s">
        <v>1923</v>
      </c>
      <c r="G1268" s="1" t="s">
        <v>1924</v>
      </c>
      <c r="H1268" s="1" t="s">
        <v>141</v>
      </c>
      <c r="I1268" s="1" t="s">
        <v>65</v>
      </c>
      <c r="J1268" s="1">
        <v>3</v>
      </c>
      <c r="K1268" s="1" t="s">
        <v>142</v>
      </c>
      <c r="L1268" s="1" t="s">
        <v>153</v>
      </c>
      <c r="M1268" s="1" t="s">
        <v>1256</v>
      </c>
      <c r="N1268" s="1" t="str">
        <f>HYPERLINK("https://klocwork.india.ti.com:443/review/insight-review.html#issuedetails_goto:problemid=120008,project=MCU_PLUS_SDK_AM263X,searchquery=taxonomy:'C and C++' build:Build_Apr_13_2023_11_11_AM grouping:off ","KW Issue Link")</f>
        <v>KW Issue Link</v>
      </c>
      <c r="O1268" s="1" t="s">
        <v>356</v>
      </c>
    </row>
    <row r="1269" spans="1:15" ht="60" x14ac:dyDescent="0.25">
      <c r="A1269" s="1" t="s">
        <v>1268</v>
      </c>
      <c r="B1269" s="1"/>
      <c r="C1269" s="1" t="s">
        <v>441</v>
      </c>
      <c r="D1269" s="1">
        <v>120009</v>
      </c>
      <c r="E1269" s="1">
        <v>1492</v>
      </c>
      <c r="F1269" s="1" t="s">
        <v>1925</v>
      </c>
      <c r="G1269" s="1" t="s">
        <v>1926</v>
      </c>
      <c r="H1269" s="1" t="s">
        <v>141</v>
      </c>
      <c r="I1269" s="1" t="s">
        <v>65</v>
      </c>
      <c r="J1269" s="1">
        <v>3</v>
      </c>
      <c r="K1269" s="1" t="s">
        <v>142</v>
      </c>
      <c r="L1269" s="1" t="s">
        <v>153</v>
      </c>
      <c r="M1269" s="1" t="s">
        <v>1256</v>
      </c>
      <c r="N1269" s="1" t="str">
        <f>HYPERLINK("https://klocwork.india.ti.com:443/review/insight-review.html#issuedetails_goto:problemid=120009,project=MCU_PLUS_SDK_AM263X,searchquery=taxonomy:'C and C++' build:Build_Apr_13_2023_11_11_AM grouping:off ","KW Issue Link")</f>
        <v>KW Issue Link</v>
      </c>
      <c r="O1269" s="1" t="s">
        <v>356</v>
      </c>
    </row>
    <row r="1270" spans="1:15" ht="60" x14ac:dyDescent="0.25">
      <c r="A1270" s="1" t="s">
        <v>1257</v>
      </c>
      <c r="B1270" s="1"/>
      <c r="C1270" s="1" t="s">
        <v>441</v>
      </c>
      <c r="D1270" s="1">
        <v>120010</v>
      </c>
      <c r="E1270" s="1">
        <v>1661</v>
      </c>
      <c r="F1270" s="1" t="s">
        <v>1927</v>
      </c>
      <c r="G1270" s="1" t="s">
        <v>1918</v>
      </c>
      <c r="H1270" s="1" t="s">
        <v>141</v>
      </c>
      <c r="I1270" s="1" t="s">
        <v>65</v>
      </c>
      <c r="J1270" s="1">
        <v>3</v>
      </c>
      <c r="K1270" s="1" t="s">
        <v>142</v>
      </c>
      <c r="L1270" s="1" t="s">
        <v>153</v>
      </c>
      <c r="M1270" s="1" t="s">
        <v>1256</v>
      </c>
      <c r="N1270" s="1" t="str">
        <f>HYPERLINK("https://klocwork.india.ti.com:443/review/insight-review.html#issuedetails_goto:problemid=120010,project=MCU_PLUS_SDK_AM263X,searchquery=taxonomy:'C and C++' build:Build_Apr_13_2023_11_11_AM grouping:off ","KW Issue Link")</f>
        <v>KW Issue Link</v>
      </c>
      <c r="O1270" s="1" t="s">
        <v>356</v>
      </c>
    </row>
    <row r="1271" spans="1:15" ht="60" x14ac:dyDescent="0.25">
      <c r="A1271" s="1" t="s">
        <v>1257</v>
      </c>
      <c r="B1271" s="1"/>
      <c r="C1271" s="1" t="s">
        <v>441</v>
      </c>
      <c r="D1271" s="1">
        <v>120011</v>
      </c>
      <c r="E1271" s="1">
        <v>1804</v>
      </c>
      <c r="F1271" s="1" t="s">
        <v>1928</v>
      </c>
      <c r="G1271" s="1" t="s">
        <v>1929</v>
      </c>
      <c r="H1271" s="1" t="s">
        <v>141</v>
      </c>
      <c r="I1271" s="1" t="s">
        <v>65</v>
      </c>
      <c r="J1271" s="1">
        <v>3</v>
      </c>
      <c r="K1271" s="1" t="s">
        <v>142</v>
      </c>
      <c r="L1271" s="1" t="s">
        <v>153</v>
      </c>
      <c r="M1271" s="1" t="s">
        <v>1256</v>
      </c>
      <c r="N1271" s="1" t="str">
        <f>HYPERLINK("https://klocwork.india.ti.com:443/review/insight-review.html#issuedetails_goto:problemid=120011,project=MCU_PLUS_SDK_AM263X,searchquery=taxonomy:'C and C++' build:Build_Apr_13_2023_11_11_AM grouping:off ","KW Issue Link")</f>
        <v>KW Issue Link</v>
      </c>
      <c r="O1271" s="1" t="s">
        <v>356</v>
      </c>
    </row>
    <row r="1272" spans="1:15" ht="75" x14ac:dyDescent="0.25">
      <c r="A1272" s="1" t="s">
        <v>1257</v>
      </c>
      <c r="B1272" s="1"/>
      <c r="C1272" s="1" t="s">
        <v>444</v>
      </c>
      <c r="D1272" s="1">
        <v>120012</v>
      </c>
      <c r="E1272" s="1">
        <v>147</v>
      </c>
      <c r="F1272" s="1" t="s">
        <v>1930</v>
      </c>
      <c r="G1272" s="1" t="s">
        <v>1931</v>
      </c>
      <c r="H1272" s="1" t="s">
        <v>141</v>
      </c>
      <c r="I1272" s="1" t="s">
        <v>65</v>
      </c>
      <c r="J1272" s="1">
        <v>3</v>
      </c>
      <c r="K1272" s="1" t="s">
        <v>142</v>
      </c>
      <c r="L1272" s="1" t="s">
        <v>153</v>
      </c>
      <c r="M1272" s="1" t="s">
        <v>1256</v>
      </c>
      <c r="N1272" s="1" t="str">
        <f>HYPERLINK("https://klocwork.india.ti.com:443/review/insight-review.html#issuedetails_goto:problemid=120012,project=MCU_PLUS_SDK_AM263X,searchquery=taxonomy:'C and C++' build:Build_Apr_13_2023_11_11_AM grouping:off ","KW Issue Link")</f>
        <v>KW Issue Link</v>
      </c>
      <c r="O1272" s="1" t="s">
        <v>291</v>
      </c>
    </row>
    <row r="1273" spans="1:15" ht="75" x14ac:dyDescent="0.25">
      <c r="A1273" s="1" t="s">
        <v>1257</v>
      </c>
      <c r="B1273" s="1"/>
      <c r="C1273" s="1" t="s">
        <v>444</v>
      </c>
      <c r="D1273" s="1">
        <v>120013</v>
      </c>
      <c r="E1273" s="1">
        <v>168</v>
      </c>
      <c r="F1273" s="1" t="s">
        <v>1932</v>
      </c>
      <c r="G1273" s="1" t="s">
        <v>1933</v>
      </c>
      <c r="H1273" s="1" t="s">
        <v>141</v>
      </c>
      <c r="I1273" s="1" t="s">
        <v>65</v>
      </c>
      <c r="J1273" s="1">
        <v>3</v>
      </c>
      <c r="K1273" s="1" t="s">
        <v>142</v>
      </c>
      <c r="L1273" s="1" t="s">
        <v>153</v>
      </c>
      <c r="M1273" s="1" t="s">
        <v>1256</v>
      </c>
      <c r="N1273" s="1" t="str">
        <f>HYPERLINK("https://klocwork.india.ti.com:443/review/insight-review.html#issuedetails_goto:problemid=120013,project=MCU_PLUS_SDK_AM263X,searchquery=taxonomy:'C and C++' build:Build_Apr_13_2023_11_11_AM grouping:off ","KW Issue Link")</f>
        <v>KW Issue Link</v>
      </c>
      <c r="O1273" s="1" t="s">
        <v>291</v>
      </c>
    </row>
    <row r="1274" spans="1:15" ht="75" x14ac:dyDescent="0.25">
      <c r="A1274" s="1" t="s">
        <v>1257</v>
      </c>
      <c r="B1274" s="1"/>
      <c r="C1274" s="1" t="s">
        <v>444</v>
      </c>
      <c r="D1274" s="1">
        <v>120014</v>
      </c>
      <c r="E1274" s="1">
        <v>197</v>
      </c>
      <c r="F1274" s="1" t="s">
        <v>1934</v>
      </c>
      <c r="G1274" s="1" t="s">
        <v>1935</v>
      </c>
      <c r="H1274" s="1" t="s">
        <v>141</v>
      </c>
      <c r="I1274" s="1" t="s">
        <v>65</v>
      </c>
      <c r="J1274" s="1">
        <v>3</v>
      </c>
      <c r="K1274" s="1" t="s">
        <v>142</v>
      </c>
      <c r="L1274" s="1" t="s">
        <v>153</v>
      </c>
      <c r="M1274" s="1" t="s">
        <v>1256</v>
      </c>
      <c r="N1274" s="1" t="str">
        <f>HYPERLINK("https://klocwork.india.ti.com:443/review/insight-review.html#issuedetails_goto:problemid=120014,project=MCU_PLUS_SDK_AM263X,searchquery=taxonomy:'C and C++' build:Build_Apr_13_2023_11_11_AM grouping:off ","KW Issue Link")</f>
        <v>KW Issue Link</v>
      </c>
      <c r="O1274" s="1" t="s">
        <v>291</v>
      </c>
    </row>
    <row r="1275" spans="1:15" ht="75" x14ac:dyDescent="0.25">
      <c r="A1275" s="1" t="s">
        <v>1257</v>
      </c>
      <c r="B1275" s="1"/>
      <c r="C1275" s="1" t="s">
        <v>444</v>
      </c>
      <c r="D1275" s="1">
        <v>120015</v>
      </c>
      <c r="E1275" s="1">
        <v>256</v>
      </c>
      <c r="F1275" s="1" t="s">
        <v>1936</v>
      </c>
      <c r="G1275" s="1" t="s">
        <v>445</v>
      </c>
      <c r="H1275" s="1" t="s">
        <v>141</v>
      </c>
      <c r="I1275" s="1" t="s">
        <v>65</v>
      </c>
      <c r="J1275" s="1">
        <v>3</v>
      </c>
      <c r="K1275" s="1" t="s">
        <v>142</v>
      </c>
      <c r="L1275" s="1" t="s">
        <v>153</v>
      </c>
      <c r="M1275" s="1" t="s">
        <v>1256</v>
      </c>
      <c r="N1275" s="1" t="str">
        <f>HYPERLINK("https://klocwork.india.ti.com:443/review/insight-review.html#issuedetails_goto:problemid=120015,project=MCU_PLUS_SDK_AM263X,searchquery=taxonomy:'C and C++' build:Build_Apr_13_2023_11_11_AM grouping:off ","KW Issue Link")</f>
        <v>KW Issue Link</v>
      </c>
      <c r="O1275" s="1" t="s">
        <v>291</v>
      </c>
    </row>
    <row r="1276" spans="1:15" ht="75" x14ac:dyDescent="0.25">
      <c r="A1276" s="1" t="s">
        <v>1257</v>
      </c>
      <c r="B1276" s="1"/>
      <c r="C1276" s="1" t="s">
        <v>444</v>
      </c>
      <c r="D1276" s="1">
        <v>120016</v>
      </c>
      <c r="E1276" s="1">
        <v>422</v>
      </c>
      <c r="F1276" s="1" t="s">
        <v>1937</v>
      </c>
      <c r="G1276" s="1" t="s">
        <v>1938</v>
      </c>
      <c r="H1276" s="1" t="s">
        <v>141</v>
      </c>
      <c r="I1276" s="1" t="s">
        <v>65</v>
      </c>
      <c r="J1276" s="1">
        <v>3</v>
      </c>
      <c r="K1276" s="1" t="s">
        <v>142</v>
      </c>
      <c r="L1276" s="1" t="s">
        <v>153</v>
      </c>
      <c r="M1276" s="1" t="s">
        <v>1256</v>
      </c>
      <c r="N1276" s="1" t="str">
        <f>HYPERLINK("https://klocwork.india.ti.com:443/review/insight-review.html#issuedetails_goto:problemid=120016,project=MCU_PLUS_SDK_AM263X,searchquery=taxonomy:'C and C++' build:Build_Apr_13_2023_11_11_AM grouping:off ","KW Issue Link")</f>
        <v>KW Issue Link</v>
      </c>
      <c r="O1276" s="1" t="s">
        <v>291</v>
      </c>
    </row>
    <row r="1277" spans="1:15" ht="75" x14ac:dyDescent="0.25">
      <c r="A1277" s="1" t="s">
        <v>1257</v>
      </c>
      <c r="B1277" s="1"/>
      <c r="C1277" s="1" t="s">
        <v>444</v>
      </c>
      <c r="D1277" s="1">
        <v>120019</v>
      </c>
      <c r="E1277" s="1">
        <v>641</v>
      </c>
      <c r="F1277" s="1" t="s">
        <v>1939</v>
      </c>
      <c r="G1277" s="1" t="s">
        <v>1940</v>
      </c>
      <c r="H1277" s="1" t="s">
        <v>141</v>
      </c>
      <c r="I1277" s="1" t="s">
        <v>65</v>
      </c>
      <c r="J1277" s="1">
        <v>3</v>
      </c>
      <c r="K1277" s="1" t="s">
        <v>142</v>
      </c>
      <c r="L1277" s="1" t="s">
        <v>153</v>
      </c>
      <c r="M1277" s="1" t="s">
        <v>1256</v>
      </c>
      <c r="N1277" s="1" t="str">
        <f>HYPERLINK("https://klocwork.india.ti.com:443/review/insight-review.html#issuedetails_goto:problemid=120019,project=MCU_PLUS_SDK_AM263X,searchquery=taxonomy:'C and C++' build:Build_Apr_13_2023_11_11_AM grouping:off ","KW Issue Link")</f>
        <v>KW Issue Link</v>
      </c>
      <c r="O1277" s="1" t="s">
        <v>291</v>
      </c>
    </row>
    <row r="1278" spans="1:15" ht="75" x14ac:dyDescent="0.25">
      <c r="A1278" s="1" t="s">
        <v>1257</v>
      </c>
      <c r="B1278" s="1"/>
      <c r="C1278" s="1" t="s">
        <v>444</v>
      </c>
      <c r="D1278" s="1">
        <v>120020</v>
      </c>
      <c r="E1278" s="1">
        <v>748</v>
      </c>
      <c r="F1278" s="1" t="s">
        <v>1941</v>
      </c>
      <c r="G1278" s="1" t="s">
        <v>1942</v>
      </c>
      <c r="H1278" s="1" t="s">
        <v>141</v>
      </c>
      <c r="I1278" s="1" t="s">
        <v>65</v>
      </c>
      <c r="J1278" s="1">
        <v>3</v>
      </c>
      <c r="K1278" s="1" t="s">
        <v>142</v>
      </c>
      <c r="L1278" s="1" t="s">
        <v>153</v>
      </c>
      <c r="M1278" s="1" t="s">
        <v>1256</v>
      </c>
      <c r="N1278" s="1" t="str">
        <f>HYPERLINK("https://klocwork.india.ti.com:443/review/insight-review.html#issuedetails_goto:problemid=120020,project=MCU_PLUS_SDK_AM263X,searchquery=taxonomy:'C and C++' build:Build_Apr_13_2023_11_11_AM grouping:off ","KW Issue Link")</f>
        <v>KW Issue Link</v>
      </c>
      <c r="O1278" s="1" t="s">
        <v>291</v>
      </c>
    </row>
    <row r="1279" spans="1:15" ht="75" x14ac:dyDescent="0.25">
      <c r="A1279" s="1" t="s">
        <v>1257</v>
      </c>
      <c r="B1279" s="1"/>
      <c r="C1279" s="1" t="s">
        <v>444</v>
      </c>
      <c r="D1279" s="1">
        <v>120021</v>
      </c>
      <c r="E1279" s="1">
        <v>791</v>
      </c>
      <c r="F1279" s="1" t="s">
        <v>1943</v>
      </c>
      <c r="G1279" s="1" t="s">
        <v>455</v>
      </c>
      <c r="H1279" s="1" t="s">
        <v>141</v>
      </c>
      <c r="I1279" s="1" t="s">
        <v>65</v>
      </c>
      <c r="J1279" s="1">
        <v>3</v>
      </c>
      <c r="K1279" s="1" t="s">
        <v>142</v>
      </c>
      <c r="L1279" s="1" t="s">
        <v>153</v>
      </c>
      <c r="M1279" s="1" t="s">
        <v>1256</v>
      </c>
      <c r="N1279" s="1" t="str">
        <f>HYPERLINK("https://klocwork.india.ti.com:443/review/insight-review.html#issuedetails_goto:problemid=120021,project=MCU_PLUS_SDK_AM263X,searchquery=taxonomy:'C and C++' build:Build_Apr_13_2023_11_11_AM grouping:off ","KW Issue Link")</f>
        <v>KW Issue Link</v>
      </c>
      <c r="O1279" s="1" t="s">
        <v>291</v>
      </c>
    </row>
    <row r="1280" spans="1:15" ht="75" x14ac:dyDescent="0.25">
      <c r="A1280" s="1" t="s">
        <v>1257</v>
      </c>
      <c r="B1280" s="1"/>
      <c r="C1280" s="1" t="s">
        <v>444</v>
      </c>
      <c r="D1280" s="1">
        <v>120022</v>
      </c>
      <c r="E1280" s="1">
        <v>933</v>
      </c>
      <c r="F1280" s="1" t="s">
        <v>1944</v>
      </c>
      <c r="G1280" s="1" t="s">
        <v>1945</v>
      </c>
      <c r="H1280" s="1" t="s">
        <v>141</v>
      </c>
      <c r="I1280" s="1" t="s">
        <v>65</v>
      </c>
      <c r="J1280" s="1">
        <v>3</v>
      </c>
      <c r="K1280" s="1" t="s">
        <v>142</v>
      </c>
      <c r="L1280" s="1" t="s">
        <v>153</v>
      </c>
      <c r="M1280" s="1" t="s">
        <v>1256</v>
      </c>
      <c r="N1280" s="1" t="str">
        <f>HYPERLINK("https://klocwork.india.ti.com:443/review/insight-review.html#issuedetails_goto:problemid=120022,project=MCU_PLUS_SDK_AM263X,searchquery=taxonomy:'C and C++' build:Build_Apr_13_2023_11_11_AM grouping:off ","KW Issue Link")</f>
        <v>KW Issue Link</v>
      </c>
      <c r="O1280" s="1" t="s">
        <v>291</v>
      </c>
    </row>
    <row r="1281" spans="1:15" ht="75" x14ac:dyDescent="0.25">
      <c r="A1281" s="1" t="s">
        <v>1257</v>
      </c>
      <c r="B1281" s="1"/>
      <c r="C1281" s="1" t="s">
        <v>444</v>
      </c>
      <c r="D1281" s="1">
        <v>120023</v>
      </c>
      <c r="E1281" s="1">
        <v>1101</v>
      </c>
      <c r="F1281" s="1" t="s">
        <v>1946</v>
      </c>
      <c r="G1281" s="1" t="s">
        <v>457</v>
      </c>
      <c r="H1281" s="1" t="s">
        <v>141</v>
      </c>
      <c r="I1281" s="1" t="s">
        <v>65</v>
      </c>
      <c r="J1281" s="1">
        <v>3</v>
      </c>
      <c r="K1281" s="1" t="s">
        <v>142</v>
      </c>
      <c r="L1281" s="1" t="s">
        <v>153</v>
      </c>
      <c r="M1281" s="1" t="s">
        <v>1256</v>
      </c>
      <c r="N1281" s="1" t="str">
        <f>HYPERLINK("https://klocwork.india.ti.com:443/review/insight-review.html#issuedetails_goto:problemid=120023,project=MCU_PLUS_SDK_AM263X,searchquery=taxonomy:'C and C++' build:Build_Apr_13_2023_11_11_AM grouping:off ","KW Issue Link")</f>
        <v>KW Issue Link</v>
      </c>
      <c r="O1281" s="1" t="s">
        <v>291</v>
      </c>
    </row>
    <row r="1282" spans="1:15" ht="75" x14ac:dyDescent="0.25">
      <c r="A1282" s="1" t="s">
        <v>1257</v>
      </c>
      <c r="B1282" s="1"/>
      <c r="C1282" s="1" t="s">
        <v>444</v>
      </c>
      <c r="D1282" s="1">
        <v>120024</v>
      </c>
      <c r="E1282" s="1">
        <v>1198</v>
      </c>
      <c r="F1282" s="1" t="s">
        <v>1947</v>
      </c>
      <c r="G1282" s="1" t="s">
        <v>1948</v>
      </c>
      <c r="H1282" s="1" t="s">
        <v>141</v>
      </c>
      <c r="I1282" s="1" t="s">
        <v>65</v>
      </c>
      <c r="J1282" s="1">
        <v>3</v>
      </c>
      <c r="K1282" s="1" t="s">
        <v>142</v>
      </c>
      <c r="L1282" s="1" t="s">
        <v>153</v>
      </c>
      <c r="M1282" s="1" t="s">
        <v>1256</v>
      </c>
      <c r="N1282" s="1" t="str">
        <f>HYPERLINK("https://klocwork.india.ti.com:443/review/insight-review.html#issuedetails_goto:problemid=120024,project=MCU_PLUS_SDK_AM263X,searchquery=taxonomy:'C and C++' build:Build_Apr_13_2023_11_11_AM grouping:off ","KW Issue Link")</f>
        <v>KW Issue Link</v>
      </c>
      <c r="O1282" s="1" t="s">
        <v>291</v>
      </c>
    </row>
    <row r="1283" spans="1:15" ht="75" x14ac:dyDescent="0.25">
      <c r="A1283" s="1" t="s">
        <v>1266</v>
      </c>
      <c r="B1283" s="1"/>
      <c r="C1283" s="1" t="s">
        <v>444</v>
      </c>
      <c r="D1283" s="1">
        <v>120026</v>
      </c>
      <c r="E1283" s="1">
        <v>197</v>
      </c>
      <c r="F1283" s="1" t="s">
        <v>1949</v>
      </c>
      <c r="G1283" s="1" t="s">
        <v>1935</v>
      </c>
      <c r="H1283" s="1" t="s">
        <v>141</v>
      </c>
      <c r="I1283" s="1" t="s">
        <v>65</v>
      </c>
      <c r="J1283" s="1">
        <v>3</v>
      </c>
      <c r="K1283" s="1" t="s">
        <v>142</v>
      </c>
      <c r="L1283" s="1" t="s">
        <v>153</v>
      </c>
      <c r="M1283" s="1" t="s">
        <v>1256</v>
      </c>
      <c r="N1283" s="1" t="str">
        <f>HYPERLINK("https://klocwork.india.ti.com:443/review/insight-review.html#issuedetails_goto:problemid=120026,project=MCU_PLUS_SDK_AM263X,searchquery=taxonomy:'C and C++' build:Build_Apr_13_2023_11_11_AM grouping:off ","KW Issue Link")</f>
        <v>KW Issue Link</v>
      </c>
      <c r="O1283" s="1" t="s">
        <v>291</v>
      </c>
    </row>
    <row r="1284" spans="1:15" ht="75" x14ac:dyDescent="0.25">
      <c r="A1284" s="1" t="s">
        <v>1266</v>
      </c>
      <c r="B1284" s="1"/>
      <c r="C1284" s="1" t="s">
        <v>444</v>
      </c>
      <c r="D1284" s="1">
        <v>120027</v>
      </c>
      <c r="E1284" s="1">
        <v>256</v>
      </c>
      <c r="F1284" s="1" t="s">
        <v>1950</v>
      </c>
      <c r="G1284" s="1" t="s">
        <v>445</v>
      </c>
      <c r="H1284" s="1" t="s">
        <v>141</v>
      </c>
      <c r="I1284" s="1" t="s">
        <v>65</v>
      </c>
      <c r="J1284" s="1">
        <v>3</v>
      </c>
      <c r="K1284" s="1" t="s">
        <v>142</v>
      </c>
      <c r="L1284" s="1" t="s">
        <v>153</v>
      </c>
      <c r="M1284" s="1" t="s">
        <v>1256</v>
      </c>
      <c r="N1284" s="1" t="str">
        <f>HYPERLINK("https://klocwork.india.ti.com:443/review/insight-review.html#issuedetails_goto:problemid=120027,project=MCU_PLUS_SDK_AM263X,searchquery=taxonomy:'C and C++' build:Build_Apr_13_2023_11_11_AM grouping:off ","KW Issue Link")</f>
        <v>KW Issue Link</v>
      </c>
      <c r="O1284" s="1" t="s">
        <v>291</v>
      </c>
    </row>
    <row r="1285" spans="1:15" ht="75" x14ac:dyDescent="0.25">
      <c r="A1285" s="1" t="s">
        <v>1266</v>
      </c>
      <c r="B1285" s="1"/>
      <c r="C1285" s="1" t="s">
        <v>444</v>
      </c>
      <c r="D1285" s="1">
        <v>120028</v>
      </c>
      <c r="E1285" s="1">
        <v>422</v>
      </c>
      <c r="F1285" s="1" t="s">
        <v>1951</v>
      </c>
      <c r="G1285" s="1" t="s">
        <v>1938</v>
      </c>
      <c r="H1285" s="1" t="s">
        <v>141</v>
      </c>
      <c r="I1285" s="1" t="s">
        <v>65</v>
      </c>
      <c r="J1285" s="1">
        <v>3</v>
      </c>
      <c r="K1285" s="1" t="s">
        <v>142</v>
      </c>
      <c r="L1285" s="1" t="s">
        <v>153</v>
      </c>
      <c r="M1285" s="1" t="s">
        <v>1256</v>
      </c>
      <c r="N1285" s="1" t="str">
        <f>HYPERLINK("https://klocwork.india.ti.com:443/review/insight-review.html#issuedetails_goto:problemid=120028,project=MCU_PLUS_SDK_AM263X,searchquery=taxonomy:'C and C++' build:Build_Apr_13_2023_11_11_AM grouping:off ","KW Issue Link")</f>
        <v>KW Issue Link</v>
      </c>
      <c r="O1285" s="1" t="s">
        <v>291</v>
      </c>
    </row>
    <row r="1286" spans="1:15" ht="75" x14ac:dyDescent="0.25">
      <c r="A1286" s="1" t="s">
        <v>1266</v>
      </c>
      <c r="B1286" s="1"/>
      <c r="C1286" s="1" t="s">
        <v>444</v>
      </c>
      <c r="D1286" s="1">
        <v>120029</v>
      </c>
      <c r="E1286" s="1">
        <v>612</v>
      </c>
      <c r="F1286" s="1" t="s">
        <v>1952</v>
      </c>
      <c r="G1286" s="1" t="s">
        <v>451</v>
      </c>
      <c r="H1286" s="1" t="s">
        <v>141</v>
      </c>
      <c r="I1286" s="1" t="s">
        <v>65</v>
      </c>
      <c r="J1286" s="1">
        <v>3</v>
      </c>
      <c r="K1286" s="1" t="s">
        <v>142</v>
      </c>
      <c r="L1286" s="1" t="s">
        <v>153</v>
      </c>
      <c r="M1286" s="1" t="s">
        <v>1256</v>
      </c>
      <c r="N1286" s="1" t="str">
        <f>HYPERLINK("https://klocwork.india.ti.com:443/review/insight-review.html#issuedetails_goto:problemid=120029,project=MCU_PLUS_SDK_AM263X,searchquery=taxonomy:'C and C++' build:Build_Apr_13_2023_11_11_AM grouping:off ","KW Issue Link")</f>
        <v>KW Issue Link</v>
      </c>
      <c r="O1286" s="1" t="s">
        <v>291</v>
      </c>
    </row>
    <row r="1287" spans="1:15" ht="75" x14ac:dyDescent="0.25">
      <c r="A1287" s="1" t="s">
        <v>1266</v>
      </c>
      <c r="B1287" s="1"/>
      <c r="C1287" s="1" t="s">
        <v>444</v>
      </c>
      <c r="D1287" s="1">
        <v>120030</v>
      </c>
      <c r="E1287" s="1">
        <v>641</v>
      </c>
      <c r="F1287" s="1" t="s">
        <v>1953</v>
      </c>
      <c r="G1287" s="1" t="s">
        <v>1940</v>
      </c>
      <c r="H1287" s="1" t="s">
        <v>141</v>
      </c>
      <c r="I1287" s="1" t="s">
        <v>65</v>
      </c>
      <c r="J1287" s="1">
        <v>3</v>
      </c>
      <c r="K1287" s="1" t="s">
        <v>142</v>
      </c>
      <c r="L1287" s="1" t="s">
        <v>153</v>
      </c>
      <c r="M1287" s="1" t="s">
        <v>1256</v>
      </c>
      <c r="N1287" s="1" t="str">
        <f>HYPERLINK("https://klocwork.india.ti.com:443/review/insight-review.html#issuedetails_goto:problemid=120030,project=MCU_PLUS_SDK_AM263X,searchquery=taxonomy:'C and C++' build:Build_Apr_13_2023_11_11_AM grouping:off ","KW Issue Link")</f>
        <v>KW Issue Link</v>
      </c>
      <c r="O1287" s="1" t="s">
        <v>291</v>
      </c>
    </row>
    <row r="1288" spans="1:15" ht="75" x14ac:dyDescent="0.25">
      <c r="A1288" s="1" t="s">
        <v>1266</v>
      </c>
      <c r="B1288" s="1"/>
      <c r="C1288" s="1" t="s">
        <v>444</v>
      </c>
      <c r="D1288" s="1">
        <v>120032</v>
      </c>
      <c r="E1288" s="1">
        <v>791</v>
      </c>
      <c r="F1288" s="1" t="s">
        <v>1954</v>
      </c>
      <c r="G1288" s="1" t="s">
        <v>455</v>
      </c>
      <c r="H1288" s="1" t="s">
        <v>141</v>
      </c>
      <c r="I1288" s="1" t="s">
        <v>65</v>
      </c>
      <c r="J1288" s="1">
        <v>3</v>
      </c>
      <c r="K1288" s="1" t="s">
        <v>142</v>
      </c>
      <c r="L1288" s="1" t="s">
        <v>153</v>
      </c>
      <c r="M1288" s="1" t="s">
        <v>1256</v>
      </c>
      <c r="N1288" s="1" t="str">
        <f>HYPERLINK("https://klocwork.india.ti.com:443/review/insight-review.html#issuedetails_goto:problemid=120032,project=MCU_PLUS_SDK_AM263X,searchquery=taxonomy:'C and C++' build:Build_Apr_13_2023_11_11_AM grouping:off ","KW Issue Link")</f>
        <v>KW Issue Link</v>
      </c>
      <c r="O1288" s="1" t="s">
        <v>291</v>
      </c>
    </row>
    <row r="1289" spans="1:15" ht="75" x14ac:dyDescent="0.25">
      <c r="A1289" s="1" t="s">
        <v>1266</v>
      </c>
      <c r="B1289" s="1"/>
      <c r="C1289" s="1" t="s">
        <v>444</v>
      </c>
      <c r="D1289" s="1">
        <v>120033</v>
      </c>
      <c r="E1289" s="1">
        <v>933</v>
      </c>
      <c r="F1289" s="1" t="s">
        <v>1955</v>
      </c>
      <c r="G1289" s="1" t="s">
        <v>1945</v>
      </c>
      <c r="H1289" s="1" t="s">
        <v>141</v>
      </c>
      <c r="I1289" s="1" t="s">
        <v>65</v>
      </c>
      <c r="J1289" s="1">
        <v>3</v>
      </c>
      <c r="K1289" s="1" t="s">
        <v>142</v>
      </c>
      <c r="L1289" s="1" t="s">
        <v>153</v>
      </c>
      <c r="M1289" s="1" t="s">
        <v>1256</v>
      </c>
      <c r="N1289" s="1" t="str">
        <f>HYPERLINK("https://klocwork.india.ti.com:443/review/insight-review.html#issuedetails_goto:problemid=120033,project=MCU_PLUS_SDK_AM263X,searchquery=taxonomy:'C and C++' build:Build_Apr_13_2023_11_11_AM grouping:off ","KW Issue Link")</f>
        <v>KW Issue Link</v>
      </c>
      <c r="O1289" s="1" t="s">
        <v>291</v>
      </c>
    </row>
    <row r="1290" spans="1:15" ht="75" x14ac:dyDescent="0.25">
      <c r="A1290" s="1" t="s">
        <v>1266</v>
      </c>
      <c r="B1290" s="1"/>
      <c r="C1290" s="1" t="s">
        <v>444</v>
      </c>
      <c r="D1290" s="1">
        <v>120034</v>
      </c>
      <c r="E1290" s="1">
        <v>1101</v>
      </c>
      <c r="F1290" s="1" t="s">
        <v>1956</v>
      </c>
      <c r="G1290" s="1" t="s">
        <v>457</v>
      </c>
      <c r="H1290" s="1" t="s">
        <v>141</v>
      </c>
      <c r="I1290" s="1" t="s">
        <v>65</v>
      </c>
      <c r="J1290" s="1">
        <v>3</v>
      </c>
      <c r="K1290" s="1" t="s">
        <v>142</v>
      </c>
      <c r="L1290" s="1" t="s">
        <v>153</v>
      </c>
      <c r="M1290" s="1" t="s">
        <v>1256</v>
      </c>
      <c r="N1290" s="1" t="str">
        <f>HYPERLINK("https://klocwork.india.ti.com:443/review/insight-review.html#issuedetails_goto:problemid=120034,project=MCU_PLUS_SDK_AM263X,searchquery=taxonomy:'C and C++' build:Build_Apr_13_2023_11_11_AM grouping:off ","KW Issue Link")</f>
        <v>KW Issue Link</v>
      </c>
      <c r="O1290" s="1" t="s">
        <v>291</v>
      </c>
    </row>
    <row r="1291" spans="1:15" ht="75" x14ac:dyDescent="0.25">
      <c r="A1291" s="1" t="s">
        <v>1268</v>
      </c>
      <c r="B1291" s="1"/>
      <c r="C1291" s="1" t="s">
        <v>444</v>
      </c>
      <c r="D1291" s="1">
        <v>120035</v>
      </c>
      <c r="E1291" s="1">
        <v>197</v>
      </c>
      <c r="F1291" s="1" t="s">
        <v>1957</v>
      </c>
      <c r="G1291" s="1" t="s">
        <v>1935</v>
      </c>
      <c r="H1291" s="1" t="s">
        <v>141</v>
      </c>
      <c r="I1291" s="1" t="s">
        <v>65</v>
      </c>
      <c r="J1291" s="1">
        <v>3</v>
      </c>
      <c r="K1291" s="1" t="s">
        <v>142</v>
      </c>
      <c r="L1291" s="1" t="s">
        <v>153</v>
      </c>
      <c r="M1291" s="1" t="s">
        <v>1256</v>
      </c>
      <c r="N1291" s="1" t="str">
        <f>HYPERLINK("https://klocwork.india.ti.com:443/review/insight-review.html#issuedetails_goto:problemid=120035,project=MCU_PLUS_SDK_AM263X,searchquery=taxonomy:'C and C++' build:Build_Apr_13_2023_11_11_AM grouping:off ","KW Issue Link")</f>
        <v>KW Issue Link</v>
      </c>
      <c r="O1291" s="1" t="s">
        <v>291</v>
      </c>
    </row>
    <row r="1292" spans="1:15" ht="75" x14ac:dyDescent="0.25">
      <c r="A1292" s="1" t="s">
        <v>1268</v>
      </c>
      <c r="B1292" s="1"/>
      <c r="C1292" s="1" t="s">
        <v>444</v>
      </c>
      <c r="D1292" s="1">
        <v>120036</v>
      </c>
      <c r="E1292" s="1">
        <v>256</v>
      </c>
      <c r="F1292" s="1" t="s">
        <v>1958</v>
      </c>
      <c r="G1292" s="1" t="s">
        <v>445</v>
      </c>
      <c r="H1292" s="1" t="s">
        <v>141</v>
      </c>
      <c r="I1292" s="1" t="s">
        <v>65</v>
      </c>
      <c r="J1292" s="1">
        <v>3</v>
      </c>
      <c r="K1292" s="1" t="s">
        <v>142</v>
      </c>
      <c r="L1292" s="1" t="s">
        <v>153</v>
      </c>
      <c r="M1292" s="1" t="s">
        <v>1256</v>
      </c>
      <c r="N1292" s="1" t="str">
        <f>HYPERLINK("https://klocwork.india.ti.com:443/review/insight-review.html#issuedetails_goto:problemid=120036,project=MCU_PLUS_SDK_AM263X,searchquery=taxonomy:'C and C++' build:Build_Apr_13_2023_11_11_AM grouping:off ","KW Issue Link")</f>
        <v>KW Issue Link</v>
      </c>
      <c r="O1292" s="1" t="s">
        <v>291</v>
      </c>
    </row>
    <row r="1293" spans="1:15" ht="75" x14ac:dyDescent="0.25">
      <c r="A1293" s="1" t="s">
        <v>1268</v>
      </c>
      <c r="B1293" s="1"/>
      <c r="C1293" s="1" t="s">
        <v>444</v>
      </c>
      <c r="D1293" s="1">
        <v>120037</v>
      </c>
      <c r="E1293" s="1">
        <v>422</v>
      </c>
      <c r="F1293" s="1" t="s">
        <v>1959</v>
      </c>
      <c r="G1293" s="1" t="s">
        <v>1938</v>
      </c>
      <c r="H1293" s="1" t="s">
        <v>141</v>
      </c>
      <c r="I1293" s="1" t="s">
        <v>65</v>
      </c>
      <c r="J1293" s="1">
        <v>3</v>
      </c>
      <c r="K1293" s="1" t="s">
        <v>142</v>
      </c>
      <c r="L1293" s="1" t="s">
        <v>153</v>
      </c>
      <c r="M1293" s="1" t="s">
        <v>1256</v>
      </c>
      <c r="N1293" s="1" t="str">
        <f>HYPERLINK("https://klocwork.india.ti.com:443/review/insight-review.html#issuedetails_goto:problemid=120037,project=MCU_PLUS_SDK_AM263X,searchquery=taxonomy:'C and C++' build:Build_Apr_13_2023_11_11_AM grouping:off ","KW Issue Link")</f>
        <v>KW Issue Link</v>
      </c>
      <c r="O1293" s="1" t="s">
        <v>291</v>
      </c>
    </row>
    <row r="1294" spans="1:15" ht="75" x14ac:dyDescent="0.25">
      <c r="A1294" s="1" t="s">
        <v>1268</v>
      </c>
      <c r="B1294" s="1"/>
      <c r="C1294" s="1" t="s">
        <v>444</v>
      </c>
      <c r="D1294" s="1">
        <v>120038</v>
      </c>
      <c r="E1294" s="1">
        <v>612</v>
      </c>
      <c r="F1294" s="1" t="s">
        <v>1960</v>
      </c>
      <c r="G1294" s="1" t="s">
        <v>451</v>
      </c>
      <c r="H1294" s="1" t="s">
        <v>141</v>
      </c>
      <c r="I1294" s="1" t="s">
        <v>65</v>
      </c>
      <c r="J1294" s="1">
        <v>3</v>
      </c>
      <c r="K1294" s="1" t="s">
        <v>142</v>
      </c>
      <c r="L1294" s="1" t="s">
        <v>153</v>
      </c>
      <c r="M1294" s="1" t="s">
        <v>1256</v>
      </c>
      <c r="N1294" s="1" t="str">
        <f>HYPERLINK("https://klocwork.india.ti.com:443/review/insight-review.html#issuedetails_goto:problemid=120038,project=MCU_PLUS_SDK_AM263X,searchquery=taxonomy:'C and C++' build:Build_Apr_13_2023_11_11_AM grouping:off ","KW Issue Link")</f>
        <v>KW Issue Link</v>
      </c>
      <c r="O1294" s="1" t="s">
        <v>291</v>
      </c>
    </row>
    <row r="1295" spans="1:15" ht="75" x14ac:dyDescent="0.25">
      <c r="A1295" s="1" t="s">
        <v>1268</v>
      </c>
      <c r="B1295" s="1"/>
      <c r="C1295" s="1" t="s">
        <v>444</v>
      </c>
      <c r="D1295" s="1">
        <v>120039</v>
      </c>
      <c r="E1295" s="1">
        <v>641</v>
      </c>
      <c r="F1295" s="1" t="s">
        <v>1961</v>
      </c>
      <c r="G1295" s="1" t="s">
        <v>1940</v>
      </c>
      <c r="H1295" s="1" t="s">
        <v>141</v>
      </c>
      <c r="I1295" s="1" t="s">
        <v>65</v>
      </c>
      <c r="J1295" s="1">
        <v>3</v>
      </c>
      <c r="K1295" s="1" t="s">
        <v>142</v>
      </c>
      <c r="L1295" s="1" t="s">
        <v>153</v>
      </c>
      <c r="M1295" s="1" t="s">
        <v>1256</v>
      </c>
      <c r="N1295" s="1" t="str">
        <f>HYPERLINK("https://klocwork.india.ti.com:443/review/insight-review.html#issuedetails_goto:problemid=120039,project=MCU_PLUS_SDK_AM263X,searchquery=taxonomy:'C and C++' build:Build_Apr_13_2023_11_11_AM grouping:off ","KW Issue Link")</f>
        <v>KW Issue Link</v>
      </c>
      <c r="O1295" s="1" t="s">
        <v>291</v>
      </c>
    </row>
    <row r="1296" spans="1:15" ht="75" x14ac:dyDescent="0.25">
      <c r="A1296" s="1" t="s">
        <v>1268</v>
      </c>
      <c r="B1296" s="1"/>
      <c r="C1296" s="1" t="s">
        <v>444</v>
      </c>
      <c r="D1296" s="1">
        <v>120040</v>
      </c>
      <c r="E1296" s="1">
        <v>791</v>
      </c>
      <c r="F1296" s="1" t="s">
        <v>1962</v>
      </c>
      <c r="G1296" s="1" t="s">
        <v>455</v>
      </c>
      <c r="H1296" s="1" t="s">
        <v>141</v>
      </c>
      <c r="I1296" s="1" t="s">
        <v>65</v>
      </c>
      <c r="J1296" s="1">
        <v>3</v>
      </c>
      <c r="K1296" s="1" t="s">
        <v>142</v>
      </c>
      <c r="L1296" s="1" t="s">
        <v>153</v>
      </c>
      <c r="M1296" s="1" t="s">
        <v>1256</v>
      </c>
      <c r="N1296" s="1" t="str">
        <f>HYPERLINK("https://klocwork.india.ti.com:443/review/insight-review.html#issuedetails_goto:problemid=120040,project=MCU_PLUS_SDK_AM263X,searchquery=taxonomy:'C and C++' build:Build_Apr_13_2023_11_11_AM grouping:off ","KW Issue Link")</f>
        <v>KW Issue Link</v>
      </c>
      <c r="O1296" s="1" t="s">
        <v>291</v>
      </c>
    </row>
    <row r="1297" spans="1:15" ht="75" x14ac:dyDescent="0.25">
      <c r="A1297" s="1" t="s">
        <v>1268</v>
      </c>
      <c r="B1297" s="1"/>
      <c r="C1297" s="1" t="s">
        <v>444</v>
      </c>
      <c r="D1297" s="1">
        <v>120041</v>
      </c>
      <c r="E1297" s="1">
        <v>933</v>
      </c>
      <c r="F1297" s="1" t="s">
        <v>1963</v>
      </c>
      <c r="G1297" s="1" t="s">
        <v>1945</v>
      </c>
      <c r="H1297" s="1" t="s">
        <v>141</v>
      </c>
      <c r="I1297" s="1" t="s">
        <v>65</v>
      </c>
      <c r="J1297" s="1">
        <v>3</v>
      </c>
      <c r="K1297" s="1" t="s">
        <v>142</v>
      </c>
      <c r="L1297" s="1" t="s">
        <v>153</v>
      </c>
      <c r="M1297" s="1" t="s">
        <v>1256</v>
      </c>
      <c r="N1297" s="1" t="str">
        <f>HYPERLINK("https://klocwork.india.ti.com:443/review/insight-review.html#issuedetails_goto:problemid=120041,project=MCU_PLUS_SDK_AM263X,searchquery=taxonomy:'C and C++' build:Build_Apr_13_2023_11_11_AM grouping:off ","KW Issue Link")</f>
        <v>KW Issue Link</v>
      </c>
      <c r="O1297" s="1" t="s">
        <v>291</v>
      </c>
    </row>
    <row r="1298" spans="1:15" ht="75" x14ac:dyDescent="0.25">
      <c r="A1298" s="1" t="s">
        <v>1268</v>
      </c>
      <c r="B1298" s="1"/>
      <c r="C1298" s="1" t="s">
        <v>444</v>
      </c>
      <c r="D1298" s="1">
        <v>120042</v>
      </c>
      <c r="E1298" s="1">
        <v>1101</v>
      </c>
      <c r="F1298" s="1" t="s">
        <v>1964</v>
      </c>
      <c r="G1298" s="1" t="s">
        <v>457</v>
      </c>
      <c r="H1298" s="1" t="s">
        <v>141</v>
      </c>
      <c r="I1298" s="1" t="s">
        <v>65</v>
      </c>
      <c r="J1298" s="1">
        <v>3</v>
      </c>
      <c r="K1298" s="1" t="s">
        <v>142</v>
      </c>
      <c r="L1298" s="1" t="s">
        <v>153</v>
      </c>
      <c r="M1298" s="1" t="s">
        <v>1256</v>
      </c>
      <c r="N1298" s="1" t="str">
        <f>HYPERLINK("https://klocwork.india.ti.com:443/review/insight-review.html#issuedetails_goto:problemid=120042,project=MCU_PLUS_SDK_AM263X,searchquery=taxonomy:'C and C++' build:Build_Apr_13_2023_11_11_AM grouping:off ","KW Issue Link")</f>
        <v>KW Issue Link</v>
      </c>
      <c r="O1298" s="1" t="s">
        <v>291</v>
      </c>
    </row>
    <row r="1299" spans="1:15" ht="75" x14ac:dyDescent="0.25">
      <c r="A1299" s="1" t="s">
        <v>1252</v>
      </c>
      <c r="B1299" s="1"/>
      <c r="C1299" s="1" t="s">
        <v>444</v>
      </c>
      <c r="D1299" s="1">
        <v>120043</v>
      </c>
      <c r="E1299" s="1">
        <v>1101</v>
      </c>
      <c r="F1299" s="1" t="s">
        <v>1965</v>
      </c>
      <c r="G1299" s="1" t="s">
        <v>457</v>
      </c>
      <c r="H1299" s="1" t="s">
        <v>141</v>
      </c>
      <c r="I1299" s="1" t="s">
        <v>65</v>
      </c>
      <c r="J1299" s="1">
        <v>3</v>
      </c>
      <c r="K1299" s="1" t="s">
        <v>142</v>
      </c>
      <c r="L1299" s="1" t="s">
        <v>153</v>
      </c>
      <c r="M1299" s="1" t="s">
        <v>1256</v>
      </c>
      <c r="N1299" s="1" t="str">
        <f>HYPERLINK("https://klocwork.india.ti.com:443/review/insight-review.html#issuedetails_goto:problemid=120043,project=MCU_PLUS_SDK_AM263X,searchquery=taxonomy:'C and C++' build:Build_Apr_13_2023_11_11_AM grouping:off ","KW Issue Link")</f>
        <v>KW Issue Link</v>
      </c>
      <c r="O1299" s="1" t="s">
        <v>291</v>
      </c>
    </row>
    <row r="1300" spans="1:15" ht="75" x14ac:dyDescent="0.25">
      <c r="A1300" s="1" t="s">
        <v>1257</v>
      </c>
      <c r="B1300" s="1"/>
      <c r="C1300" s="1" t="s">
        <v>1966</v>
      </c>
      <c r="D1300" s="1">
        <v>120044</v>
      </c>
      <c r="E1300" s="1">
        <v>81</v>
      </c>
      <c r="F1300" s="1" t="s">
        <v>1967</v>
      </c>
      <c r="G1300" s="1" t="s">
        <v>1968</v>
      </c>
      <c r="H1300" s="1" t="s">
        <v>141</v>
      </c>
      <c r="I1300" s="1" t="s">
        <v>65</v>
      </c>
      <c r="J1300" s="1">
        <v>3</v>
      </c>
      <c r="K1300" s="1" t="s">
        <v>142</v>
      </c>
      <c r="L1300" s="1" t="s">
        <v>153</v>
      </c>
      <c r="M1300" s="1" t="s">
        <v>1256</v>
      </c>
      <c r="N1300" s="1" t="str">
        <f>HYPERLINK("https://klocwork.india.ti.com:443/review/insight-review.html#issuedetails_goto:problemid=120044,project=MCU_PLUS_SDK_AM263X,searchquery=taxonomy:'C and C++' build:Build_Apr_13_2023_11_11_AM grouping:off ","KW Issue Link")</f>
        <v>KW Issue Link</v>
      </c>
      <c r="O1300" s="1" t="s">
        <v>291</v>
      </c>
    </row>
    <row r="1301" spans="1:15" ht="75" x14ac:dyDescent="0.25">
      <c r="A1301" s="1" t="s">
        <v>1257</v>
      </c>
      <c r="B1301" s="1"/>
      <c r="C1301" s="1" t="s">
        <v>1966</v>
      </c>
      <c r="D1301" s="1">
        <v>120045</v>
      </c>
      <c r="E1301" s="1">
        <v>270</v>
      </c>
      <c r="F1301" s="1" t="s">
        <v>1969</v>
      </c>
      <c r="G1301" s="1" t="s">
        <v>1970</v>
      </c>
      <c r="H1301" s="1" t="s">
        <v>141</v>
      </c>
      <c r="I1301" s="1" t="s">
        <v>65</v>
      </c>
      <c r="J1301" s="1">
        <v>3</v>
      </c>
      <c r="K1301" s="1" t="s">
        <v>142</v>
      </c>
      <c r="L1301" s="1" t="s">
        <v>153</v>
      </c>
      <c r="M1301" s="1" t="s">
        <v>1256</v>
      </c>
      <c r="N1301" s="1" t="str">
        <f>HYPERLINK("https://klocwork.india.ti.com:443/review/insight-review.html#issuedetails_goto:problemid=120045,project=MCU_PLUS_SDK_AM263X,searchquery=taxonomy:'C and C++' build:Build_Apr_13_2023_11_11_AM grouping:off ","KW Issue Link")</f>
        <v>KW Issue Link</v>
      </c>
      <c r="O1301" s="1" t="s">
        <v>291</v>
      </c>
    </row>
    <row r="1302" spans="1:15" ht="75" x14ac:dyDescent="0.25">
      <c r="A1302" s="1" t="s">
        <v>1266</v>
      </c>
      <c r="B1302" s="1"/>
      <c r="C1302" s="1" t="s">
        <v>1966</v>
      </c>
      <c r="D1302" s="1">
        <v>120046</v>
      </c>
      <c r="E1302" s="1">
        <v>81</v>
      </c>
      <c r="F1302" s="1" t="s">
        <v>1971</v>
      </c>
      <c r="G1302" s="1" t="s">
        <v>1968</v>
      </c>
      <c r="H1302" s="1" t="s">
        <v>141</v>
      </c>
      <c r="I1302" s="1" t="s">
        <v>65</v>
      </c>
      <c r="J1302" s="1">
        <v>3</v>
      </c>
      <c r="K1302" s="1" t="s">
        <v>142</v>
      </c>
      <c r="L1302" s="1" t="s">
        <v>153</v>
      </c>
      <c r="M1302" s="1" t="s">
        <v>1256</v>
      </c>
      <c r="N1302" s="1" t="str">
        <f>HYPERLINK("https://klocwork.india.ti.com:443/review/insight-review.html#issuedetails_goto:problemid=120046,project=MCU_PLUS_SDK_AM263X,searchquery=taxonomy:'C and C++' build:Build_Apr_13_2023_11_11_AM grouping:off ","KW Issue Link")</f>
        <v>KW Issue Link</v>
      </c>
      <c r="O1302" s="1" t="s">
        <v>291</v>
      </c>
    </row>
    <row r="1303" spans="1:15" ht="75" x14ac:dyDescent="0.25">
      <c r="A1303" s="1" t="s">
        <v>1266</v>
      </c>
      <c r="B1303" s="1"/>
      <c r="C1303" s="1" t="s">
        <v>1966</v>
      </c>
      <c r="D1303" s="1">
        <v>120047</v>
      </c>
      <c r="E1303" s="1">
        <v>270</v>
      </c>
      <c r="F1303" s="1" t="s">
        <v>1972</v>
      </c>
      <c r="G1303" s="1" t="s">
        <v>1970</v>
      </c>
      <c r="H1303" s="1" t="s">
        <v>141</v>
      </c>
      <c r="I1303" s="1" t="s">
        <v>65</v>
      </c>
      <c r="J1303" s="1">
        <v>3</v>
      </c>
      <c r="K1303" s="1" t="s">
        <v>142</v>
      </c>
      <c r="L1303" s="1" t="s">
        <v>153</v>
      </c>
      <c r="M1303" s="1" t="s">
        <v>1256</v>
      </c>
      <c r="N1303" s="1" t="str">
        <f>HYPERLINK("https://klocwork.india.ti.com:443/review/insight-review.html#issuedetails_goto:problemid=120047,project=MCU_PLUS_SDK_AM263X,searchquery=taxonomy:'C and C++' build:Build_Apr_13_2023_11_11_AM grouping:off ","KW Issue Link")</f>
        <v>KW Issue Link</v>
      </c>
      <c r="O1303" s="1" t="s">
        <v>291</v>
      </c>
    </row>
    <row r="1304" spans="1:15" ht="75" x14ac:dyDescent="0.25">
      <c r="A1304" s="1" t="s">
        <v>1268</v>
      </c>
      <c r="B1304" s="1"/>
      <c r="C1304" s="1" t="s">
        <v>1966</v>
      </c>
      <c r="D1304" s="1">
        <v>120048</v>
      </c>
      <c r="E1304" s="1">
        <v>81</v>
      </c>
      <c r="F1304" s="1" t="s">
        <v>1973</v>
      </c>
      <c r="G1304" s="1" t="s">
        <v>1968</v>
      </c>
      <c r="H1304" s="1" t="s">
        <v>141</v>
      </c>
      <c r="I1304" s="1" t="s">
        <v>65</v>
      </c>
      <c r="J1304" s="1">
        <v>3</v>
      </c>
      <c r="K1304" s="1" t="s">
        <v>142</v>
      </c>
      <c r="L1304" s="1" t="s">
        <v>153</v>
      </c>
      <c r="M1304" s="1" t="s">
        <v>1256</v>
      </c>
      <c r="N1304" s="1" t="str">
        <f>HYPERLINK("https://klocwork.india.ti.com:443/review/insight-review.html#issuedetails_goto:problemid=120048,project=MCU_PLUS_SDK_AM263X,searchquery=taxonomy:'C and C++' build:Build_Apr_13_2023_11_11_AM grouping:off ","KW Issue Link")</f>
        <v>KW Issue Link</v>
      </c>
      <c r="O1304" s="1" t="s">
        <v>291</v>
      </c>
    </row>
    <row r="1305" spans="1:15" ht="60" x14ac:dyDescent="0.25">
      <c r="A1305" s="1" t="s">
        <v>1266</v>
      </c>
      <c r="B1305" s="1"/>
      <c r="C1305" s="1" t="s">
        <v>1974</v>
      </c>
      <c r="D1305" s="1">
        <v>120050</v>
      </c>
      <c r="E1305" s="1">
        <v>180</v>
      </c>
      <c r="F1305" s="1" t="s">
        <v>1975</v>
      </c>
      <c r="G1305" s="1" t="s">
        <v>1976</v>
      </c>
      <c r="H1305" s="1" t="s">
        <v>141</v>
      </c>
      <c r="I1305" s="1" t="s">
        <v>65</v>
      </c>
      <c r="J1305" s="1">
        <v>3</v>
      </c>
      <c r="K1305" s="1" t="s">
        <v>142</v>
      </c>
      <c r="L1305" s="1" t="s">
        <v>153</v>
      </c>
      <c r="M1305" s="1" t="s">
        <v>1256</v>
      </c>
      <c r="N1305" s="1" t="str">
        <f>HYPERLINK("https://klocwork.india.ti.com:443/review/insight-review.html#issuedetails_goto:problemid=120050,project=MCU_PLUS_SDK_AM263X,searchquery=taxonomy:'C and C++' build:Build_Apr_13_2023_11_11_AM grouping:off ","KW Issue Link")</f>
        <v>KW Issue Link</v>
      </c>
      <c r="O1305" s="1" t="s">
        <v>271</v>
      </c>
    </row>
    <row r="1306" spans="1:15" ht="60" x14ac:dyDescent="0.25">
      <c r="A1306" s="1" t="s">
        <v>1266</v>
      </c>
      <c r="B1306" s="1"/>
      <c r="C1306" s="1" t="s">
        <v>1974</v>
      </c>
      <c r="D1306" s="1">
        <v>120051</v>
      </c>
      <c r="E1306" s="1">
        <v>377</v>
      </c>
      <c r="F1306" s="1" t="s">
        <v>1977</v>
      </c>
      <c r="G1306" s="1" t="s">
        <v>1978</v>
      </c>
      <c r="H1306" s="1" t="s">
        <v>141</v>
      </c>
      <c r="I1306" s="1" t="s">
        <v>65</v>
      </c>
      <c r="J1306" s="1">
        <v>3</v>
      </c>
      <c r="K1306" s="1" t="s">
        <v>142</v>
      </c>
      <c r="L1306" s="1" t="s">
        <v>153</v>
      </c>
      <c r="M1306" s="1" t="s">
        <v>1256</v>
      </c>
      <c r="N1306" s="1" t="str">
        <f>HYPERLINK("https://klocwork.india.ti.com:443/review/insight-review.html#issuedetails_goto:problemid=120051,project=MCU_PLUS_SDK_AM263X,searchquery=taxonomy:'C and C++' build:Build_Apr_13_2023_11_11_AM grouping:off ","KW Issue Link")</f>
        <v>KW Issue Link</v>
      </c>
      <c r="O1306" s="1" t="s">
        <v>271</v>
      </c>
    </row>
    <row r="1307" spans="1:15" ht="75" x14ac:dyDescent="0.25">
      <c r="A1307" s="1" t="s">
        <v>1268</v>
      </c>
      <c r="B1307" s="1"/>
      <c r="C1307" s="1" t="s">
        <v>1974</v>
      </c>
      <c r="D1307" s="1">
        <v>120052</v>
      </c>
      <c r="E1307" s="1">
        <v>377</v>
      </c>
      <c r="F1307" s="1" t="s">
        <v>1979</v>
      </c>
      <c r="G1307" s="1" t="s">
        <v>1978</v>
      </c>
      <c r="H1307" s="1" t="s">
        <v>141</v>
      </c>
      <c r="I1307" s="1" t="s">
        <v>65</v>
      </c>
      <c r="J1307" s="1">
        <v>3</v>
      </c>
      <c r="K1307" s="1" t="s">
        <v>142</v>
      </c>
      <c r="L1307" s="1" t="s">
        <v>153</v>
      </c>
      <c r="M1307" s="1" t="s">
        <v>1256</v>
      </c>
      <c r="N1307" s="1" t="str">
        <f>HYPERLINK("https://klocwork.india.ti.com:443/review/insight-review.html#issuedetails_goto:problemid=120052,project=MCU_PLUS_SDK_AM263X,searchquery=taxonomy:'C and C++' build:Build_Apr_13_2023_11_11_AM grouping:off ","KW Issue Link")</f>
        <v>KW Issue Link</v>
      </c>
      <c r="O1307" s="1" t="s">
        <v>271</v>
      </c>
    </row>
    <row r="1308" spans="1:15" ht="60" x14ac:dyDescent="0.25">
      <c r="A1308" s="1" t="s">
        <v>1266</v>
      </c>
      <c r="B1308" s="1"/>
      <c r="C1308" s="1" t="s">
        <v>269</v>
      </c>
      <c r="D1308" s="1">
        <v>120053</v>
      </c>
      <c r="E1308" s="1">
        <v>202</v>
      </c>
      <c r="F1308" s="1" t="s">
        <v>1980</v>
      </c>
      <c r="G1308" s="1" t="s">
        <v>1981</v>
      </c>
      <c r="H1308" s="1" t="s">
        <v>141</v>
      </c>
      <c r="I1308" s="1" t="s">
        <v>65</v>
      </c>
      <c r="J1308" s="1">
        <v>3</v>
      </c>
      <c r="K1308" s="1" t="s">
        <v>142</v>
      </c>
      <c r="L1308" s="1" t="s">
        <v>153</v>
      </c>
      <c r="M1308" s="1" t="s">
        <v>1256</v>
      </c>
      <c r="N1308" s="1" t="str">
        <f>HYPERLINK("https://klocwork.india.ti.com:443/review/insight-review.html#issuedetails_goto:problemid=120053,project=MCU_PLUS_SDK_AM263X,searchquery=taxonomy:'C and C++' build:Build_Apr_13_2023_11_11_AM grouping:off ","KW Issue Link")</f>
        <v>KW Issue Link</v>
      </c>
      <c r="O1308" s="1" t="s">
        <v>271</v>
      </c>
    </row>
    <row r="1309" spans="1:15" ht="60" x14ac:dyDescent="0.25">
      <c r="A1309" s="1" t="s">
        <v>1266</v>
      </c>
      <c r="B1309" s="1"/>
      <c r="C1309" s="1" t="s">
        <v>269</v>
      </c>
      <c r="D1309" s="1">
        <v>120054</v>
      </c>
      <c r="E1309" s="1">
        <v>621</v>
      </c>
      <c r="F1309" s="1" t="s">
        <v>1982</v>
      </c>
      <c r="G1309" s="1" t="s">
        <v>1983</v>
      </c>
      <c r="H1309" s="1" t="s">
        <v>141</v>
      </c>
      <c r="I1309" s="1" t="s">
        <v>65</v>
      </c>
      <c r="J1309" s="1">
        <v>3</v>
      </c>
      <c r="K1309" s="1" t="s">
        <v>142</v>
      </c>
      <c r="L1309" s="1" t="s">
        <v>153</v>
      </c>
      <c r="M1309" s="1" t="s">
        <v>1256</v>
      </c>
      <c r="N1309" s="1" t="str">
        <f>HYPERLINK("https://klocwork.india.ti.com:443/review/insight-review.html#issuedetails_goto:problemid=120054,project=MCU_PLUS_SDK_AM263X,searchquery=taxonomy:'C and C++' build:Build_Apr_13_2023_11_11_AM grouping:off ","KW Issue Link")</f>
        <v>KW Issue Link</v>
      </c>
      <c r="O1309" s="1" t="s">
        <v>271</v>
      </c>
    </row>
    <row r="1310" spans="1:15" ht="60" x14ac:dyDescent="0.25">
      <c r="A1310" s="1" t="s">
        <v>1266</v>
      </c>
      <c r="B1310" s="1"/>
      <c r="C1310" s="1" t="s">
        <v>1984</v>
      </c>
      <c r="D1310" s="1">
        <v>120055</v>
      </c>
      <c r="E1310" s="1">
        <v>56</v>
      </c>
      <c r="F1310" s="1" t="s">
        <v>1985</v>
      </c>
      <c r="G1310" s="1" t="s">
        <v>1986</v>
      </c>
      <c r="H1310" s="1" t="s">
        <v>141</v>
      </c>
      <c r="I1310" s="1" t="s">
        <v>65</v>
      </c>
      <c r="J1310" s="1">
        <v>3</v>
      </c>
      <c r="K1310" s="1" t="s">
        <v>142</v>
      </c>
      <c r="L1310" s="1" t="s">
        <v>153</v>
      </c>
      <c r="M1310" s="1" t="s">
        <v>1256</v>
      </c>
      <c r="N1310" s="1" t="str">
        <f>HYPERLINK("https://klocwork.india.ti.com:443/review/insight-review.html#issuedetails_goto:problemid=120055,project=MCU_PLUS_SDK_AM263X,searchquery=taxonomy:'C and C++' build:Build_Apr_13_2023_11_11_AM grouping:off ","KW Issue Link")</f>
        <v>KW Issue Link</v>
      </c>
      <c r="O1310" s="1" t="s">
        <v>287</v>
      </c>
    </row>
    <row r="1311" spans="1:15" ht="60" x14ac:dyDescent="0.25">
      <c r="A1311" s="1" t="s">
        <v>1257</v>
      </c>
      <c r="B1311" s="1"/>
      <c r="C1311" s="1" t="s">
        <v>284</v>
      </c>
      <c r="D1311" s="1">
        <v>120056</v>
      </c>
      <c r="E1311" s="1">
        <v>6047</v>
      </c>
      <c r="F1311" s="1" t="s">
        <v>1987</v>
      </c>
      <c r="G1311" s="1" t="s">
        <v>1988</v>
      </c>
      <c r="H1311" s="1" t="s">
        <v>141</v>
      </c>
      <c r="I1311" s="1" t="s">
        <v>65</v>
      </c>
      <c r="J1311" s="1">
        <v>3</v>
      </c>
      <c r="K1311" s="1" t="s">
        <v>142</v>
      </c>
      <c r="L1311" s="1" t="s">
        <v>153</v>
      </c>
      <c r="M1311" s="1" t="s">
        <v>1256</v>
      </c>
      <c r="N1311" s="1" t="str">
        <f>HYPERLINK("https://klocwork.india.ti.com:443/review/insight-review.html#issuedetails_goto:problemid=120056,project=MCU_PLUS_SDK_AM263X,searchquery=taxonomy:'C and C++' build:Build_Apr_13_2023_11_11_AM grouping:off ","KW Issue Link")</f>
        <v>KW Issue Link</v>
      </c>
      <c r="O1311" s="1" t="s">
        <v>287</v>
      </c>
    </row>
    <row r="1312" spans="1:15" ht="60" x14ac:dyDescent="0.25">
      <c r="A1312" s="1" t="s">
        <v>1257</v>
      </c>
      <c r="B1312" s="1"/>
      <c r="C1312" s="1" t="s">
        <v>284</v>
      </c>
      <c r="D1312" s="1">
        <v>120057</v>
      </c>
      <c r="E1312" s="1">
        <v>9784</v>
      </c>
      <c r="F1312" s="1" t="s">
        <v>1989</v>
      </c>
      <c r="G1312" s="1" t="s">
        <v>1990</v>
      </c>
      <c r="H1312" s="1" t="s">
        <v>141</v>
      </c>
      <c r="I1312" s="1" t="s">
        <v>65</v>
      </c>
      <c r="J1312" s="1">
        <v>3</v>
      </c>
      <c r="K1312" s="1" t="s">
        <v>142</v>
      </c>
      <c r="L1312" s="1" t="s">
        <v>153</v>
      </c>
      <c r="M1312" s="1" t="s">
        <v>1256</v>
      </c>
      <c r="N1312" s="1" t="str">
        <f>HYPERLINK("https://klocwork.india.ti.com:443/review/insight-review.html#issuedetails_goto:problemid=120057,project=MCU_PLUS_SDK_AM263X,searchquery=taxonomy:'C and C++' build:Build_Apr_13_2023_11_11_AM grouping:off ","KW Issue Link")</f>
        <v>KW Issue Link</v>
      </c>
      <c r="O1312" s="1" t="s">
        <v>287</v>
      </c>
    </row>
    <row r="1313" spans="1:15" ht="75" x14ac:dyDescent="0.25">
      <c r="A1313" s="1" t="s">
        <v>1266</v>
      </c>
      <c r="B1313" s="1"/>
      <c r="C1313" s="1" t="s">
        <v>1071</v>
      </c>
      <c r="D1313" s="1">
        <v>120060</v>
      </c>
      <c r="E1313" s="1">
        <v>315</v>
      </c>
      <c r="F1313" s="1" t="s">
        <v>1991</v>
      </c>
      <c r="G1313" s="1" t="s">
        <v>1992</v>
      </c>
      <c r="H1313" s="1" t="s">
        <v>141</v>
      </c>
      <c r="I1313" s="1" t="s">
        <v>65</v>
      </c>
      <c r="J1313" s="1">
        <v>3</v>
      </c>
      <c r="K1313" s="1" t="s">
        <v>142</v>
      </c>
      <c r="L1313" s="1" t="s">
        <v>153</v>
      </c>
      <c r="M1313" s="1" t="s">
        <v>1256</v>
      </c>
      <c r="N1313" s="1" t="str">
        <f>HYPERLINK("https://klocwork.india.ti.com:443/review/insight-review.html#issuedetails_goto:problemid=120060,project=MCU_PLUS_SDK_AM263X,searchquery=taxonomy:'C and C++' build:Build_Apr_13_2023_11_11_AM grouping:off ","KW Issue Link")</f>
        <v>KW Issue Link</v>
      </c>
      <c r="O1313" s="1" t="s">
        <v>217</v>
      </c>
    </row>
    <row r="1314" spans="1:15" ht="75" x14ac:dyDescent="0.25">
      <c r="A1314" s="1" t="s">
        <v>1252</v>
      </c>
      <c r="B1314" s="1"/>
      <c r="C1314" s="1" t="s">
        <v>1993</v>
      </c>
      <c r="D1314" s="1">
        <v>120061</v>
      </c>
      <c r="E1314" s="1">
        <v>72</v>
      </c>
      <c r="F1314" s="1" t="s">
        <v>1994</v>
      </c>
      <c r="G1314" s="1" t="s">
        <v>1232</v>
      </c>
      <c r="H1314" s="1" t="s">
        <v>141</v>
      </c>
      <c r="I1314" s="1" t="s">
        <v>65</v>
      </c>
      <c r="J1314" s="1">
        <v>3</v>
      </c>
      <c r="K1314" s="1" t="s">
        <v>142</v>
      </c>
      <c r="L1314" s="1" t="s">
        <v>153</v>
      </c>
      <c r="M1314" s="1" t="s">
        <v>1256</v>
      </c>
      <c r="N1314" s="1" t="str">
        <f>HYPERLINK("https://klocwork.india.ti.com:443/review/insight-review.html#issuedetails_goto:problemid=120061,project=MCU_PLUS_SDK_AM263X,searchquery=taxonomy:'C and C++' build:Build_Apr_13_2023_11_11_AM grouping:off ","KW Issue Link")</f>
        <v>KW Issue Link</v>
      </c>
      <c r="O1314" s="1" t="s">
        <v>1995</v>
      </c>
    </row>
    <row r="1315" spans="1:15" ht="60" x14ac:dyDescent="0.25">
      <c r="A1315" s="1" t="s">
        <v>1252</v>
      </c>
      <c r="B1315" s="1"/>
      <c r="C1315" s="1" t="s">
        <v>1231</v>
      </c>
      <c r="D1315" s="1">
        <v>120062</v>
      </c>
      <c r="E1315" s="1">
        <v>74</v>
      </c>
      <c r="F1315" s="1" t="s">
        <v>1994</v>
      </c>
      <c r="G1315" s="1" t="s">
        <v>1232</v>
      </c>
      <c r="H1315" s="1" t="s">
        <v>141</v>
      </c>
      <c r="I1315" s="1" t="s">
        <v>65</v>
      </c>
      <c r="J1315" s="1">
        <v>3</v>
      </c>
      <c r="K1315" s="1" t="s">
        <v>142</v>
      </c>
      <c r="L1315" s="1" t="s">
        <v>153</v>
      </c>
      <c r="M1315" s="1" t="s">
        <v>1256</v>
      </c>
      <c r="N1315" s="1" t="str">
        <f>HYPERLINK("https://klocwork.india.ti.com:443/review/insight-review.html#issuedetails_goto:problemid=120062,project=MCU_PLUS_SDK_AM263X,searchquery=taxonomy:'C and C++' build:Build_Apr_13_2023_11_11_AM grouping:off ","KW Issue Link")</f>
        <v>KW Issue Link</v>
      </c>
      <c r="O1315" s="1" t="s">
        <v>144</v>
      </c>
    </row>
    <row r="1316" spans="1:15" ht="60" x14ac:dyDescent="0.25">
      <c r="A1316" s="1" t="s">
        <v>1252</v>
      </c>
      <c r="B1316" s="1"/>
      <c r="C1316" s="1" t="s">
        <v>1107</v>
      </c>
      <c r="D1316" s="1">
        <v>120063</v>
      </c>
      <c r="E1316" s="1">
        <v>64</v>
      </c>
      <c r="F1316" s="1" t="s">
        <v>1996</v>
      </c>
      <c r="G1316" s="1" t="s">
        <v>1997</v>
      </c>
      <c r="H1316" s="1" t="s">
        <v>141</v>
      </c>
      <c r="I1316" s="1" t="s">
        <v>65</v>
      </c>
      <c r="J1316" s="1">
        <v>3</v>
      </c>
      <c r="K1316" s="1" t="s">
        <v>142</v>
      </c>
      <c r="L1316" s="1" t="s">
        <v>153</v>
      </c>
      <c r="M1316" s="1" t="s">
        <v>1256</v>
      </c>
      <c r="N1316" s="1" t="str">
        <f>HYPERLINK("https://klocwork.india.ti.com:443/review/insight-review.html#issuedetails_goto:problemid=120063,project=MCU_PLUS_SDK_AM263X,searchquery=taxonomy:'C and C++' build:Build_Apr_13_2023_11_11_AM grouping:off ","KW Issue Link")</f>
        <v>KW Issue Link</v>
      </c>
      <c r="O1316" s="1" t="s">
        <v>271</v>
      </c>
    </row>
    <row r="1317" spans="1:15" ht="60" x14ac:dyDescent="0.25">
      <c r="A1317" s="1" t="s">
        <v>1252</v>
      </c>
      <c r="B1317" s="1"/>
      <c r="C1317" s="1" t="s">
        <v>1107</v>
      </c>
      <c r="D1317" s="1">
        <v>120064</v>
      </c>
      <c r="E1317" s="1">
        <v>83</v>
      </c>
      <c r="F1317" s="1" t="s">
        <v>1998</v>
      </c>
      <c r="G1317" s="1" t="s">
        <v>1999</v>
      </c>
      <c r="H1317" s="1" t="s">
        <v>141</v>
      </c>
      <c r="I1317" s="1" t="s">
        <v>65</v>
      </c>
      <c r="J1317" s="1">
        <v>3</v>
      </c>
      <c r="K1317" s="1" t="s">
        <v>142</v>
      </c>
      <c r="L1317" s="1" t="s">
        <v>153</v>
      </c>
      <c r="M1317" s="1" t="s">
        <v>1256</v>
      </c>
      <c r="N1317" s="1" t="str">
        <f>HYPERLINK("https://klocwork.india.ti.com:443/review/insight-review.html#issuedetails_goto:problemid=120064,project=MCU_PLUS_SDK_AM263X,searchquery=taxonomy:'C and C++' build:Build_Apr_13_2023_11_11_AM grouping:off ","KW Issue Link")</f>
        <v>KW Issue Link</v>
      </c>
      <c r="O1317" s="1" t="s">
        <v>271</v>
      </c>
    </row>
    <row r="1318" spans="1:15" ht="60" x14ac:dyDescent="0.25">
      <c r="A1318" s="1" t="s">
        <v>1268</v>
      </c>
      <c r="B1318" s="1"/>
      <c r="C1318" s="1" t="s">
        <v>1107</v>
      </c>
      <c r="D1318" s="1">
        <v>120065</v>
      </c>
      <c r="E1318" s="1">
        <v>178</v>
      </c>
      <c r="F1318" s="1" t="s">
        <v>2000</v>
      </c>
      <c r="G1318" s="1" t="s">
        <v>1108</v>
      </c>
      <c r="H1318" s="1" t="s">
        <v>141</v>
      </c>
      <c r="I1318" s="1" t="s">
        <v>65</v>
      </c>
      <c r="J1318" s="1">
        <v>3</v>
      </c>
      <c r="K1318" s="1" t="s">
        <v>142</v>
      </c>
      <c r="L1318" s="1" t="s">
        <v>153</v>
      </c>
      <c r="M1318" s="1" t="s">
        <v>1256</v>
      </c>
      <c r="N1318" s="1" t="str">
        <f>HYPERLINK("https://klocwork.india.ti.com:443/review/insight-review.html#issuedetails_goto:problemid=120065,project=MCU_PLUS_SDK_AM263X,searchquery=taxonomy:'C and C++' build:Build_Apr_13_2023_11_11_AM grouping:off ","KW Issue Link")</f>
        <v>KW Issue Link</v>
      </c>
      <c r="O1318" s="1" t="s">
        <v>271</v>
      </c>
    </row>
    <row r="1319" spans="1:15" ht="60" x14ac:dyDescent="0.25">
      <c r="A1319" s="1" t="s">
        <v>1268</v>
      </c>
      <c r="B1319" s="1"/>
      <c r="C1319" s="1" t="s">
        <v>1107</v>
      </c>
      <c r="D1319" s="1">
        <v>120066</v>
      </c>
      <c r="E1319" s="1">
        <v>569</v>
      </c>
      <c r="F1319" s="1" t="s">
        <v>2001</v>
      </c>
      <c r="G1319" s="1" t="s">
        <v>2002</v>
      </c>
      <c r="H1319" s="1" t="s">
        <v>141</v>
      </c>
      <c r="I1319" s="1" t="s">
        <v>65</v>
      </c>
      <c r="J1319" s="1">
        <v>3</v>
      </c>
      <c r="K1319" s="1" t="s">
        <v>142</v>
      </c>
      <c r="L1319" s="1" t="s">
        <v>153</v>
      </c>
      <c r="M1319" s="1" t="s">
        <v>1256</v>
      </c>
      <c r="N1319" s="1" t="str">
        <f>HYPERLINK("https://klocwork.india.ti.com:443/review/insight-review.html#issuedetails_goto:problemid=120066,project=MCU_PLUS_SDK_AM263X,searchquery=taxonomy:'C and C++' build:Build_Apr_13_2023_11_11_AM grouping:off ","KW Issue Link")</f>
        <v>KW Issue Link</v>
      </c>
      <c r="O1319" s="1" t="s">
        <v>271</v>
      </c>
    </row>
    <row r="1320" spans="1:15" ht="60" x14ac:dyDescent="0.25">
      <c r="A1320" s="1" t="s">
        <v>1268</v>
      </c>
      <c r="B1320" s="1"/>
      <c r="C1320" s="1" t="s">
        <v>1107</v>
      </c>
      <c r="D1320" s="1">
        <v>120067</v>
      </c>
      <c r="E1320" s="1">
        <v>641</v>
      </c>
      <c r="F1320" s="1" t="s">
        <v>2003</v>
      </c>
      <c r="G1320" s="1" t="s">
        <v>2004</v>
      </c>
      <c r="H1320" s="1" t="s">
        <v>141</v>
      </c>
      <c r="I1320" s="1" t="s">
        <v>65</v>
      </c>
      <c r="J1320" s="1">
        <v>3</v>
      </c>
      <c r="K1320" s="1" t="s">
        <v>142</v>
      </c>
      <c r="L1320" s="1" t="s">
        <v>153</v>
      </c>
      <c r="M1320" s="1" t="s">
        <v>1256</v>
      </c>
      <c r="N1320" s="1" t="str">
        <f>HYPERLINK("https://klocwork.india.ti.com:443/review/insight-review.html#issuedetails_goto:problemid=120067,project=MCU_PLUS_SDK_AM263X,searchquery=taxonomy:'C and C++' build:Build_Apr_13_2023_11_11_AM grouping:off ","KW Issue Link")</f>
        <v>KW Issue Link</v>
      </c>
      <c r="O1320" s="1" t="s">
        <v>271</v>
      </c>
    </row>
    <row r="1321" spans="1:15" ht="60" x14ac:dyDescent="0.25">
      <c r="A1321" s="1" t="s">
        <v>1268</v>
      </c>
      <c r="B1321" s="1"/>
      <c r="C1321" s="1" t="s">
        <v>1107</v>
      </c>
      <c r="D1321" s="1">
        <v>120068</v>
      </c>
      <c r="E1321" s="1">
        <v>695</v>
      </c>
      <c r="F1321" s="1" t="s">
        <v>2005</v>
      </c>
      <c r="G1321" s="1" t="s">
        <v>2006</v>
      </c>
      <c r="H1321" s="1" t="s">
        <v>141</v>
      </c>
      <c r="I1321" s="1" t="s">
        <v>65</v>
      </c>
      <c r="J1321" s="1">
        <v>3</v>
      </c>
      <c r="K1321" s="1" t="s">
        <v>142</v>
      </c>
      <c r="L1321" s="1" t="s">
        <v>153</v>
      </c>
      <c r="M1321" s="1" t="s">
        <v>1256</v>
      </c>
      <c r="N1321" s="1" t="str">
        <f>HYPERLINK("https://klocwork.india.ti.com:443/review/insight-review.html#issuedetails_goto:problemid=120068,project=MCU_PLUS_SDK_AM263X,searchquery=taxonomy:'C and C++' build:Build_Apr_13_2023_11_11_AM grouping:off ","KW Issue Link")</f>
        <v>KW Issue Link</v>
      </c>
      <c r="O1321" s="1" t="s">
        <v>271</v>
      </c>
    </row>
    <row r="1322" spans="1:15" ht="60" x14ac:dyDescent="0.25">
      <c r="A1322" s="1" t="s">
        <v>1268</v>
      </c>
      <c r="B1322" s="1"/>
      <c r="C1322" s="1" t="s">
        <v>1107</v>
      </c>
      <c r="D1322" s="1">
        <v>120069</v>
      </c>
      <c r="E1322" s="1">
        <v>750</v>
      </c>
      <c r="F1322" s="1" t="s">
        <v>2007</v>
      </c>
      <c r="G1322" s="1" t="s">
        <v>2008</v>
      </c>
      <c r="H1322" s="1" t="s">
        <v>141</v>
      </c>
      <c r="I1322" s="1" t="s">
        <v>65</v>
      </c>
      <c r="J1322" s="1">
        <v>3</v>
      </c>
      <c r="K1322" s="1" t="s">
        <v>142</v>
      </c>
      <c r="L1322" s="1" t="s">
        <v>153</v>
      </c>
      <c r="M1322" s="1" t="s">
        <v>1256</v>
      </c>
      <c r="N1322" s="1" t="str">
        <f>HYPERLINK("https://klocwork.india.ti.com:443/review/insight-review.html#issuedetails_goto:problemid=120069,project=MCU_PLUS_SDK_AM263X,searchquery=taxonomy:'C and C++' build:Build_Apr_13_2023_11_11_AM grouping:off ","KW Issue Link")</f>
        <v>KW Issue Link</v>
      </c>
      <c r="O1322" s="1" t="s">
        <v>271</v>
      </c>
    </row>
    <row r="1323" spans="1:15" ht="60" x14ac:dyDescent="0.25">
      <c r="A1323" s="1" t="s">
        <v>1266</v>
      </c>
      <c r="B1323" s="1"/>
      <c r="C1323" s="1" t="s">
        <v>1107</v>
      </c>
      <c r="D1323" s="1">
        <v>120070</v>
      </c>
      <c r="E1323" s="1">
        <v>275</v>
      </c>
      <c r="F1323" s="1" t="s">
        <v>2009</v>
      </c>
      <c r="G1323" s="1" t="s">
        <v>2010</v>
      </c>
      <c r="H1323" s="1" t="s">
        <v>141</v>
      </c>
      <c r="I1323" s="1" t="s">
        <v>65</v>
      </c>
      <c r="J1323" s="1">
        <v>3</v>
      </c>
      <c r="K1323" s="1" t="s">
        <v>142</v>
      </c>
      <c r="L1323" s="1" t="s">
        <v>153</v>
      </c>
      <c r="M1323" s="1" t="s">
        <v>1256</v>
      </c>
      <c r="N1323" s="1" t="str">
        <f>HYPERLINK("https://klocwork.india.ti.com:443/review/insight-review.html#issuedetails_goto:problemid=120070,project=MCU_PLUS_SDK_AM263X,searchquery=taxonomy:'C and C++' build:Build_Apr_13_2023_11_11_AM grouping:off ","KW Issue Link")</f>
        <v>KW Issue Link</v>
      </c>
      <c r="O1323" s="1" t="s">
        <v>271</v>
      </c>
    </row>
    <row r="1324" spans="1:15" ht="60" x14ac:dyDescent="0.25">
      <c r="A1324" s="1" t="s">
        <v>1266</v>
      </c>
      <c r="B1324" s="1"/>
      <c r="C1324" s="1" t="s">
        <v>1107</v>
      </c>
      <c r="D1324" s="1">
        <v>120071</v>
      </c>
      <c r="E1324" s="1">
        <v>750</v>
      </c>
      <c r="F1324" s="1" t="s">
        <v>2011</v>
      </c>
      <c r="G1324" s="1" t="s">
        <v>2008</v>
      </c>
      <c r="H1324" s="1" t="s">
        <v>141</v>
      </c>
      <c r="I1324" s="1" t="s">
        <v>65</v>
      </c>
      <c r="J1324" s="1">
        <v>3</v>
      </c>
      <c r="K1324" s="1" t="s">
        <v>142</v>
      </c>
      <c r="L1324" s="1" t="s">
        <v>153</v>
      </c>
      <c r="M1324" s="1" t="s">
        <v>1256</v>
      </c>
      <c r="N1324" s="1" t="str">
        <f>HYPERLINK("https://klocwork.india.ti.com:443/review/insight-review.html#issuedetails_goto:problemid=120071,project=MCU_PLUS_SDK_AM263X,searchquery=taxonomy:'C and C++' build:Build_Apr_13_2023_11_11_AM grouping:off ","KW Issue Link")</f>
        <v>KW Issue Link</v>
      </c>
      <c r="O1324" s="1" t="s">
        <v>271</v>
      </c>
    </row>
    <row r="1325" spans="1:15" ht="60" x14ac:dyDescent="0.25">
      <c r="A1325" s="1" t="s">
        <v>1257</v>
      </c>
      <c r="B1325" s="1"/>
      <c r="C1325" s="1" t="s">
        <v>1107</v>
      </c>
      <c r="D1325" s="1">
        <v>120072</v>
      </c>
      <c r="E1325" s="1">
        <v>569</v>
      </c>
      <c r="F1325" s="1" t="s">
        <v>2012</v>
      </c>
      <c r="G1325" s="1" t="s">
        <v>2002</v>
      </c>
      <c r="H1325" s="1" t="s">
        <v>141</v>
      </c>
      <c r="I1325" s="1" t="s">
        <v>65</v>
      </c>
      <c r="J1325" s="1">
        <v>3</v>
      </c>
      <c r="K1325" s="1" t="s">
        <v>142</v>
      </c>
      <c r="L1325" s="1" t="s">
        <v>153</v>
      </c>
      <c r="M1325" s="1" t="s">
        <v>1256</v>
      </c>
      <c r="N1325" s="1" t="str">
        <f>HYPERLINK("https://klocwork.india.ti.com:443/review/insight-review.html#issuedetails_goto:problemid=120072,project=MCU_PLUS_SDK_AM263X,searchquery=taxonomy:'C and C++' build:Build_Apr_13_2023_11_11_AM grouping:off ","KW Issue Link")</f>
        <v>KW Issue Link</v>
      </c>
      <c r="O1325" s="1" t="s">
        <v>271</v>
      </c>
    </row>
    <row r="1326" spans="1:15" ht="105" x14ac:dyDescent="0.25">
      <c r="A1326" s="1" t="s">
        <v>1257</v>
      </c>
      <c r="B1326" s="1"/>
      <c r="C1326" s="1" t="s">
        <v>150</v>
      </c>
      <c r="D1326" s="1">
        <v>120073</v>
      </c>
      <c r="E1326" s="1">
        <v>122</v>
      </c>
      <c r="F1326" s="1" t="s">
        <v>2013</v>
      </c>
      <c r="G1326" s="1" t="s">
        <v>152</v>
      </c>
      <c r="H1326" s="1" t="s">
        <v>141</v>
      </c>
      <c r="I1326" s="1" t="s">
        <v>65</v>
      </c>
      <c r="J1326" s="1">
        <v>3</v>
      </c>
      <c r="K1326" s="1" t="s">
        <v>142</v>
      </c>
      <c r="L1326" s="1" t="s">
        <v>153</v>
      </c>
      <c r="M1326" s="1" t="s">
        <v>1256</v>
      </c>
      <c r="N1326" s="1" t="str">
        <f>HYPERLINK("https://klocwork.india.ti.com:443/review/insight-review.html#issuedetails_goto:problemid=120073,project=MCU_PLUS_SDK_AM263X,searchquery=taxonomy:'C and C++' build:Build_Apr_13_2023_11_11_AM grouping:off ","KW Issue Link")</f>
        <v>KW Issue Link</v>
      </c>
      <c r="O1326" s="1" t="s">
        <v>154</v>
      </c>
    </row>
    <row r="1327" spans="1:15" ht="105" x14ac:dyDescent="0.25">
      <c r="A1327" s="1" t="s">
        <v>1257</v>
      </c>
      <c r="B1327" s="1"/>
      <c r="C1327" s="1" t="s">
        <v>159</v>
      </c>
      <c r="D1327" s="1">
        <v>120074</v>
      </c>
      <c r="E1327" s="1">
        <v>398</v>
      </c>
      <c r="F1327" s="1" t="s">
        <v>2014</v>
      </c>
      <c r="G1327" s="1" t="s">
        <v>165</v>
      </c>
      <c r="H1327" s="1" t="s">
        <v>141</v>
      </c>
      <c r="I1327" s="1" t="s">
        <v>65</v>
      </c>
      <c r="J1327" s="1">
        <v>3</v>
      </c>
      <c r="K1327" s="1" t="s">
        <v>142</v>
      </c>
      <c r="L1327" s="1" t="s">
        <v>153</v>
      </c>
      <c r="M1327" s="1" t="s">
        <v>1256</v>
      </c>
      <c r="N1327" s="1" t="str">
        <f>HYPERLINK("https://klocwork.india.ti.com:443/review/insight-review.html#issuedetails_goto:problemid=120074,project=MCU_PLUS_SDK_AM263X,searchquery=taxonomy:'C and C++' build:Build_Apr_13_2023_11_11_AM grouping:off ","KW Issue Link")</f>
        <v>KW Issue Link</v>
      </c>
      <c r="O1327" s="1" t="s">
        <v>154</v>
      </c>
    </row>
    <row r="1328" spans="1:15" ht="105" x14ac:dyDescent="0.25">
      <c r="A1328" s="1" t="s">
        <v>1257</v>
      </c>
      <c r="B1328" s="1"/>
      <c r="C1328" s="1" t="s">
        <v>159</v>
      </c>
      <c r="D1328" s="1">
        <v>120075</v>
      </c>
      <c r="E1328" s="1">
        <v>494</v>
      </c>
      <c r="F1328" s="1" t="s">
        <v>2015</v>
      </c>
      <c r="G1328" s="1" t="s">
        <v>2016</v>
      </c>
      <c r="H1328" s="1" t="s">
        <v>141</v>
      </c>
      <c r="I1328" s="1" t="s">
        <v>65</v>
      </c>
      <c r="J1328" s="1">
        <v>3</v>
      </c>
      <c r="K1328" s="1" t="s">
        <v>142</v>
      </c>
      <c r="L1328" s="1" t="s">
        <v>153</v>
      </c>
      <c r="M1328" s="1" t="s">
        <v>1256</v>
      </c>
      <c r="N1328" s="1" t="str">
        <f>HYPERLINK("https://klocwork.india.ti.com:443/review/insight-review.html#issuedetails_goto:problemid=120075,project=MCU_PLUS_SDK_AM263X,searchquery=taxonomy:'C and C++' build:Build_Apr_13_2023_11_11_AM grouping:off ","KW Issue Link")</f>
        <v>KW Issue Link</v>
      </c>
      <c r="O1328" s="1" t="s">
        <v>154</v>
      </c>
    </row>
    <row r="1329" spans="1:15" ht="105" x14ac:dyDescent="0.25">
      <c r="A1329" s="1" t="s">
        <v>1257</v>
      </c>
      <c r="B1329" s="1"/>
      <c r="C1329" s="1" t="s">
        <v>159</v>
      </c>
      <c r="D1329" s="1">
        <v>120076</v>
      </c>
      <c r="E1329" s="1">
        <v>829</v>
      </c>
      <c r="F1329" s="1" t="s">
        <v>2017</v>
      </c>
      <c r="G1329" s="1" t="s">
        <v>2018</v>
      </c>
      <c r="H1329" s="1" t="s">
        <v>141</v>
      </c>
      <c r="I1329" s="1" t="s">
        <v>65</v>
      </c>
      <c r="J1329" s="1">
        <v>3</v>
      </c>
      <c r="K1329" s="1" t="s">
        <v>142</v>
      </c>
      <c r="L1329" s="1" t="s">
        <v>153</v>
      </c>
      <c r="M1329" s="1" t="s">
        <v>1256</v>
      </c>
      <c r="N1329" s="1" t="str">
        <f>HYPERLINK("https://klocwork.india.ti.com:443/review/insight-review.html#issuedetails_goto:problemid=120076,project=MCU_PLUS_SDK_AM263X,searchquery=taxonomy:'C and C++' build:Build_Apr_13_2023_11_11_AM grouping:off ","KW Issue Link")</f>
        <v>KW Issue Link</v>
      </c>
      <c r="O1329" s="1" t="s">
        <v>154</v>
      </c>
    </row>
    <row r="1330" spans="1:15" ht="105" x14ac:dyDescent="0.25">
      <c r="A1330" s="1" t="s">
        <v>1266</v>
      </c>
      <c r="B1330" s="1"/>
      <c r="C1330" s="1" t="s">
        <v>159</v>
      </c>
      <c r="D1330" s="1">
        <v>120077</v>
      </c>
      <c r="E1330" s="1">
        <v>494</v>
      </c>
      <c r="F1330" s="1" t="s">
        <v>2019</v>
      </c>
      <c r="G1330" s="1" t="s">
        <v>2016</v>
      </c>
      <c r="H1330" s="1" t="s">
        <v>141</v>
      </c>
      <c r="I1330" s="1" t="s">
        <v>65</v>
      </c>
      <c r="J1330" s="1">
        <v>3</v>
      </c>
      <c r="K1330" s="1" t="s">
        <v>142</v>
      </c>
      <c r="L1330" s="1" t="s">
        <v>153</v>
      </c>
      <c r="M1330" s="1" t="s">
        <v>1256</v>
      </c>
      <c r="N1330" s="1" t="str">
        <f>HYPERLINK("https://klocwork.india.ti.com:443/review/insight-review.html#issuedetails_goto:problemid=120077,project=MCU_PLUS_SDK_AM263X,searchquery=taxonomy:'C and C++' build:Build_Apr_13_2023_11_11_AM grouping:off ","KW Issue Link")</f>
        <v>KW Issue Link</v>
      </c>
      <c r="O1330" s="1" t="s">
        <v>154</v>
      </c>
    </row>
    <row r="1331" spans="1:15" ht="105" x14ac:dyDescent="0.25">
      <c r="A1331" s="1" t="s">
        <v>1266</v>
      </c>
      <c r="B1331" s="1"/>
      <c r="C1331" s="1" t="s">
        <v>159</v>
      </c>
      <c r="D1331" s="1">
        <v>120078</v>
      </c>
      <c r="E1331" s="1">
        <v>724</v>
      </c>
      <c r="F1331" s="1" t="s">
        <v>2020</v>
      </c>
      <c r="G1331" s="1" t="s">
        <v>2021</v>
      </c>
      <c r="H1331" s="1" t="s">
        <v>141</v>
      </c>
      <c r="I1331" s="1" t="s">
        <v>65</v>
      </c>
      <c r="J1331" s="1">
        <v>3</v>
      </c>
      <c r="K1331" s="1" t="s">
        <v>142</v>
      </c>
      <c r="L1331" s="1" t="s">
        <v>153</v>
      </c>
      <c r="M1331" s="1" t="s">
        <v>1256</v>
      </c>
      <c r="N1331" s="1" t="str">
        <f>HYPERLINK("https://klocwork.india.ti.com:443/review/insight-review.html#issuedetails_goto:problemid=120078,project=MCU_PLUS_SDK_AM263X,searchquery=taxonomy:'C and C++' build:Build_Apr_13_2023_11_11_AM grouping:off ","KW Issue Link")</f>
        <v>KW Issue Link</v>
      </c>
      <c r="O1331" s="1" t="s">
        <v>154</v>
      </c>
    </row>
    <row r="1332" spans="1:15" ht="105" x14ac:dyDescent="0.25">
      <c r="A1332" s="1" t="s">
        <v>1268</v>
      </c>
      <c r="B1332" s="1"/>
      <c r="C1332" s="1" t="s">
        <v>159</v>
      </c>
      <c r="D1332" s="1">
        <v>120079</v>
      </c>
      <c r="E1332" s="1">
        <v>631</v>
      </c>
      <c r="F1332" s="1" t="s">
        <v>2022</v>
      </c>
      <c r="G1332" s="1" t="s">
        <v>2023</v>
      </c>
      <c r="H1332" s="1" t="s">
        <v>141</v>
      </c>
      <c r="I1332" s="1" t="s">
        <v>65</v>
      </c>
      <c r="J1332" s="1">
        <v>3</v>
      </c>
      <c r="K1332" s="1" t="s">
        <v>142</v>
      </c>
      <c r="L1332" s="1" t="s">
        <v>153</v>
      </c>
      <c r="M1332" s="1" t="s">
        <v>1256</v>
      </c>
      <c r="N1332" s="1" t="str">
        <f>HYPERLINK("https://klocwork.india.ti.com:443/review/insight-review.html#issuedetails_goto:problemid=120079,project=MCU_PLUS_SDK_AM263X,searchquery=taxonomy:'C and C++' build:Build_Apr_13_2023_11_11_AM grouping:off ","KW Issue Link")</f>
        <v>KW Issue Link</v>
      </c>
      <c r="O1332" s="1" t="s">
        <v>154</v>
      </c>
    </row>
    <row r="1333" spans="1:15" ht="105" x14ac:dyDescent="0.25">
      <c r="A1333" s="1" t="s">
        <v>1268</v>
      </c>
      <c r="B1333" s="1"/>
      <c r="C1333" s="1" t="s">
        <v>159</v>
      </c>
      <c r="D1333" s="1">
        <v>120080</v>
      </c>
      <c r="E1333" s="1">
        <v>724</v>
      </c>
      <c r="F1333" s="1" t="s">
        <v>2024</v>
      </c>
      <c r="G1333" s="1" t="s">
        <v>2021</v>
      </c>
      <c r="H1333" s="1" t="s">
        <v>141</v>
      </c>
      <c r="I1333" s="1" t="s">
        <v>65</v>
      </c>
      <c r="J1333" s="1">
        <v>3</v>
      </c>
      <c r="K1333" s="1" t="s">
        <v>142</v>
      </c>
      <c r="L1333" s="1" t="s">
        <v>153</v>
      </c>
      <c r="M1333" s="1" t="s">
        <v>1256</v>
      </c>
      <c r="N1333" s="1" t="str">
        <f>HYPERLINK("https://klocwork.india.ti.com:443/review/insight-review.html#issuedetails_goto:problemid=120080,project=MCU_PLUS_SDK_AM263X,searchquery=taxonomy:'C and C++' build:Build_Apr_13_2023_11_11_AM grouping:off ","KW Issue Link")</f>
        <v>KW Issue Link</v>
      </c>
      <c r="O1333" s="1" t="s">
        <v>154</v>
      </c>
    </row>
    <row r="1334" spans="1:15" ht="105" x14ac:dyDescent="0.25">
      <c r="A1334" s="1" t="s">
        <v>1257</v>
      </c>
      <c r="B1334" s="1"/>
      <c r="C1334" s="1" t="s">
        <v>188</v>
      </c>
      <c r="D1334" s="1">
        <v>120082</v>
      </c>
      <c r="E1334" s="1">
        <v>190</v>
      </c>
      <c r="F1334" s="1" t="s">
        <v>2025</v>
      </c>
      <c r="G1334" s="1" t="s">
        <v>189</v>
      </c>
      <c r="H1334" s="1" t="s">
        <v>141</v>
      </c>
      <c r="I1334" s="1" t="s">
        <v>65</v>
      </c>
      <c r="J1334" s="1">
        <v>3</v>
      </c>
      <c r="K1334" s="1" t="s">
        <v>142</v>
      </c>
      <c r="L1334" s="1" t="s">
        <v>153</v>
      </c>
      <c r="M1334" s="1" t="s">
        <v>1256</v>
      </c>
      <c r="N1334" s="1" t="str">
        <f>HYPERLINK("https://klocwork.india.ti.com:443/review/insight-review.html#issuedetails_goto:problemid=120082,project=MCU_PLUS_SDK_AM263X,searchquery=taxonomy:'C and C++' build:Build_Apr_13_2023_11_11_AM grouping:off ","KW Issue Link")</f>
        <v>KW Issue Link</v>
      </c>
      <c r="O1334" s="1" t="s">
        <v>154</v>
      </c>
    </row>
    <row r="1335" spans="1:15" ht="105" x14ac:dyDescent="0.25">
      <c r="A1335" s="1" t="s">
        <v>1266</v>
      </c>
      <c r="B1335" s="1"/>
      <c r="C1335" s="1" t="s">
        <v>188</v>
      </c>
      <c r="D1335" s="1">
        <v>120083</v>
      </c>
      <c r="E1335" s="1">
        <v>190</v>
      </c>
      <c r="F1335" s="1" t="s">
        <v>2026</v>
      </c>
      <c r="G1335" s="1" t="s">
        <v>189</v>
      </c>
      <c r="H1335" s="1" t="s">
        <v>141</v>
      </c>
      <c r="I1335" s="1" t="s">
        <v>65</v>
      </c>
      <c r="J1335" s="1">
        <v>3</v>
      </c>
      <c r="K1335" s="1" t="s">
        <v>142</v>
      </c>
      <c r="L1335" s="1" t="s">
        <v>153</v>
      </c>
      <c r="M1335" s="1" t="s">
        <v>1256</v>
      </c>
      <c r="N1335" s="1" t="str">
        <f>HYPERLINK("https://klocwork.india.ti.com:443/review/insight-review.html#issuedetails_goto:problemid=120083,project=MCU_PLUS_SDK_AM263X,searchquery=taxonomy:'C and C++' build:Build_Apr_13_2023_11_11_AM grouping:off ","KW Issue Link")</f>
        <v>KW Issue Link</v>
      </c>
      <c r="O1335" s="1" t="s">
        <v>154</v>
      </c>
    </row>
    <row r="1336" spans="1:15" ht="105" x14ac:dyDescent="0.25">
      <c r="A1336" s="1" t="s">
        <v>1268</v>
      </c>
      <c r="B1336" s="1"/>
      <c r="C1336" s="1" t="s">
        <v>188</v>
      </c>
      <c r="D1336" s="1">
        <v>120084</v>
      </c>
      <c r="E1336" s="1">
        <v>190</v>
      </c>
      <c r="F1336" s="1" t="s">
        <v>2027</v>
      </c>
      <c r="G1336" s="1" t="s">
        <v>189</v>
      </c>
      <c r="H1336" s="1" t="s">
        <v>141</v>
      </c>
      <c r="I1336" s="1" t="s">
        <v>65</v>
      </c>
      <c r="J1336" s="1">
        <v>3</v>
      </c>
      <c r="K1336" s="1" t="s">
        <v>142</v>
      </c>
      <c r="L1336" s="1" t="s">
        <v>153</v>
      </c>
      <c r="M1336" s="1" t="s">
        <v>1256</v>
      </c>
      <c r="N1336" s="1" t="str">
        <f>HYPERLINK("https://klocwork.india.ti.com:443/review/insight-review.html#issuedetails_goto:problemid=120084,project=MCU_PLUS_SDK_AM263X,searchquery=taxonomy:'C and C++' build:Build_Apr_13_2023_11_11_AM grouping:off ","KW Issue Link")</f>
        <v>KW Issue Link</v>
      </c>
      <c r="O1336" s="1" t="s">
        <v>154</v>
      </c>
    </row>
    <row r="1337" spans="1:15" ht="105" x14ac:dyDescent="0.25">
      <c r="A1337" s="1" t="s">
        <v>1257</v>
      </c>
      <c r="B1337" s="1"/>
      <c r="C1337" s="1" t="s">
        <v>1025</v>
      </c>
      <c r="D1337" s="1">
        <v>120085</v>
      </c>
      <c r="E1337" s="1">
        <v>103</v>
      </c>
      <c r="F1337" s="1" t="s">
        <v>2028</v>
      </c>
      <c r="G1337" s="1" t="s">
        <v>1027</v>
      </c>
      <c r="H1337" s="1" t="s">
        <v>141</v>
      </c>
      <c r="I1337" s="1" t="s">
        <v>65</v>
      </c>
      <c r="J1337" s="1">
        <v>3</v>
      </c>
      <c r="K1337" s="1" t="s">
        <v>142</v>
      </c>
      <c r="L1337" s="1" t="s">
        <v>153</v>
      </c>
      <c r="M1337" s="1" t="s">
        <v>1256</v>
      </c>
      <c r="N1337" s="1" t="str">
        <f>HYPERLINK("https://klocwork.india.ti.com:443/review/insight-review.html#issuedetails_goto:problemid=120085,project=MCU_PLUS_SDK_AM263X,searchquery=taxonomy:'C and C++' build:Build_Apr_13_2023_11_11_AM grouping:off ","KW Issue Link")</f>
        <v>KW Issue Link</v>
      </c>
      <c r="O1337" s="1" t="s">
        <v>154</v>
      </c>
    </row>
    <row r="1338" spans="1:15" ht="105" x14ac:dyDescent="0.25">
      <c r="A1338" s="1" t="s">
        <v>1257</v>
      </c>
      <c r="B1338" s="1"/>
      <c r="C1338" s="1" t="s">
        <v>1025</v>
      </c>
      <c r="D1338" s="1">
        <v>120086</v>
      </c>
      <c r="E1338" s="1">
        <v>268</v>
      </c>
      <c r="F1338" s="1" t="s">
        <v>2029</v>
      </c>
      <c r="G1338" s="1" t="s">
        <v>1030</v>
      </c>
      <c r="H1338" s="1" t="s">
        <v>141</v>
      </c>
      <c r="I1338" s="1" t="s">
        <v>65</v>
      </c>
      <c r="J1338" s="1">
        <v>3</v>
      </c>
      <c r="K1338" s="1" t="s">
        <v>142</v>
      </c>
      <c r="L1338" s="1" t="s">
        <v>153</v>
      </c>
      <c r="M1338" s="1" t="s">
        <v>1256</v>
      </c>
      <c r="N1338" s="1" t="str">
        <f>HYPERLINK("https://klocwork.india.ti.com:443/review/insight-review.html#issuedetails_goto:problemid=120086,project=MCU_PLUS_SDK_AM263X,searchquery=taxonomy:'C and C++' build:Build_Apr_13_2023_11_11_AM grouping:off ","KW Issue Link")</f>
        <v>KW Issue Link</v>
      </c>
      <c r="O1338" s="1" t="s">
        <v>154</v>
      </c>
    </row>
    <row r="1339" spans="1:15" ht="105" x14ac:dyDescent="0.25">
      <c r="A1339" s="1" t="s">
        <v>1257</v>
      </c>
      <c r="B1339" s="1"/>
      <c r="C1339" s="1" t="s">
        <v>1025</v>
      </c>
      <c r="D1339" s="1">
        <v>120087</v>
      </c>
      <c r="E1339" s="1">
        <v>323</v>
      </c>
      <c r="F1339" s="1" t="s">
        <v>2030</v>
      </c>
      <c r="G1339" s="1" t="s">
        <v>1032</v>
      </c>
      <c r="H1339" s="1" t="s">
        <v>141</v>
      </c>
      <c r="I1339" s="1" t="s">
        <v>65</v>
      </c>
      <c r="J1339" s="1">
        <v>3</v>
      </c>
      <c r="K1339" s="1" t="s">
        <v>142</v>
      </c>
      <c r="L1339" s="1" t="s">
        <v>153</v>
      </c>
      <c r="M1339" s="1" t="s">
        <v>1256</v>
      </c>
      <c r="N1339" s="1" t="str">
        <f>HYPERLINK("https://klocwork.india.ti.com:443/review/insight-review.html#issuedetails_goto:problemid=120087,project=MCU_PLUS_SDK_AM263X,searchquery=taxonomy:'C and C++' build:Build_Apr_13_2023_11_11_AM grouping:off ","KW Issue Link")</f>
        <v>KW Issue Link</v>
      </c>
      <c r="O1339" s="1" t="s">
        <v>154</v>
      </c>
    </row>
    <row r="1340" spans="1:15" ht="60" x14ac:dyDescent="0.25">
      <c r="A1340" s="1" t="s">
        <v>1257</v>
      </c>
      <c r="B1340" s="1"/>
      <c r="C1340" s="1" t="s">
        <v>273</v>
      </c>
      <c r="D1340" s="1">
        <v>120088</v>
      </c>
      <c r="E1340" s="1">
        <v>983</v>
      </c>
      <c r="F1340" s="1" t="s">
        <v>2031</v>
      </c>
      <c r="G1340" s="1" t="s">
        <v>2032</v>
      </c>
      <c r="H1340" s="1" t="s">
        <v>141</v>
      </c>
      <c r="I1340" s="1" t="s">
        <v>65</v>
      </c>
      <c r="J1340" s="1">
        <v>3</v>
      </c>
      <c r="K1340" s="1" t="s">
        <v>142</v>
      </c>
      <c r="L1340" s="1" t="s">
        <v>153</v>
      </c>
      <c r="M1340" s="1" t="s">
        <v>1256</v>
      </c>
      <c r="N1340" s="1" t="str">
        <f>HYPERLINK("https://klocwork.india.ti.com:443/review/insight-review.html#issuedetails_goto:problemid=120088,project=MCU_PLUS_SDK_AM263X,searchquery=taxonomy:'C and C++' build:Build_Apr_13_2023_11_11_AM grouping:off ","KW Issue Link")</f>
        <v>KW Issue Link</v>
      </c>
      <c r="O1340" s="1" t="s">
        <v>276</v>
      </c>
    </row>
    <row r="1341" spans="1:15" ht="60" x14ac:dyDescent="0.25">
      <c r="A1341" s="1" t="s">
        <v>1257</v>
      </c>
      <c r="B1341" s="1"/>
      <c r="C1341" s="1" t="s">
        <v>273</v>
      </c>
      <c r="D1341" s="1">
        <v>120089</v>
      </c>
      <c r="E1341" s="1">
        <v>1026</v>
      </c>
      <c r="F1341" s="1" t="s">
        <v>2033</v>
      </c>
      <c r="G1341" s="1" t="s">
        <v>2034</v>
      </c>
      <c r="H1341" s="1" t="s">
        <v>141</v>
      </c>
      <c r="I1341" s="1" t="s">
        <v>65</v>
      </c>
      <c r="J1341" s="1">
        <v>3</v>
      </c>
      <c r="K1341" s="1" t="s">
        <v>142</v>
      </c>
      <c r="L1341" s="1" t="s">
        <v>153</v>
      </c>
      <c r="M1341" s="1" t="s">
        <v>1256</v>
      </c>
      <c r="N1341" s="1" t="str">
        <f>HYPERLINK("https://klocwork.india.ti.com:443/review/insight-review.html#issuedetails_goto:problemid=120089,project=MCU_PLUS_SDK_AM263X,searchquery=taxonomy:'C and C++' build:Build_Apr_13_2023_11_11_AM grouping:off ","KW Issue Link")</f>
        <v>KW Issue Link</v>
      </c>
      <c r="O1341" s="1" t="s">
        <v>276</v>
      </c>
    </row>
    <row r="1342" spans="1:15" ht="60" x14ac:dyDescent="0.25">
      <c r="A1342" s="1" t="s">
        <v>1257</v>
      </c>
      <c r="B1342" s="1"/>
      <c r="C1342" s="1" t="s">
        <v>2035</v>
      </c>
      <c r="D1342" s="1">
        <v>120090</v>
      </c>
      <c r="E1342" s="1">
        <v>120</v>
      </c>
      <c r="F1342" s="1" t="s">
        <v>2036</v>
      </c>
      <c r="G1342" s="1" t="s">
        <v>2037</v>
      </c>
      <c r="H1342" s="1" t="s">
        <v>141</v>
      </c>
      <c r="I1342" s="1" t="s">
        <v>65</v>
      </c>
      <c r="J1342" s="1">
        <v>3</v>
      </c>
      <c r="K1342" s="1" t="s">
        <v>142</v>
      </c>
      <c r="L1342" s="1" t="s">
        <v>153</v>
      </c>
      <c r="M1342" s="1" t="s">
        <v>1256</v>
      </c>
      <c r="N1342" s="1" t="str">
        <f>HYPERLINK("https://klocwork.india.ti.com:443/review/insight-review.html#issuedetails_goto:problemid=120090,project=MCU_PLUS_SDK_AM263X,searchquery=taxonomy:'C and C++' build:Build_Apr_13_2023_11_11_AM grouping:off ","KW Issue Link")</f>
        <v>KW Issue Link</v>
      </c>
      <c r="O1342" s="1" t="s">
        <v>144</v>
      </c>
    </row>
    <row r="1343" spans="1:15" ht="60" x14ac:dyDescent="0.25">
      <c r="A1343" s="1" t="s">
        <v>1257</v>
      </c>
      <c r="B1343" s="1"/>
      <c r="C1343" s="1" t="s">
        <v>1080</v>
      </c>
      <c r="D1343" s="1">
        <v>120093</v>
      </c>
      <c r="E1343" s="1">
        <v>92</v>
      </c>
      <c r="F1343" s="1" t="s">
        <v>2038</v>
      </c>
      <c r="G1343" s="1" t="s">
        <v>1082</v>
      </c>
      <c r="H1343" s="1" t="s">
        <v>141</v>
      </c>
      <c r="I1343" s="1" t="s">
        <v>65</v>
      </c>
      <c r="J1343" s="1">
        <v>3</v>
      </c>
      <c r="K1343" s="1" t="s">
        <v>142</v>
      </c>
      <c r="L1343" s="1" t="s">
        <v>153</v>
      </c>
      <c r="M1343" s="1" t="s">
        <v>1256</v>
      </c>
      <c r="N1343" s="1" t="str">
        <f>HYPERLINK("https://klocwork.india.ti.com:443/review/insight-review.html#issuedetails_goto:problemid=120093,project=MCU_PLUS_SDK_AM263X,searchquery=taxonomy:'C and C++' build:Build_Apr_13_2023_11_11_AM grouping:off ","KW Issue Link")</f>
        <v>KW Issue Link</v>
      </c>
      <c r="O1343" s="1" t="s">
        <v>1083</v>
      </c>
    </row>
    <row r="1344" spans="1:15" ht="75" x14ac:dyDescent="0.25">
      <c r="A1344" s="1" t="s">
        <v>1257</v>
      </c>
      <c r="B1344" s="1"/>
      <c r="C1344" s="1" t="s">
        <v>466</v>
      </c>
      <c r="D1344" s="1">
        <v>120097</v>
      </c>
      <c r="E1344" s="1">
        <v>207</v>
      </c>
      <c r="F1344" s="1" t="s">
        <v>2039</v>
      </c>
      <c r="G1344" s="1" t="s">
        <v>2040</v>
      </c>
      <c r="H1344" s="1" t="s">
        <v>141</v>
      </c>
      <c r="I1344" s="1" t="s">
        <v>65</v>
      </c>
      <c r="J1344" s="1">
        <v>3</v>
      </c>
      <c r="K1344" s="1" t="s">
        <v>142</v>
      </c>
      <c r="L1344" s="1" t="s">
        <v>153</v>
      </c>
      <c r="M1344" s="1" t="s">
        <v>1256</v>
      </c>
      <c r="N1344" s="1" t="str">
        <f>HYPERLINK("https://klocwork.india.ti.com:443/review/insight-review.html#issuedetails_goto:problemid=120097,project=MCU_PLUS_SDK_AM263X,searchquery=taxonomy:'C and C++' build:Build_Apr_13_2023_11_11_AM grouping:off ","KW Issue Link")</f>
        <v>KW Issue Link</v>
      </c>
      <c r="O1344" s="1" t="s">
        <v>291</v>
      </c>
    </row>
    <row r="1345" spans="1:15" ht="75" x14ac:dyDescent="0.25">
      <c r="A1345" s="1" t="s">
        <v>1257</v>
      </c>
      <c r="B1345" s="1"/>
      <c r="C1345" s="1" t="s">
        <v>466</v>
      </c>
      <c r="D1345" s="1">
        <v>120098</v>
      </c>
      <c r="E1345" s="1">
        <v>248</v>
      </c>
      <c r="F1345" s="1" t="s">
        <v>2041</v>
      </c>
      <c r="G1345" s="1" t="s">
        <v>2042</v>
      </c>
      <c r="H1345" s="1" t="s">
        <v>141</v>
      </c>
      <c r="I1345" s="1" t="s">
        <v>65</v>
      </c>
      <c r="J1345" s="1">
        <v>3</v>
      </c>
      <c r="K1345" s="1" t="s">
        <v>142</v>
      </c>
      <c r="L1345" s="1" t="s">
        <v>153</v>
      </c>
      <c r="M1345" s="1" t="s">
        <v>1256</v>
      </c>
      <c r="N1345" s="1" t="str">
        <f>HYPERLINK("https://klocwork.india.ti.com:443/review/insight-review.html#issuedetails_goto:problemid=120098,project=MCU_PLUS_SDK_AM263X,searchquery=taxonomy:'C and C++' build:Build_Apr_13_2023_11_11_AM grouping:off ","KW Issue Link")</f>
        <v>KW Issue Link</v>
      </c>
      <c r="O1345" s="1" t="s">
        <v>291</v>
      </c>
    </row>
    <row r="1346" spans="1:15" ht="75" x14ac:dyDescent="0.25">
      <c r="A1346" s="1" t="s">
        <v>1257</v>
      </c>
      <c r="B1346" s="1"/>
      <c r="C1346" s="1" t="s">
        <v>466</v>
      </c>
      <c r="D1346" s="1">
        <v>120099</v>
      </c>
      <c r="E1346" s="1">
        <v>280</v>
      </c>
      <c r="F1346" s="1" t="s">
        <v>2043</v>
      </c>
      <c r="G1346" s="1" t="s">
        <v>2044</v>
      </c>
      <c r="H1346" s="1" t="s">
        <v>141</v>
      </c>
      <c r="I1346" s="1" t="s">
        <v>65</v>
      </c>
      <c r="J1346" s="1">
        <v>3</v>
      </c>
      <c r="K1346" s="1" t="s">
        <v>142</v>
      </c>
      <c r="L1346" s="1" t="s">
        <v>153</v>
      </c>
      <c r="M1346" s="1" t="s">
        <v>1256</v>
      </c>
      <c r="N1346" s="1" t="str">
        <f>HYPERLINK("https://klocwork.india.ti.com:443/review/insight-review.html#issuedetails_goto:problemid=120099,project=MCU_PLUS_SDK_AM263X,searchquery=taxonomy:'C and C++' build:Build_Apr_13_2023_11_11_AM grouping:off ","KW Issue Link")</f>
        <v>KW Issue Link</v>
      </c>
      <c r="O1346" s="1" t="s">
        <v>291</v>
      </c>
    </row>
    <row r="1347" spans="1:15" ht="75" x14ac:dyDescent="0.25">
      <c r="A1347" s="1" t="s">
        <v>1257</v>
      </c>
      <c r="B1347" s="1"/>
      <c r="C1347" s="1" t="s">
        <v>466</v>
      </c>
      <c r="D1347" s="1">
        <v>120100</v>
      </c>
      <c r="E1347" s="1">
        <v>417</v>
      </c>
      <c r="F1347" s="1" t="s">
        <v>2045</v>
      </c>
      <c r="G1347" s="1" t="s">
        <v>470</v>
      </c>
      <c r="H1347" s="1" t="s">
        <v>141</v>
      </c>
      <c r="I1347" s="1" t="s">
        <v>65</v>
      </c>
      <c r="J1347" s="1">
        <v>3</v>
      </c>
      <c r="K1347" s="1" t="s">
        <v>142</v>
      </c>
      <c r="L1347" s="1" t="s">
        <v>153</v>
      </c>
      <c r="M1347" s="1" t="s">
        <v>1256</v>
      </c>
      <c r="N1347" s="1" t="str">
        <f>HYPERLINK("https://klocwork.india.ti.com:443/review/insight-review.html#issuedetails_goto:problemid=120100,project=MCU_PLUS_SDK_AM263X,searchquery=taxonomy:'C and C++' build:Build_Apr_13_2023_11_11_AM grouping:off ","KW Issue Link")</f>
        <v>KW Issue Link</v>
      </c>
      <c r="O1347" s="1" t="s">
        <v>291</v>
      </c>
    </row>
    <row r="1348" spans="1:15" ht="75" x14ac:dyDescent="0.25">
      <c r="A1348" s="1" t="s">
        <v>1257</v>
      </c>
      <c r="B1348" s="1"/>
      <c r="C1348" s="1" t="s">
        <v>466</v>
      </c>
      <c r="D1348" s="1">
        <v>120101</v>
      </c>
      <c r="E1348" s="1">
        <v>440</v>
      </c>
      <c r="F1348" s="1" t="s">
        <v>2046</v>
      </c>
      <c r="G1348" s="1" t="s">
        <v>2047</v>
      </c>
      <c r="H1348" s="1" t="s">
        <v>141</v>
      </c>
      <c r="I1348" s="1" t="s">
        <v>65</v>
      </c>
      <c r="J1348" s="1">
        <v>3</v>
      </c>
      <c r="K1348" s="1" t="s">
        <v>142</v>
      </c>
      <c r="L1348" s="1" t="s">
        <v>153</v>
      </c>
      <c r="M1348" s="1" t="s">
        <v>1256</v>
      </c>
      <c r="N1348" s="1" t="str">
        <f>HYPERLINK("https://klocwork.india.ti.com:443/review/insight-review.html#issuedetails_goto:problemid=120101,project=MCU_PLUS_SDK_AM263X,searchquery=taxonomy:'C and C++' build:Build_Apr_13_2023_11_11_AM grouping:off ","KW Issue Link")</f>
        <v>KW Issue Link</v>
      </c>
      <c r="O1348" s="1" t="s">
        <v>291</v>
      </c>
    </row>
    <row r="1349" spans="1:15" ht="75" x14ac:dyDescent="0.25">
      <c r="A1349" s="1" t="s">
        <v>1257</v>
      </c>
      <c r="B1349" s="1"/>
      <c r="C1349" s="1" t="s">
        <v>466</v>
      </c>
      <c r="D1349" s="1">
        <v>120103</v>
      </c>
      <c r="E1349" s="1">
        <v>487</v>
      </c>
      <c r="F1349" s="1" t="s">
        <v>2048</v>
      </c>
      <c r="G1349" s="1" t="s">
        <v>2049</v>
      </c>
      <c r="H1349" s="1" t="s">
        <v>141</v>
      </c>
      <c r="I1349" s="1" t="s">
        <v>65</v>
      </c>
      <c r="J1349" s="1">
        <v>3</v>
      </c>
      <c r="K1349" s="1" t="s">
        <v>142</v>
      </c>
      <c r="L1349" s="1" t="s">
        <v>153</v>
      </c>
      <c r="M1349" s="1" t="s">
        <v>1256</v>
      </c>
      <c r="N1349" s="1" t="str">
        <f>HYPERLINK("https://klocwork.india.ti.com:443/review/insight-review.html#issuedetails_goto:problemid=120103,project=MCU_PLUS_SDK_AM263X,searchquery=taxonomy:'C and C++' build:Build_Apr_13_2023_11_11_AM grouping:off ","KW Issue Link")</f>
        <v>KW Issue Link</v>
      </c>
      <c r="O1349" s="1" t="s">
        <v>291</v>
      </c>
    </row>
    <row r="1350" spans="1:15" ht="75" x14ac:dyDescent="0.25">
      <c r="A1350" s="1" t="s">
        <v>1266</v>
      </c>
      <c r="B1350" s="1"/>
      <c r="C1350" s="1" t="s">
        <v>466</v>
      </c>
      <c r="D1350" s="1">
        <v>120107</v>
      </c>
      <c r="E1350" s="1">
        <v>280</v>
      </c>
      <c r="F1350" s="1" t="s">
        <v>2050</v>
      </c>
      <c r="G1350" s="1" t="s">
        <v>2044</v>
      </c>
      <c r="H1350" s="1" t="s">
        <v>141</v>
      </c>
      <c r="I1350" s="1" t="s">
        <v>65</v>
      </c>
      <c r="J1350" s="1">
        <v>3</v>
      </c>
      <c r="K1350" s="1" t="s">
        <v>142</v>
      </c>
      <c r="L1350" s="1" t="s">
        <v>153</v>
      </c>
      <c r="M1350" s="1" t="s">
        <v>1256</v>
      </c>
      <c r="N1350" s="1" t="str">
        <f>HYPERLINK("https://klocwork.india.ti.com:443/review/insight-review.html#issuedetails_goto:problemid=120107,project=MCU_PLUS_SDK_AM263X,searchquery=taxonomy:'C and C++' build:Build_Apr_13_2023_11_11_AM grouping:off ","KW Issue Link")</f>
        <v>KW Issue Link</v>
      </c>
      <c r="O1350" s="1" t="s">
        <v>291</v>
      </c>
    </row>
    <row r="1351" spans="1:15" ht="75" x14ac:dyDescent="0.25">
      <c r="A1351" s="1" t="s">
        <v>1266</v>
      </c>
      <c r="B1351" s="1"/>
      <c r="C1351" s="1" t="s">
        <v>466</v>
      </c>
      <c r="D1351" s="1">
        <v>120108</v>
      </c>
      <c r="E1351" s="1">
        <v>417</v>
      </c>
      <c r="F1351" s="1" t="s">
        <v>2051</v>
      </c>
      <c r="G1351" s="1" t="s">
        <v>470</v>
      </c>
      <c r="H1351" s="1" t="s">
        <v>141</v>
      </c>
      <c r="I1351" s="1" t="s">
        <v>65</v>
      </c>
      <c r="J1351" s="1">
        <v>3</v>
      </c>
      <c r="K1351" s="1" t="s">
        <v>142</v>
      </c>
      <c r="L1351" s="1" t="s">
        <v>153</v>
      </c>
      <c r="M1351" s="1" t="s">
        <v>1256</v>
      </c>
      <c r="N1351" s="1" t="str">
        <f>HYPERLINK("https://klocwork.india.ti.com:443/review/insight-review.html#issuedetails_goto:problemid=120108,project=MCU_PLUS_SDK_AM263X,searchquery=taxonomy:'C and C++' build:Build_Apr_13_2023_11_11_AM grouping:off ","KW Issue Link")</f>
        <v>KW Issue Link</v>
      </c>
      <c r="O1351" s="1" t="s">
        <v>291</v>
      </c>
    </row>
    <row r="1352" spans="1:15" ht="75" x14ac:dyDescent="0.25">
      <c r="A1352" s="1" t="s">
        <v>1266</v>
      </c>
      <c r="B1352" s="1"/>
      <c r="C1352" s="1" t="s">
        <v>466</v>
      </c>
      <c r="D1352" s="1">
        <v>120110</v>
      </c>
      <c r="E1352" s="1">
        <v>507</v>
      </c>
      <c r="F1352" s="1" t="s">
        <v>2052</v>
      </c>
      <c r="G1352" s="1" t="s">
        <v>475</v>
      </c>
      <c r="H1352" s="1" t="s">
        <v>141</v>
      </c>
      <c r="I1352" s="1" t="s">
        <v>65</v>
      </c>
      <c r="J1352" s="1">
        <v>3</v>
      </c>
      <c r="K1352" s="1" t="s">
        <v>142</v>
      </c>
      <c r="L1352" s="1" t="s">
        <v>153</v>
      </c>
      <c r="M1352" s="1" t="s">
        <v>1256</v>
      </c>
      <c r="N1352" s="1" t="str">
        <f>HYPERLINK("https://klocwork.india.ti.com:443/review/insight-review.html#issuedetails_goto:problemid=120110,project=MCU_PLUS_SDK_AM263X,searchquery=taxonomy:'C and C++' build:Build_Apr_13_2023_11_11_AM grouping:off ","KW Issue Link")</f>
        <v>KW Issue Link</v>
      </c>
      <c r="O1352" s="1" t="s">
        <v>291</v>
      </c>
    </row>
    <row r="1353" spans="1:15" ht="75" x14ac:dyDescent="0.25">
      <c r="A1353" s="1" t="s">
        <v>1268</v>
      </c>
      <c r="B1353" s="1"/>
      <c r="C1353" s="1" t="s">
        <v>466</v>
      </c>
      <c r="D1353" s="1">
        <v>120111</v>
      </c>
      <c r="E1353" s="1">
        <v>280</v>
      </c>
      <c r="F1353" s="1" t="s">
        <v>2053</v>
      </c>
      <c r="G1353" s="1" t="s">
        <v>2044</v>
      </c>
      <c r="H1353" s="1" t="s">
        <v>141</v>
      </c>
      <c r="I1353" s="1" t="s">
        <v>65</v>
      </c>
      <c r="J1353" s="1">
        <v>3</v>
      </c>
      <c r="K1353" s="1" t="s">
        <v>142</v>
      </c>
      <c r="L1353" s="1" t="s">
        <v>153</v>
      </c>
      <c r="M1353" s="1" t="s">
        <v>1256</v>
      </c>
      <c r="N1353" s="1" t="str">
        <f>HYPERLINK("https://klocwork.india.ti.com:443/review/insight-review.html#issuedetails_goto:problemid=120111,project=MCU_PLUS_SDK_AM263X,searchquery=taxonomy:'C and C++' build:Build_Apr_13_2023_11_11_AM grouping:off ","KW Issue Link")</f>
        <v>KW Issue Link</v>
      </c>
      <c r="O1353" s="1" t="s">
        <v>291</v>
      </c>
    </row>
    <row r="1354" spans="1:15" ht="75" x14ac:dyDescent="0.25">
      <c r="A1354" s="1" t="s">
        <v>1252</v>
      </c>
      <c r="B1354" s="1"/>
      <c r="C1354" s="1" t="s">
        <v>466</v>
      </c>
      <c r="D1354" s="1">
        <v>120113</v>
      </c>
      <c r="E1354" s="1">
        <v>487</v>
      </c>
      <c r="F1354" s="1" t="s">
        <v>2054</v>
      </c>
      <c r="G1354" s="1" t="s">
        <v>2049</v>
      </c>
      <c r="H1354" s="1" t="s">
        <v>141</v>
      </c>
      <c r="I1354" s="1" t="s">
        <v>65</v>
      </c>
      <c r="J1354" s="1">
        <v>3</v>
      </c>
      <c r="K1354" s="1" t="s">
        <v>142</v>
      </c>
      <c r="L1354" s="1" t="s">
        <v>153</v>
      </c>
      <c r="M1354" s="1" t="s">
        <v>1256</v>
      </c>
      <c r="N1354" s="1" t="str">
        <f>HYPERLINK("https://klocwork.india.ti.com:443/review/insight-review.html#issuedetails_goto:problemid=120113,project=MCU_PLUS_SDK_AM263X,searchquery=taxonomy:'C and C++' build:Build_Apr_13_2023_11_11_AM grouping:off ","KW Issue Link")</f>
        <v>KW Issue Link</v>
      </c>
      <c r="O1354" s="1" t="s">
        <v>291</v>
      </c>
    </row>
    <row r="1355" spans="1:15" ht="75" x14ac:dyDescent="0.25">
      <c r="A1355" s="1" t="s">
        <v>1252</v>
      </c>
      <c r="B1355" s="1"/>
      <c r="C1355" s="1" t="s">
        <v>466</v>
      </c>
      <c r="D1355" s="1">
        <v>120114</v>
      </c>
      <c r="E1355" s="1">
        <v>507</v>
      </c>
      <c r="F1355" s="1" t="s">
        <v>2055</v>
      </c>
      <c r="G1355" s="1" t="s">
        <v>475</v>
      </c>
      <c r="H1355" s="1" t="s">
        <v>141</v>
      </c>
      <c r="I1355" s="1" t="s">
        <v>65</v>
      </c>
      <c r="J1355" s="1">
        <v>3</v>
      </c>
      <c r="K1355" s="1" t="s">
        <v>142</v>
      </c>
      <c r="L1355" s="1" t="s">
        <v>153</v>
      </c>
      <c r="M1355" s="1" t="s">
        <v>1256</v>
      </c>
      <c r="N1355" s="1" t="str">
        <f>HYPERLINK("https://klocwork.india.ti.com:443/review/insight-review.html#issuedetails_goto:problemid=120114,project=MCU_PLUS_SDK_AM263X,searchquery=taxonomy:'C and C++' build:Build_Apr_13_2023_11_11_AM grouping:off ","KW Issue Link")</f>
        <v>KW Issue Link</v>
      </c>
      <c r="O1355" s="1" t="s">
        <v>291</v>
      </c>
    </row>
    <row r="1356" spans="1:15" ht="75" x14ac:dyDescent="0.25">
      <c r="A1356" s="1" t="s">
        <v>1252</v>
      </c>
      <c r="B1356" s="1"/>
      <c r="C1356" s="1" t="s">
        <v>466</v>
      </c>
      <c r="D1356" s="1">
        <v>120115</v>
      </c>
      <c r="E1356" s="1">
        <v>594</v>
      </c>
      <c r="F1356" s="1" t="s">
        <v>2056</v>
      </c>
      <c r="G1356" s="1" t="s">
        <v>2057</v>
      </c>
      <c r="H1356" s="1" t="s">
        <v>141</v>
      </c>
      <c r="I1356" s="1" t="s">
        <v>65</v>
      </c>
      <c r="J1356" s="1">
        <v>3</v>
      </c>
      <c r="K1356" s="1" t="s">
        <v>142</v>
      </c>
      <c r="L1356" s="1" t="s">
        <v>153</v>
      </c>
      <c r="M1356" s="1" t="s">
        <v>1256</v>
      </c>
      <c r="N1356" s="1" t="str">
        <f>HYPERLINK("https://klocwork.india.ti.com:443/review/insight-review.html#issuedetails_goto:problemid=120115,project=MCU_PLUS_SDK_AM263X,searchquery=taxonomy:'C and C++' build:Build_Apr_13_2023_11_11_AM grouping:off ","KW Issue Link")</f>
        <v>KW Issue Link</v>
      </c>
      <c r="O1356" s="1" t="s">
        <v>291</v>
      </c>
    </row>
    <row r="1357" spans="1:15" ht="75" x14ac:dyDescent="0.25">
      <c r="A1357" s="1" t="s">
        <v>1252</v>
      </c>
      <c r="B1357" s="1"/>
      <c r="C1357" s="1" t="s">
        <v>466</v>
      </c>
      <c r="D1357" s="1">
        <v>120116</v>
      </c>
      <c r="E1357" s="1">
        <v>605</v>
      </c>
      <c r="F1357" s="1" t="s">
        <v>2058</v>
      </c>
      <c r="G1357" s="1" t="s">
        <v>2059</v>
      </c>
      <c r="H1357" s="1" t="s">
        <v>141</v>
      </c>
      <c r="I1357" s="1" t="s">
        <v>65</v>
      </c>
      <c r="J1357" s="1">
        <v>3</v>
      </c>
      <c r="K1357" s="1" t="s">
        <v>142</v>
      </c>
      <c r="L1357" s="1" t="s">
        <v>153</v>
      </c>
      <c r="M1357" s="1" t="s">
        <v>1256</v>
      </c>
      <c r="N1357" s="1" t="str">
        <f>HYPERLINK("https://klocwork.india.ti.com:443/review/insight-review.html#issuedetails_goto:problemid=120116,project=MCU_PLUS_SDK_AM263X,searchquery=taxonomy:'C and C++' build:Build_Apr_13_2023_11_11_AM grouping:off ","KW Issue Link")</f>
        <v>KW Issue Link</v>
      </c>
      <c r="O1357" s="1" t="s">
        <v>291</v>
      </c>
    </row>
    <row r="1358" spans="1:15" ht="75" x14ac:dyDescent="0.25">
      <c r="A1358" s="1" t="s">
        <v>1252</v>
      </c>
      <c r="B1358" s="1"/>
      <c r="C1358" s="1" t="s">
        <v>466</v>
      </c>
      <c r="D1358" s="1">
        <v>120117</v>
      </c>
      <c r="E1358" s="1">
        <v>632</v>
      </c>
      <c r="F1358" s="1" t="s">
        <v>2060</v>
      </c>
      <c r="G1358" s="1" t="s">
        <v>2061</v>
      </c>
      <c r="H1358" s="1" t="s">
        <v>141</v>
      </c>
      <c r="I1358" s="1" t="s">
        <v>65</v>
      </c>
      <c r="J1358" s="1">
        <v>3</v>
      </c>
      <c r="K1358" s="1" t="s">
        <v>142</v>
      </c>
      <c r="L1358" s="1" t="s">
        <v>153</v>
      </c>
      <c r="M1358" s="1" t="s">
        <v>1256</v>
      </c>
      <c r="N1358" s="1" t="str">
        <f>HYPERLINK("https://klocwork.india.ti.com:443/review/insight-review.html#issuedetails_goto:problemid=120117,project=MCU_PLUS_SDK_AM263X,searchquery=taxonomy:'C and C++' build:Build_Apr_13_2023_11_11_AM grouping:off ","KW Issue Link")</f>
        <v>KW Issue Link</v>
      </c>
      <c r="O1358" s="1" t="s">
        <v>291</v>
      </c>
    </row>
    <row r="1359" spans="1:15" ht="75" x14ac:dyDescent="0.25">
      <c r="A1359" s="1" t="s">
        <v>1252</v>
      </c>
      <c r="B1359" s="1"/>
      <c r="C1359" s="1" t="s">
        <v>466</v>
      </c>
      <c r="D1359" s="1">
        <v>120118</v>
      </c>
      <c r="E1359" s="1">
        <v>677</v>
      </c>
      <c r="F1359" s="1" t="s">
        <v>2062</v>
      </c>
      <c r="G1359" s="1" t="s">
        <v>2063</v>
      </c>
      <c r="H1359" s="1" t="s">
        <v>141</v>
      </c>
      <c r="I1359" s="1" t="s">
        <v>65</v>
      </c>
      <c r="J1359" s="1">
        <v>3</v>
      </c>
      <c r="K1359" s="1" t="s">
        <v>142</v>
      </c>
      <c r="L1359" s="1" t="s">
        <v>153</v>
      </c>
      <c r="M1359" s="1" t="s">
        <v>1256</v>
      </c>
      <c r="N1359" s="1" t="str">
        <f>HYPERLINK("https://klocwork.india.ti.com:443/review/insight-review.html#issuedetails_goto:problemid=120118,project=MCU_PLUS_SDK_AM263X,searchquery=taxonomy:'C and C++' build:Build_Apr_13_2023_11_11_AM grouping:off ","KW Issue Link")</f>
        <v>KW Issue Link</v>
      </c>
      <c r="O1359" s="1" t="s">
        <v>291</v>
      </c>
    </row>
    <row r="1360" spans="1:15" ht="75" x14ac:dyDescent="0.25">
      <c r="A1360" s="1" t="s">
        <v>1257</v>
      </c>
      <c r="B1360" s="1"/>
      <c r="C1360" s="1" t="s">
        <v>476</v>
      </c>
      <c r="D1360" s="1">
        <v>120119</v>
      </c>
      <c r="E1360" s="1">
        <v>533</v>
      </c>
      <c r="F1360" s="1" t="s">
        <v>2064</v>
      </c>
      <c r="G1360" s="1" t="s">
        <v>478</v>
      </c>
      <c r="H1360" s="1" t="s">
        <v>141</v>
      </c>
      <c r="I1360" s="1" t="s">
        <v>65</v>
      </c>
      <c r="J1360" s="1">
        <v>3</v>
      </c>
      <c r="K1360" s="1" t="s">
        <v>142</v>
      </c>
      <c r="L1360" s="1" t="s">
        <v>153</v>
      </c>
      <c r="M1360" s="1" t="s">
        <v>1256</v>
      </c>
      <c r="N1360" s="1" t="str">
        <f>HYPERLINK("https://klocwork.india.ti.com:443/review/insight-review.html#issuedetails_goto:problemid=120119,project=MCU_PLUS_SDK_AM263X,searchquery=taxonomy:'C and C++' build:Build_Apr_13_2023_11_11_AM grouping:off ","KW Issue Link")</f>
        <v>KW Issue Link</v>
      </c>
      <c r="O1360" s="1" t="s">
        <v>291</v>
      </c>
    </row>
    <row r="1361" spans="1:15" ht="75" x14ac:dyDescent="0.25">
      <c r="A1361" s="1" t="s">
        <v>1257</v>
      </c>
      <c r="B1361" s="1"/>
      <c r="C1361" s="1" t="s">
        <v>476</v>
      </c>
      <c r="D1361" s="1">
        <v>120120</v>
      </c>
      <c r="E1361" s="1">
        <v>596</v>
      </c>
      <c r="F1361" s="1" t="s">
        <v>2065</v>
      </c>
      <c r="G1361" s="1" t="s">
        <v>2066</v>
      </c>
      <c r="H1361" s="1" t="s">
        <v>141</v>
      </c>
      <c r="I1361" s="1" t="s">
        <v>65</v>
      </c>
      <c r="J1361" s="1">
        <v>3</v>
      </c>
      <c r="K1361" s="1" t="s">
        <v>142</v>
      </c>
      <c r="L1361" s="1" t="s">
        <v>153</v>
      </c>
      <c r="M1361" s="1" t="s">
        <v>1256</v>
      </c>
      <c r="N1361" s="1" t="str">
        <f>HYPERLINK("https://klocwork.india.ti.com:443/review/insight-review.html#issuedetails_goto:problemid=120120,project=MCU_PLUS_SDK_AM263X,searchquery=taxonomy:'C and C++' build:Build_Apr_13_2023_11_11_AM grouping:off ","KW Issue Link")</f>
        <v>KW Issue Link</v>
      </c>
      <c r="O1361" s="1" t="s">
        <v>291</v>
      </c>
    </row>
    <row r="1362" spans="1:15" ht="75" x14ac:dyDescent="0.25">
      <c r="A1362" s="1" t="s">
        <v>1257</v>
      </c>
      <c r="B1362" s="1"/>
      <c r="C1362" s="1" t="s">
        <v>476</v>
      </c>
      <c r="D1362" s="1">
        <v>120121</v>
      </c>
      <c r="E1362" s="1">
        <v>1093</v>
      </c>
      <c r="F1362" s="1" t="s">
        <v>2067</v>
      </c>
      <c r="G1362" s="1" t="s">
        <v>2068</v>
      </c>
      <c r="H1362" s="1" t="s">
        <v>141</v>
      </c>
      <c r="I1362" s="1" t="s">
        <v>65</v>
      </c>
      <c r="J1362" s="1">
        <v>3</v>
      </c>
      <c r="K1362" s="1" t="s">
        <v>142</v>
      </c>
      <c r="L1362" s="1" t="s">
        <v>153</v>
      </c>
      <c r="M1362" s="1" t="s">
        <v>1256</v>
      </c>
      <c r="N1362" s="1" t="str">
        <f>HYPERLINK("https://klocwork.india.ti.com:443/review/insight-review.html#issuedetails_goto:problemid=120121,project=MCU_PLUS_SDK_AM263X,searchquery=taxonomy:'C and C++' build:Build_Apr_13_2023_11_11_AM grouping:off ","KW Issue Link")</f>
        <v>KW Issue Link</v>
      </c>
      <c r="O1362" s="1" t="s">
        <v>291</v>
      </c>
    </row>
    <row r="1363" spans="1:15" ht="75" x14ac:dyDescent="0.25">
      <c r="A1363" s="1" t="s">
        <v>1257</v>
      </c>
      <c r="B1363" s="1"/>
      <c r="C1363" s="1" t="s">
        <v>476</v>
      </c>
      <c r="D1363" s="1">
        <v>120122</v>
      </c>
      <c r="E1363" s="1">
        <v>1559</v>
      </c>
      <c r="F1363" s="1" t="s">
        <v>2069</v>
      </c>
      <c r="G1363" s="1" t="s">
        <v>481</v>
      </c>
      <c r="H1363" s="1" t="s">
        <v>141</v>
      </c>
      <c r="I1363" s="1" t="s">
        <v>65</v>
      </c>
      <c r="J1363" s="1">
        <v>3</v>
      </c>
      <c r="K1363" s="1" t="s">
        <v>142</v>
      </c>
      <c r="L1363" s="1" t="s">
        <v>153</v>
      </c>
      <c r="M1363" s="1" t="s">
        <v>1256</v>
      </c>
      <c r="N1363" s="1" t="str">
        <f>HYPERLINK("https://klocwork.india.ti.com:443/review/insight-review.html#issuedetails_goto:problemid=120122,project=MCU_PLUS_SDK_AM263X,searchquery=taxonomy:'C and C++' build:Build_Apr_13_2023_11_11_AM grouping:off ","KW Issue Link")</f>
        <v>KW Issue Link</v>
      </c>
      <c r="O1363" s="1" t="s">
        <v>291</v>
      </c>
    </row>
    <row r="1364" spans="1:15" ht="75" x14ac:dyDescent="0.25">
      <c r="A1364" s="1" t="s">
        <v>1257</v>
      </c>
      <c r="B1364" s="1"/>
      <c r="C1364" s="1" t="s">
        <v>476</v>
      </c>
      <c r="D1364" s="1">
        <v>120123</v>
      </c>
      <c r="E1364" s="1">
        <v>1952</v>
      </c>
      <c r="F1364" s="1" t="s">
        <v>2070</v>
      </c>
      <c r="G1364" s="1" t="s">
        <v>480</v>
      </c>
      <c r="H1364" s="1" t="s">
        <v>141</v>
      </c>
      <c r="I1364" s="1" t="s">
        <v>65</v>
      </c>
      <c r="J1364" s="1">
        <v>3</v>
      </c>
      <c r="K1364" s="1" t="s">
        <v>142</v>
      </c>
      <c r="L1364" s="1" t="s">
        <v>153</v>
      </c>
      <c r="M1364" s="1" t="s">
        <v>1256</v>
      </c>
      <c r="N1364" s="1" t="str">
        <f>HYPERLINK("https://klocwork.india.ti.com:443/review/insight-review.html#issuedetails_goto:problemid=120123,project=MCU_PLUS_SDK_AM263X,searchquery=taxonomy:'C and C++' build:Build_Apr_13_2023_11_11_AM grouping:off ","KW Issue Link")</f>
        <v>KW Issue Link</v>
      </c>
      <c r="O1364" s="1" t="s">
        <v>291</v>
      </c>
    </row>
    <row r="1365" spans="1:15" ht="75" x14ac:dyDescent="0.25">
      <c r="A1365" s="1" t="s">
        <v>1257</v>
      </c>
      <c r="B1365" s="1"/>
      <c r="C1365" s="1" t="s">
        <v>476</v>
      </c>
      <c r="D1365" s="1">
        <v>120124</v>
      </c>
      <c r="E1365" s="1">
        <v>2176</v>
      </c>
      <c r="F1365" s="1" t="s">
        <v>2071</v>
      </c>
      <c r="G1365" s="1" t="s">
        <v>2072</v>
      </c>
      <c r="H1365" s="1" t="s">
        <v>141</v>
      </c>
      <c r="I1365" s="1" t="s">
        <v>65</v>
      </c>
      <c r="J1365" s="1">
        <v>3</v>
      </c>
      <c r="K1365" s="1" t="s">
        <v>142</v>
      </c>
      <c r="L1365" s="1" t="s">
        <v>153</v>
      </c>
      <c r="M1365" s="1" t="s">
        <v>1256</v>
      </c>
      <c r="N1365" s="1" t="str">
        <f>HYPERLINK("https://klocwork.india.ti.com:443/review/insight-review.html#issuedetails_goto:problemid=120124,project=MCU_PLUS_SDK_AM263X,searchquery=taxonomy:'C and C++' build:Build_Apr_13_2023_11_11_AM grouping:off ","KW Issue Link")</f>
        <v>KW Issue Link</v>
      </c>
      <c r="O1365" s="1" t="s">
        <v>291</v>
      </c>
    </row>
    <row r="1366" spans="1:15" ht="75" x14ac:dyDescent="0.25">
      <c r="A1366" s="1" t="s">
        <v>1257</v>
      </c>
      <c r="B1366" s="1"/>
      <c r="C1366" s="1" t="s">
        <v>476</v>
      </c>
      <c r="D1366" s="1">
        <v>120125</v>
      </c>
      <c r="E1366" s="1">
        <v>2305</v>
      </c>
      <c r="F1366" s="1" t="s">
        <v>2073</v>
      </c>
      <c r="G1366" s="1" t="s">
        <v>485</v>
      </c>
      <c r="H1366" s="1" t="s">
        <v>141</v>
      </c>
      <c r="I1366" s="1" t="s">
        <v>65</v>
      </c>
      <c r="J1366" s="1">
        <v>3</v>
      </c>
      <c r="K1366" s="1" t="s">
        <v>142</v>
      </c>
      <c r="L1366" s="1" t="s">
        <v>153</v>
      </c>
      <c r="M1366" s="1" t="s">
        <v>1256</v>
      </c>
      <c r="N1366" s="1" t="str">
        <f>HYPERLINK("https://klocwork.india.ti.com:443/review/insight-review.html#issuedetails_goto:problemid=120125,project=MCU_PLUS_SDK_AM263X,searchquery=taxonomy:'C and C++' build:Build_Apr_13_2023_11_11_AM grouping:off ","KW Issue Link")</f>
        <v>KW Issue Link</v>
      </c>
      <c r="O1366" s="1" t="s">
        <v>291</v>
      </c>
    </row>
    <row r="1367" spans="1:15" ht="75" x14ac:dyDescent="0.25">
      <c r="A1367" s="1" t="s">
        <v>1257</v>
      </c>
      <c r="B1367" s="1"/>
      <c r="C1367" s="1" t="s">
        <v>476</v>
      </c>
      <c r="D1367" s="1">
        <v>120126</v>
      </c>
      <c r="E1367" s="1">
        <v>2424</v>
      </c>
      <c r="F1367" s="1" t="s">
        <v>2074</v>
      </c>
      <c r="G1367" s="1" t="s">
        <v>2075</v>
      </c>
      <c r="H1367" s="1" t="s">
        <v>141</v>
      </c>
      <c r="I1367" s="1" t="s">
        <v>65</v>
      </c>
      <c r="J1367" s="1">
        <v>3</v>
      </c>
      <c r="K1367" s="1" t="s">
        <v>142</v>
      </c>
      <c r="L1367" s="1" t="s">
        <v>153</v>
      </c>
      <c r="M1367" s="1" t="s">
        <v>1256</v>
      </c>
      <c r="N1367" s="1" t="str">
        <f>HYPERLINK("https://klocwork.india.ti.com:443/review/insight-review.html#issuedetails_goto:problemid=120126,project=MCU_PLUS_SDK_AM263X,searchquery=taxonomy:'C and C++' build:Build_Apr_13_2023_11_11_AM grouping:off ","KW Issue Link")</f>
        <v>KW Issue Link</v>
      </c>
      <c r="O1367" s="1" t="s">
        <v>291</v>
      </c>
    </row>
    <row r="1368" spans="1:15" ht="75" x14ac:dyDescent="0.25">
      <c r="A1368" s="1" t="s">
        <v>1257</v>
      </c>
      <c r="B1368" s="1"/>
      <c r="C1368" s="1" t="s">
        <v>476</v>
      </c>
      <c r="D1368" s="1">
        <v>120127</v>
      </c>
      <c r="E1368" s="1">
        <v>2441</v>
      </c>
      <c r="F1368" s="1" t="s">
        <v>2076</v>
      </c>
      <c r="G1368" s="1" t="s">
        <v>2077</v>
      </c>
      <c r="H1368" s="1" t="s">
        <v>141</v>
      </c>
      <c r="I1368" s="1" t="s">
        <v>65</v>
      </c>
      <c r="J1368" s="1">
        <v>3</v>
      </c>
      <c r="K1368" s="1" t="s">
        <v>142</v>
      </c>
      <c r="L1368" s="1" t="s">
        <v>153</v>
      </c>
      <c r="M1368" s="1" t="s">
        <v>1256</v>
      </c>
      <c r="N1368" s="1" t="str">
        <f>HYPERLINK("https://klocwork.india.ti.com:443/review/insight-review.html#issuedetails_goto:problemid=120127,project=MCU_PLUS_SDK_AM263X,searchquery=taxonomy:'C and C++' build:Build_Apr_13_2023_11_11_AM grouping:off ","KW Issue Link")</f>
        <v>KW Issue Link</v>
      </c>
      <c r="O1368" s="1" t="s">
        <v>291</v>
      </c>
    </row>
    <row r="1369" spans="1:15" ht="75" x14ac:dyDescent="0.25">
      <c r="A1369" s="1" t="s">
        <v>1257</v>
      </c>
      <c r="B1369" s="1"/>
      <c r="C1369" s="1" t="s">
        <v>476</v>
      </c>
      <c r="D1369" s="1">
        <v>120128</v>
      </c>
      <c r="E1369" s="1">
        <v>2468</v>
      </c>
      <c r="F1369" s="1" t="s">
        <v>2078</v>
      </c>
      <c r="G1369" s="1" t="s">
        <v>2079</v>
      </c>
      <c r="H1369" s="1" t="s">
        <v>141</v>
      </c>
      <c r="I1369" s="1" t="s">
        <v>65</v>
      </c>
      <c r="J1369" s="1">
        <v>3</v>
      </c>
      <c r="K1369" s="1" t="s">
        <v>142</v>
      </c>
      <c r="L1369" s="1" t="s">
        <v>153</v>
      </c>
      <c r="M1369" s="1" t="s">
        <v>1256</v>
      </c>
      <c r="N1369" s="1" t="str">
        <f>HYPERLINK("https://klocwork.india.ti.com:443/review/insight-review.html#issuedetails_goto:problemid=120128,project=MCU_PLUS_SDK_AM263X,searchquery=taxonomy:'C and C++' build:Build_Apr_13_2023_11_11_AM grouping:off ","KW Issue Link")</f>
        <v>KW Issue Link</v>
      </c>
      <c r="O1369" s="1" t="s">
        <v>291</v>
      </c>
    </row>
    <row r="1370" spans="1:15" ht="75" x14ac:dyDescent="0.25">
      <c r="A1370" s="1" t="s">
        <v>1257</v>
      </c>
      <c r="B1370" s="1"/>
      <c r="C1370" s="1" t="s">
        <v>476</v>
      </c>
      <c r="D1370" s="1">
        <v>120129</v>
      </c>
      <c r="E1370" s="1">
        <v>2516</v>
      </c>
      <c r="F1370" s="1" t="s">
        <v>2080</v>
      </c>
      <c r="G1370" s="1" t="s">
        <v>482</v>
      </c>
      <c r="H1370" s="1" t="s">
        <v>141</v>
      </c>
      <c r="I1370" s="1" t="s">
        <v>65</v>
      </c>
      <c r="J1370" s="1">
        <v>3</v>
      </c>
      <c r="K1370" s="1" t="s">
        <v>142</v>
      </c>
      <c r="L1370" s="1" t="s">
        <v>153</v>
      </c>
      <c r="M1370" s="1" t="s">
        <v>1256</v>
      </c>
      <c r="N1370" s="1" t="str">
        <f>HYPERLINK("https://klocwork.india.ti.com:443/review/insight-review.html#issuedetails_goto:problemid=120129,project=MCU_PLUS_SDK_AM263X,searchquery=taxonomy:'C and C++' build:Build_Apr_13_2023_11_11_AM grouping:off ","KW Issue Link")</f>
        <v>KW Issue Link</v>
      </c>
      <c r="O1370" s="1" t="s">
        <v>291</v>
      </c>
    </row>
    <row r="1371" spans="1:15" ht="75" x14ac:dyDescent="0.25">
      <c r="A1371" s="1" t="s">
        <v>1257</v>
      </c>
      <c r="B1371" s="1"/>
      <c r="C1371" s="1" t="s">
        <v>476</v>
      </c>
      <c r="D1371" s="1">
        <v>120130</v>
      </c>
      <c r="E1371" s="1">
        <v>2601</v>
      </c>
      <c r="F1371" s="1" t="s">
        <v>2081</v>
      </c>
      <c r="G1371" s="1" t="s">
        <v>2082</v>
      </c>
      <c r="H1371" s="1" t="s">
        <v>141</v>
      </c>
      <c r="I1371" s="1" t="s">
        <v>65</v>
      </c>
      <c r="J1371" s="1">
        <v>3</v>
      </c>
      <c r="K1371" s="1" t="s">
        <v>142</v>
      </c>
      <c r="L1371" s="1" t="s">
        <v>153</v>
      </c>
      <c r="M1371" s="1" t="s">
        <v>1256</v>
      </c>
      <c r="N1371" s="1" t="str">
        <f>HYPERLINK("https://klocwork.india.ti.com:443/review/insight-review.html#issuedetails_goto:problemid=120130,project=MCU_PLUS_SDK_AM263X,searchquery=taxonomy:'C and C++' build:Build_Apr_13_2023_11_11_AM grouping:off ","KW Issue Link")</f>
        <v>KW Issue Link</v>
      </c>
      <c r="O1371" s="1" t="s">
        <v>291</v>
      </c>
    </row>
    <row r="1372" spans="1:15" ht="75" x14ac:dyDescent="0.25">
      <c r="A1372" s="1" t="s">
        <v>1257</v>
      </c>
      <c r="B1372" s="1"/>
      <c r="C1372" s="1" t="s">
        <v>476</v>
      </c>
      <c r="D1372" s="1">
        <v>120131</v>
      </c>
      <c r="E1372" s="1">
        <v>2638</v>
      </c>
      <c r="F1372" s="1" t="s">
        <v>2083</v>
      </c>
      <c r="G1372" s="1" t="s">
        <v>2084</v>
      </c>
      <c r="H1372" s="1" t="s">
        <v>141</v>
      </c>
      <c r="I1372" s="1" t="s">
        <v>65</v>
      </c>
      <c r="J1372" s="1">
        <v>3</v>
      </c>
      <c r="K1372" s="1" t="s">
        <v>142</v>
      </c>
      <c r="L1372" s="1" t="s">
        <v>153</v>
      </c>
      <c r="M1372" s="1" t="s">
        <v>1256</v>
      </c>
      <c r="N1372" s="1" t="str">
        <f>HYPERLINK("https://klocwork.india.ti.com:443/review/insight-review.html#issuedetails_goto:problemid=120131,project=MCU_PLUS_SDK_AM263X,searchquery=taxonomy:'C and C++' build:Build_Apr_13_2023_11_11_AM grouping:off ","KW Issue Link")</f>
        <v>KW Issue Link</v>
      </c>
      <c r="O1372" s="1" t="s">
        <v>291</v>
      </c>
    </row>
    <row r="1373" spans="1:15" ht="75" x14ac:dyDescent="0.25">
      <c r="A1373" s="1" t="s">
        <v>1257</v>
      </c>
      <c r="B1373" s="1"/>
      <c r="C1373" s="1" t="s">
        <v>476</v>
      </c>
      <c r="D1373" s="1">
        <v>120132</v>
      </c>
      <c r="E1373" s="1">
        <v>2659</v>
      </c>
      <c r="F1373" s="1" t="s">
        <v>2085</v>
      </c>
      <c r="G1373" s="1" t="s">
        <v>2086</v>
      </c>
      <c r="H1373" s="1" t="s">
        <v>141</v>
      </c>
      <c r="I1373" s="1" t="s">
        <v>65</v>
      </c>
      <c r="J1373" s="1">
        <v>3</v>
      </c>
      <c r="K1373" s="1" t="s">
        <v>142</v>
      </c>
      <c r="L1373" s="1" t="s">
        <v>153</v>
      </c>
      <c r="M1373" s="1" t="s">
        <v>1256</v>
      </c>
      <c r="N1373" s="1" t="str">
        <f>HYPERLINK("https://klocwork.india.ti.com:443/review/insight-review.html#issuedetails_goto:problemid=120132,project=MCU_PLUS_SDK_AM263X,searchquery=taxonomy:'C and C++' build:Build_Apr_13_2023_11_11_AM grouping:off ","KW Issue Link")</f>
        <v>KW Issue Link</v>
      </c>
      <c r="O1373" s="1" t="s">
        <v>291</v>
      </c>
    </row>
    <row r="1374" spans="1:15" ht="75" x14ac:dyDescent="0.25">
      <c r="A1374" s="1" t="s">
        <v>1266</v>
      </c>
      <c r="B1374" s="1"/>
      <c r="C1374" s="1" t="s">
        <v>476</v>
      </c>
      <c r="D1374" s="1">
        <v>120133</v>
      </c>
      <c r="E1374" s="1">
        <v>533</v>
      </c>
      <c r="F1374" s="1" t="s">
        <v>2087</v>
      </c>
      <c r="G1374" s="1" t="s">
        <v>478</v>
      </c>
      <c r="H1374" s="1" t="s">
        <v>141</v>
      </c>
      <c r="I1374" s="1" t="s">
        <v>65</v>
      </c>
      <c r="J1374" s="1">
        <v>3</v>
      </c>
      <c r="K1374" s="1" t="s">
        <v>142</v>
      </c>
      <c r="L1374" s="1" t="s">
        <v>153</v>
      </c>
      <c r="M1374" s="1" t="s">
        <v>1256</v>
      </c>
      <c r="N1374" s="1" t="str">
        <f>HYPERLINK("https://klocwork.india.ti.com:443/review/insight-review.html#issuedetails_goto:problemid=120133,project=MCU_PLUS_SDK_AM263X,searchquery=taxonomy:'C and C++' build:Build_Apr_13_2023_11_11_AM grouping:off ","KW Issue Link")</f>
        <v>KW Issue Link</v>
      </c>
      <c r="O1374" s="1" t="s">
        <v>291</v>
      </c>
    </row>
    <row r="1375" spans="1:15" ht="75" x14ac:dyDescent="0.25">
      <c r="A1375" s="1" t="s">
        <v>1266</v>
      </c>
      <c r="B1375" s="1"/>
      <c r="C1375" s="1" t="s">
        <v>476</v>
      </c>
      <c r="D1375" s="1">
        <v>120134</v>
      </c>
      <c r="E1375" s="1">
        <v>596</v>
      </c>
      <c r="F1375" s="1" t="s">
        <v>2088</v>
      </c>
      <c r="G1375" s="1" t="s">
        <v>2066</v>
      </c>
      <c r="H1375" s="1" t="s">
        <v>141</v>
      </c>
      <c r="I1375" s="1" t="s">
        <v>65</v>
      </c>
      <c r="J1375" s="1">
        <v>3</v>
      </c>
      <c r="K1375" s="1" t="s">
        <v>142</v>
      </c>
      <c r="L1375" s="1" t="s">
        <v>153</v>
      </c>
      <c r="M1375" s="1" t="s">
        <v>1256</v>
      </c>
      <c r="N1375" s="1" t="str">
        <f>HYPERLINK("https://klocwork.india.ti.com:443/review/insight-review.html#issuedetails_goto:problemid=120134,project=MCU_PLUS_SDK_AM263X,searchquery=taxonomy:'C and C++' build:Build_Apr_13_2023_11_11_AM grouping:off ","KW Issue Link")</f>
        <v>KW Issue Link</v>
      </c>
      <c r="O1375" s="1" t="s">
        <v>291</v>
      </c>
    </row>
    <row r="1376" spans="1:15" ht="75" x14ac:dyDescent="0.25">
      <c r="A1376" s="1" t="s">
        <v>1266</v>
      </c>
      <c r="B1376" s="1"/>
      <c r="C1376" s="1" t="s">
        <v>476</v>
      </c>
      <c r="D1376" s="1">
        <v>120135</v>
      </c>
      <c r="E1376" s="1">
        <v>1093</v>
      </c>
      <c r="F1376" s="1" t="s">
        <v>2089</v>
      </c>
      <c r="G1376" s="1" t="s">
        <v>2068</v>
      </c>
      <c r="H1376" s="1" t="s">
        <v>141</v>
      </c>
      <c r="I1376" s="1" t="s">
        <v>65</v>
      </c>
      <c r="J1376" s="1">
        <v>3</v>
      </c>
      <c r="K1376" s="1" t="s">
        <v>142</v>
      </c>
      <c r="L1376" s="1" t="s">
        <v>153</v>
      </c>
      <c r="M1376" s="1" t="s">
        <v>1256</v>
      </c>
      <c r="N1376" s="1" t="str">
        <f>HYPERLINK("https://klocwork.india.ti.com:443/review/insight-review.html#issuedetails_goto:problemid=120135,project=MCU_PLUS_SDK_AM263X,searchquery=taxonomy:'C and C++' build:Build_Apr_13_2023_11_11_AM grouping:off ","KW Issue Link")</f>
        <v>KW Issue Link</v>
      </c>
      <c r="O1376" s="1" t="s">
        <v>291</v>
      </c>
    </row>
    <row r="1377" spans="1:15" ht="75" x14ac:dyDescent="0.25">
      <c r="A1377" s="1" t="s">
        <v>1266</v>
      </c>
      <c r="B1377" s="1"/>
      <c r="C1377" s="1" t="s">
        <v>476</v>
      </c>
      <c r="D1377" s="1">
        <v>120136</v>
      </c>
      <c r="E1377" s="1">
        <v>1559</v>
      </c>
      <c r="F1377" s="1" t="s">
        <v>2090</v>
      </c>
      <c r="G1377" s="1" t="s">
        <v>481</v>
      </c>
      <c r="H1377" s="1" t="s">
        <v>141</v>
      </c>
      <c r="I1377" s="1" t="s">
        <v>65</v>
      </c>
      <c r="J1377" s="1">
        <v>3</v>
      </c>
      <c r="K1377" s="1" t="s">
        <v>142</v>
      </c>
      <c r="L1377" s="1" t="s">
        <v>153</v>
      </c>
      <c r="M1377" s="1" t="s">
        <v>1256</v>
      </c>
      <c r="N1377" s="1" t="str">
        <f>HYPERLINK("https://klocwork.india.ti.com:443/review/insight-review.html#issuedetails_goto:problemid=120136,project=MCU_PLUS_SDK_AM263X,searchquery=taxonomy:'C and C++' build:Build_Apr_13_2023_11_11_AM grouping:off ","KW Issue Link")</f>
        <v>KW Issue Link</v>
      </c>
      <c r="O1377" s="1" t="s">
        <v>291</v>
      </c>
    </row>
    <row r="1378" spans="1:15" ht="75" x14ac:dyDescent="0.25">
      <c r="A1378" s="1" t="s">
        <v>1266</v>
      </c>
      <c r="B1378" s="1"/>
      <c r="C1378" s="1" t="s">
        <v>476</v>
      </c>
      <c r="D1378" s="1">
        <v>120137</v>
      </c>
      <c r="E1378" s="1">
        <v>1952</v>
      </c>
      <c r="F1378" s="1" t="s">
        <v>2091</v>
      </c>
      <c r="G1378" s="1" t="s">
        <v>480</v>
      </c>
      <c r="H1378" s="1" t="s">
        <v>141</v>
      </c>
      <c r="I1378" s="1" t="s">
        <v>65</v>
      </c>
      <c r="J1378" s="1">
        <v>3</v>
      </c>
      <c r="K1378" s="1" t="s">
        <v>142</v>
      </c>
      <c r="L1378" s="1" t="s">
        <v>153</v>
      </c>
      <c r="M1378" s="1" t="s">
        <v>1256</v>
      </c>
      <c r="N1378" s="1" t="str">
        <f>HYPERLINK("https://klocwork.india.ti.com:443/review/insight-review.html#issuedetails_goto:problemid=120137,project=MCU_PLUS_SDK_AM263X,searchquery=taxonomy:'C and C++' build:Build_Apr_13_2023_11_11_AM grouping:off ","KW Issue Link")</f>
        <v>KW Issue Link</v>
      </c>
      <c r="O1378" s="1" t="s">
        <v>291</v>
      </c>
    </row>
    <row r="1379" spans="1:15" ht="75" x14ac:dyDescent="0.25">
      <c r="A1379" s="1" t="s">
        <v>1266</v>
      </c>
      <c r="B1379" s="1"/>
      <c r="C1379" s="1" t="s">
        <v>476</v>
      </c>
      <c r="D1379" s="1">
        <v>120138</v>
      </c>
      <c r="E1379" s="1">
        <v>2176</v>
      </c>
      <c r="F1379" s="1" t="s">
        <v>2092</v>
      </c>
      <c r="G1379" s="1" t="s">
        <v>2072</v>
      </c>
      <c r="H1379" s="1" t="s">
        <v>141</v>
      </c>
      <c r="I1379" s="1" t="s">
        <v>65</v>
      </c>
      <c r="J1379" s="1">
        <v>3</v>
      </c>
      <c r="K1379" s="1" t="s">
        <v>142</v>
      </c>
      <c r="L1379" s="1" t="s">
        <v>153</v>
      </c>
      <c r="M1379" s="1" t="s">
        <v>1256</v>
      </c>
      <c r="N1379" s="1" t="str">
        <f>HYPERLINK("https://klocwork.india.ti.com:443/review/insight-review.html#issuedetails_goto:problemid=120138,project=MCU_PLUS_SDK_AM263X,searchquery=taxonomy:'C and C++' build:Build_Apr_13_2023_11_11_AM grouping:off ","KW Issue Link")</f>
        <v>KW Issue Link</v>
      </c>
      <c r="O1379" s="1" t="s">
        <v>291</v>
      </c>
    </row>
    <row r="1380" spans="1:15" ht="75" x14ac:dyDescent="0.25">
      <c r="A1380" s="1" t="s">
        <v>1266</v>
      </c>
      <c r="B1380" s="1"/>
      <c r="C1380" s="1" t="s">
        <v>476</v>
      </c>
      <c r="D1380" s="1">
        <v>120139</v>
      </c>
      <c r="E1380" s="1">
        <v>2305</v>
      </c>
      <c r="F1380" s="1" t="s">
        <v>2093</v>
      </c>
      <c r="G1380" s="1" t="s">
        <v>485</v>
      </c>
      <c r="H1380" s="1" t="s">
        <v>141</v>
      </c>
      <c r="I1380" s="1" t="s">
        <v>65</v>
      </c>
      <c r="J1380" s="1">
        <v>3</v>
      </c>
      <c r="K1380" s="1" t="s">
        <v>142</v>
      </c>
      <c r="L1380" s="1" t="s">
        <v>153</v>
      </c>
      <c r="M1380" s="1" t="s">
        <v>1256</v>
      </c>
      <c r="N1380" s="1" t="str">
        <f>HYPERLINK("https://klocwork.india.ti.com:443/review/insight-review.html#issuedetails_goto:problemid=120139,project=MCU_PLUS_SDK_AM263X,searchquery=taxonomy:'C and C++' build:Build_Apr_13_2023_11_11_AM grouping:off ","KW Issue Link")</f>
        <v>KW Issue Link</v>
      </c>
      <c r="O1380" s="1" t="s">
        <v>291</v>
      </c>
    </row>
    <row r="1381" spans="1:15" ht="75" x14ac:dyDescent="0.25">
      <c r="A1381" s="1" t="s">
        <v>1266</v>
      </c>
      <c r="B1381" s="1"/>
      <c r="C1381" s="1" t="s">
        <v>476</v>
      </c>
      <c r="D1381" s="1">
        <v>120140</v>
      </c>
      <c r="E1381" s="1">
        <v>2468</v>
      </c>
      <c r="F1381" s="1" t="s">
        <v>2094</v>
      </c>
      <c r="G1381" s="1" t="s">
        <v>2079</v>
      </c>
      <c r="H1381" s="1" t="s">
        <v>141</v>
      </c>
      <c r="I1381" s="1" t="s">
        <v>65</v>
      </c>
      <c r="J1381" s="1">
        <v>3</v>
      </c>
      <c r="K1381" s="1" t="s">
        <v>142</v>
      </c>
      <c r="L1381" s="1" t="s">
        <v>153</v>
      </c>
      <c r="M1381" s="1" t="s">
        <v>1256</v>
      </c>
      <c r="N1381" s="1" t="str">
        <f>HYPERLINK("https://klocwork.india.ti.com:443/review/insight-review.html#issuedetails_goto:problemid=120140,project=MCU_PLUS_SDK_AM263X,searchquery=taxonomy:'C and C++' build:Build_Apr_13_2023_11_11_AM grouping:off ","KW Issue Link")</f>
        <v>KW Issue Link</v>
      </c>
      <c r="O1381" s="1" t="s">
        <v>291</v>
      </c>
    </row>
    <row r="1382" spans="1:15" ht="75" x14ac:dyDescent="0.25">
      <c r="A1382" s="1" t="s">
        <v>1266</v>
      </c>
      <c r="B1382" s="1"/>
      <c r="C1382" s="1" t="s">
        <v>476</v>
      </c>
      <c r="D1382" s="1">
        <v>120141</v>
      </c>
      <c r="E1382" s="1">
        <v>2516</v>
      </c>
      <c r="F1382" s="1" t="s">
        <v>2095</v>
      </c>
      <c r="G1382" s="1" t="s">
        <v>482</v>
      </c>
      <c r="H1382" s="1" t="s">
        <v>141</v>
      </c>
      <c r="I1382" s="1" t="s">
        <v>65</v>
      </c>
      <c r="J1382" s="1">
        <v>3</v>
      </c>
      <c r="K1382" s="1" t="s">
        <v>142</v>
      </c>
      <c r="L1382" s="1" t="s">
        <v>153</v>
      </c>
      <c r="M1382" s="1" t="s">
        <v>1256</v>
      </c>
      <c r="N1382" s="1" t="str">
        <f>HYPERLINK("https://klocwork.india.ti.com:443/review/insight-review.html#issuedetails_goto:problemid=120141,project=MCU_PLUS_SDK_AM263X,searchquery=taxonomy:'C and C++' build:Build_Apr_13_2023_11_11_AM grouping:off ","KW Issue Link")</f>
        <v>KW Issue Link</v>
      </c>
      <c r="O1382" s="1" t="s">
        <v>291</v>
      </c>
    </row>
    <row r="1383" spans="1:15" ht="75" x14ac:dyDescent="0.25">
      <c r="A1383" s="1" t="s">
        <v>1266</v>
      </c>
      <c r="B1383" s="1"/>
      <c r="C1383" s="1" t="s">
        <v>476</v>
      </c>
      <c r="D1383" s="1">
        <v>120142</v>
      </c>
      <c r="E1383" s="1">
        <v>2601</v>
      </c>
      <c r="F1383" s="1" t="s">
        <v>2096</v>
      </c>
      <c r="G1383" s="1" t="s">
        <v>2082</v>
      </c>
      <c r="H1383" s="1" t="s">
        <v>141</v>
      </c>
      <c r="I1383" s="1" t="s">
        <v>65</v>
      </c>
      <c r="J1383" s="1">
        <v>3</v>
      </c>
      <c r="K1383" s="1" t="s">
        <v>142</v>
      </c>
      <c r="L1383" s="1" t="s">
        <v>153</v>
      </c>
      <c r="M1383" s="1" t="s">
        <v>1256</v>
      </c>
      <c r="N1383" s="1" t="str">
        <f>HYPERLINK("https://klocwork.india.ti.com:443/review/insight-review.html#issuedetails_goto:problemid=120142,project=MCU_PLUS_SDK_AM263X,searchquery=taxonomy:'C and C++' build:Build_Apr_13_2023_11_11_AM grouping:off ","KW Issue Link")</f>
        <v>KW Issue Link</v>
      </c>
      <c r="O1383" s="1" t="s">
        <v>291</v>
      </c>
    </row>
    <row r="1384" spans="1:15" ht="75" x14ac:dyDescent="0.25">
      <c r="A1384" s="1" t="s">
        <v>1268</v>
      </c>
      <c r="B1384" s="1"/>
      <c r="C1384" s="1" t="s">
        <v>476</v>
      </c>
      <c r="D1384" s="1">
        <v>120145</v>
      </c>
      <c r="E1384" s="1">
        <v>533</v>
      </c>
      <c r="F1384" s="1" t="s">
        <v>2097</v>
      </c>
      <c r="G1384" s="1" t="s">
        <v>478</v>
      </c>
      <c r="H1384" s="1" t="s">
        <v>141</v>
      </c>
      <c r="I1384" s="1" t="s">
        <v>65</v>
      </c>
      <c r="J1384" s="1">
        <v>3</v>
      </c>
      <c r="K1384" s="1" t="s">
        <v>142</v>
      </c>
      <c r="L1384" s="1" t="s">
        <v>153</v>
      </c>
      <c r="M1384" s="1" t="s">
        <v>1256</v>
      </c>
      <c r="N1384" s="1" t="str">
        <f>HYPERLINK("https://klocwork.india.ti.com:443/review/insight-review.html#issuedetails_goto:problemid=120145,project=MCU_PLUS_SDK_AM263X,searchquery=taxonomy:'C and C++' build:Build_Apr_13_2023_11_11_AM grouping:off ","KW Issue Link")</f>
        <v>KW Issue Link</v>
      </c>
      <c r="O1384" s="1" t="s">
        <v>291</v>
      </c>
    </row>
    <row r="1385" spans="1:15" ht="75" x14ac:dyDescent="0.25">
      <c r="A1385" s="1" t="s">
        <v>1268</v>
      </c>
      <c r="B1385" s="1"/>
      <c r="C1385" s="1" t="s">
        <v>476</v>
      </c>
      <c r="D1385" s="1">
        <v>120146</v>
      </c>
      <c r="E1385" s="1">
        <v>596</v>
      </c>
      <c r="F1385" s="1" t="s">
        <v>2098</v>
      </c>
      <c r="G1385" s="1" t="s">
        <v>2066</v>
      </c>
      <c r="H1385" s="1" t="s">
        <v>141</v>
      </c>
      <c r="I1385" s="1" t="s">
        <v>65</v>
      </c>
      <c r="J1385" s="1">
        <v>3</v>
      </c>
      <c r="K1385" s="1" t="s">
        <v>142</v>
      </c>
      <c r="L1385" s="1" t="s">
        <v>153</v>
      </c>
      <c r="M1385" s="1" t="s">
        <v>1256</v>
      </c>
      <c r="N1385" s="1" t="str">
        <f>HYPERLINK("https://klocwork.india.ti.com:443/review/insight-review.html#issuedetails_goto:problemid=120146,project=MCU_PLUS_SDK_AM263X,searchquery=taxonomy:'C and C++' build:Build_Apr_13_2023_11_11_AM grouping:off ","KW Issue Link")</f>
        <v>KW Issue Link</v>
      </c>
      <c r="O1385" s="1" t="s">
        <v>291</v>
      </c>
    </row>
    <row r="1386" spans="1:15" ht="75" x14ac:dyDescent="0.25">
      <c r="A1386" s="1" t="s">
        <v>1268</v>
      </c>
      <c r="B1386" s="1"/>
      <c r="C1386" s="1" t="s">
        <v>476</v>
      </c>
      <c r="D1386" s="1">
        <v>120147</v>
      </c>
      <c r="E1386" s="1">
        <v>1559</v>
      </c>
      <c r="F1386" s="1" t="s">
        <v>2099</v>
      </c>
      <c r="G1386" s="1" t="s">
        <v>481</v>
      </c>
      <c r="H1386" s="1" t="s">
        <v>141</v>
      </c>
      <c r="I1386" s="1" t="s">
        <v>65</v>
      </c>
      <c r="J1386" s="1">
        <v>3</v>
      </c>
      <c r="K1386" s="1" t="s">
        <v>142</v>
      </c>
      <c r="L1386" s="1" t="s">
        <v>153</v>
      </c>
      <c r="M1386" s="1" t="s">
        <v>1256</v>
      </c>
      <c r="N1386" s="1" t="str">
        <f>HYPERLINK("https://klocwork.india.ti.com:443/review/insight-review.html#issuedetails_goto:problemid=120147,project=MCU_PLUS_SDK_AM263X,searchquery=taxonomy:'C and C++' build:Build_Apr_13_2023_11_11_AM grouping:off ","KW Issue Link")</f>
        <v>KW Issue Link</v>
      </c>
      <c r="O1386" s="1" t="s">
        <v>291</v>
      </c>
    </row>
    <row r="1387" spans="1:15" ht="75" x14ac:dyDescent="0.25">
      <c r="A1387" s="1" t="s">
        <v>1268</v>
      </c>
      <c r="B1387" s="1"/>
      <c r="C1387" s="1" t="s">
        <v>476</v>
      </c>
      <c r="D1387" s="1">
        <v>120148</v>
      </c>
      <c r="E1387" s="1">
        <v>1952</v>
      </c>
      <c r="F1387" s="1" t="s">
        <v>2100</v>
      </c>
      <c r="G1387" s="1" t="s">
        <v>480</v>
      </c>
      <c r="H1387" s="1" t="s">
        <v>141</v>
      </c>
      <c r="I1387" s="1" t="s">
        <v>65</v>
      </c>
      <c r="J1387" s="1">
        <v>3</v>
      </c>
      <c r="K1387" s="1" t="s">
        <v>142</v>
      </c>
      <c r="L1387" s="1" t="s">
        <v>153</v>
      </c>
      <c r="M1387" s="1" t="s">
        <v>1256</v>
      </c>
      <c r="N1387" s="1" t="str">
        <f>HYPERLINK("https://klocwork.india.ti.com:443/review/insight-review.html#issuedetails_goto:problemid=120148,project=MCU_PLUS_SDK_AM263X,searchquery=taxonomy:'C and C++' build:Build_Apr_13_2023_11_11_AM grouping:off ","KW Issue Link")</f>
        <v>KW Issue Link</v>
      </c>
      <c r="O1387" s="1" t="s">
        <v>291</v>
      </c>
    </row>
    <row r="1388" spans="1:15" ht="75" x14ac:dyDescent="0.25">
      <c r="A1388" s="1" t="s">
        <v>1268</v>
      </c>
      <c r="B1388" s="1"/>
      <c r="C1388" s="1" t="s">
        <v>476</v>
      </c>
      <c r="D1388" s="1">
        <v>120149</v>
      </c>
      <c r="E1388" s="1">
        <v>2176</v>
      </c>
      <c r="F1388" s="1" t="s">
        <v>2101</v>
      </c>
      <c r="G1388" s="1" t="s">
        <v>2072</v>
      </c>
      <c r="H1388" s="1" t="s">
        <v>141</v>
      </c>
      <c r="I1388" s="1" t="s">
        <v>65</v>
      </c>
      <c r="J1388" s="1">
        <v>3</v>
      </c>
      <c r="K1388" s="1" t="s">
        <v>142</v>
      </c>
      <c r="L1388" s="1" t="s">
        <v>153</v>
      </c>
      <c r="M1388" s="1" t="s">
        <v>1256</v>
      </c>
      <c r="N1388" s="1" t="str">
        <f>HYPERLINK("https://klocwork.india.ti.com:443/review/insight-review.html#issuedetails_goto:problemid=120149,project=MCU_PLUS_SDK_AM263X,searchquery=taxonomy:'C and C++' build:Build_Apr_13_2023_11_11_AM grouping:off ","KW Issue Link")</f>
        <v>KW Issue Link</v>
      </c>
      <c r="O1388" s="1" t="s">
        <v>291</v>
      </c>
    </row>
    <row r="1389" spans="1:15" ht="75" x14ac:dyDescent="0.25">
      <c r="A1389" s="1" t="s">
        <v>1268</v>
      </c>
      <c r="B1389" s="1"/>
      <c r="C1389" s="1" t="s">
        <v>476</v>
      </c>
      <c r="D1389" s="1">
        <v>120150</v>
      </c>
      <c r="E1389" s="1">
        <v>2305</v>
      </c>
      <c r="F1389" s="1" t="s">
        <v>2102</v>
      </c>
      <c r="G1389" s="1" t="s">
        <v>485</v>
      </c>
      <c r="H1389" s="1" t="s">
        <v>141</v>
      </c>
      <c r="I1389" s="1" t="s">
        <v>65</v>
      </c>
      <c r="J1389" s="1">
        <v>3</v>
      </c>
      <c r="K1389" s="1" t="s">
        <v>142</v>
      </c>
      <c r="L1389" s="1" t="s">
        <v>153</v>
      </c>
      <c r="M1389" s="1" t="s">
        <v>1256</v>
      </c>
      <c r="N1389" s="1" t="str">
        <f>HYPERLINK("https://klocwork.india.ti.com:443/review/insight-review.html#issuedetails_goto:problemid=120150,project=MCU_PLUS_SDK_AM263X,searchquery=taxonomy:'C and C++' build:Build_Apr_13_2023_11_11_AM grouping:off ","KW Issue Link")</f>
        <v>KW Issue Link</v>
      </c>
      <c r="O1389" s="1" t="s">
        <v>291</v>
      </c>
    </row>
    <row r="1390" spans="1:15" ht="75" x14ac:dyDescent="0.25">
      <c r="A1390" s="1" t="s">
        <v>1268</v>
      </c>
      <c r="B1390" s="1"/>
      <c r="C1390" s="1" t="s">
        <v>476</v>
      </c>
      <c r="D1390" s="1">
        <v>120151</v>
      </c>
      <c r="E1390" s="1">
        <v>2468</v>
      </c>
      <c r="F1390" s="1" t="s">
        <v>2103</v>
      </c>
      <c r="G1390" s="1" t="s">
        <v>2079</v>
      </c>
      <c r="H1390" s="1" t="s">
        <v>141</v>
      </c>
      <c r="I1390" s="1" t="s">
        <v>65</v>
      </c>
      <c r="J1390" s="1">
        <v>3</v>
      </c>
      <c r="K1390" s="1" t="s">
        <v>142</v>
      </c>
      <c r="L1390" s="1" t="s">
        <v>153</v>
      </c>
      <c r="M1390" s="1" t="s">
        <v>1256</v>
      </c>
      <c r="N1390" s="1" t="str">
        <f>HYPERLINK("https://klocwork.india.ti.com:443/review/insight-review.html#issuedetails_goto:problemid=120151,project=MCU_PLUS_SDK_AM263X,searchquery=taxonomy:'C and C++' build:Build_Apr_13_2023_11_11_AM grouping:off ","KW Issue Link")</f>
        <v>KW Issue Link</v>
      </c>
      <c r="O1390" s="1" t="s">
        <v>291</v>
      </c>
    </row>
    <row r="1391" spans="1:15" ht="75" x14ac:dyDescent="0.25">
      <c r="A1391" s="1" t="s">
        <v>1268</v>
      </c>
      <c r="B1391" s="1"/>
      <c r="C1391" s="1" t="s">
        <v>476</v>
      </c>
      <c r="D1391" s="1">
        <v>120152</v>
      </c>
      <c r="E1391" s="1">
        <v>2516</v>
      </c>
      <c r="F1391" s="1" t="s">
        <v>2104</v>
      </c>
      <c r="G1391" s="1" t="s">
        <v>482</v>
      </c>
      <c r="H1391" s="1" t="s">
        <v>141</v>
      </c>
      <c r="I1391" s="1" t="s">
        <v>65</v>
      </c>
      <c r="J1391" s="1">
        <v>3</v>
      </c>
      <c r="K1391" s="1" t="s">
        <v>142</v>
      </c>
      <c r="L1391" s="1" t="s">
        <v>153</v>
      </c>
      <c r="M1391" s="1" t="s">
        <v>1256</v>
      </c>
      <c r="N1391" s="1" t="str">
        <f>HYPERLINK("https://klocwork.india.ti.com:443/review/insight-review.html#issuedetails_goto:problemid=120152,project=MCU_PLUS_SDK_AM263X,searchquery=taxonomy:'C and C++' build:Build_Apr_13_2023_11_11_AM grouping:off ","KW Issue Link")</f>
        <v>KW Issue Link</v>
      </c>
      <c r="O1391" s="1" t="s">
        <v>291</v>
      </c>
    </row>
    <row r="1392" spans="1:15" ht="75" x14ac:dyDescent="0.25">
      <c r="A1392" s="1" t="s">
        <v>1268</v>
      </c>
      <c r="B1392" s="1"/>
      <c r="C1392" s="1" t="s">
        <v>476</v>
      </c>
      <c r="D1392" s="1">
        <v>120153</v>
      </c>
      <c r="E1392" s="1">
        <v>2601</v>
      </c>
      <c r="F1392" s="1" t="s">
        <v>2105</v>
      </c>
      <c r="G1392" s="1" t="s">
        <v>2082</v>
      </c>
      <c r="H1392" s="1" t="s">
        <v>141</v>
      </c>
      <c r="I1392" s="1" t="s">
        <v>65</v>
      </c>
      <c r="J1392" s="1">
        <v>3</v>
      </c>
      <c r="K1392" s="1" t="s">
        <v>142</v>
      </c>
      <c r="L1392" s="1" t="s">
        <v>153</v>
      </c>
      <c r="M1392" s="1" t="s">
        <v>1256</v>
      </c>
      <c r="N1392" s="1" t="str">
        <f>HYPERLINK("https://klocwork.india.ti.com:443/review/insight-review.html#issuedetails_goto:problemid=120153,project=MCU_PLUS_SDK_AM263X,searchquery=taxonomy:'C and C++' build:Build_Apr_13_2023_11_11_AM grouping:off ","KW Issue Link")</f>
        <v>KW Issue Link</v>
      </c>
      <c r="O1392" s="1" t="s">
        <v>291</v>
      </c>
    </row>
    <row r="1393" spans="1:15" ht="75" x14ac:dyDescent="0.25">
      <c r="A1393" s="1" t="s">
        <v>1252</v>
      </c>
      <c r="B1393" s="1"/>
      <c r="C1393" s="1" t="s">
        <v>476</v>
      </c>
      <c r="D1393" s="1">
        <v>120154</v>
      </c>
      <c r="E1393" s="1">
        <v>2305</v>
      </c>
      <c r="F1393" s="1" t="s">
        <v>2106</v>
      </c>
      <c r="G1393" s="1" t="s">
        <v>485</v>
      </c>
      <c r="H1393" s="1" t="s">
        <v>141</v>
      </c>
      <c r="I1393" s="1" t="s">
        <v>65</v>
      </c>
      <c r="J1393" s="1">
        <v>3</v>
      </c>
      <c r="K1393" s="1" t="s">
        <v>142</v>
      </c>
      <c r="L1393" s="1" t="s">
        <v>153</v>
      </c>
      <c r="M1393" s="1" t="s">
        <v>1256</v>
      </c>
      <c r="N1393" s="1" t="str">
        <f>HYPERLINK("https://klocwork.india.ti.com:443/review/insight-review.html#issuedetails_goto:problemid=120154,project=MCU_PLUS_SDK_AM263X,searchquery=taxonomy:'C and C++' build:Build_Apr_13_2023_11_11_AM grouping:off ","KW Issue Link")</f>
        <v>KW Issue Link</v>
      </c>
      <c r="O1393" s="1" t="s">
        <v>291</v>
      </c>
    </row>
    <row r="1394" spans="1:15" ht="75" x14ac:dyDescent="0.25">
      <c r="A1394" s="1" t="s">
        <v>1257</v>
      </c>
      <c r="B1394" s="1"/>
      <c r="C1394" s="1" t="s">
        <v>2107</v>
      </c>
      <c r="D1394" s="1">
        <v>120155</v>
      </c>
      <c r="E1394" s="1">
        <v>62</v>
      </c>
      <c r="F1394" s="1" t="s">
        <v>2108</v>
      </c>
      <c r="G1394" s="1" t="s">
        <v>2109</v>
      </c>
      <c r="H1394" s="1" t="s">
        <v>141</v>
      </c>
      <c r="I1394" s="1" t="s">
        <v>65</v>
      </c>
      <c r="J1394" s="1">
        <v>3</v>
      </c>
      <c r="K1394" s="1" t="s">
        <v>142</v>
      </c>
      <c r="L1394" s="1" t="s">
        <v>153</v>
      </c>
      <c r="M1394" s="1" t="s">
        <v>1256</v>
      </c>
      <c r="N1394" s="1" t="str">
        <f>HYPERLINK("https://klocwork.india.ti.com:443/review/insight-review.html#issuedetails_goto:problemid=120155,project=MCU_PLUS_SDK_AM263X,searchquery=taxonomy:'C and C++' build:Build_Apr_13_2023_11_11_AM grouping:off ","KW Issue Link")</f>
        <v>KW Issue Link</v>
      </c>
      <c r="O1394" s="1" t="s">
        <v>353</v>
      </c>
    </row>
    <row r="1395" spans="1:15" ht="75" x14ac:dyDescent="0.25">
      <c r="A1395" s="1" t="s">
        <v>1266</v>
      </c>
      <c r="B1395" s="1"/>
      <c r="C1395" s="1" t="s">
        <v>2107</v>
      </c>
      <c r="D1395" s="1">
        <v>120156</v>
      </c>
      <c r="E1395" s="1">
        <v>62</v>
      </c>
      <c r="F1395" s="1" t="s">
        <v>2110</v>
      </c>
      <c r="G1395" s="1" t="s">
        <v>2109</v>
      </c>
      <c r="H1395" s="1" t="s">
        <v>141</v>
      </c>
      <c r="I1395" s="1" t="s">
        <v>65</v>
      </c>
      <c r="J1395" s="1">
        <v>3</v>
      </c>
      <c r="K1395" s="1" t="s">
        <v>142</v>
      </c>
      <c r="L1395" s="1" t="s">
        <v>153</v>
      </c>
      <c r="M1395" s="1" t="s">
        <v>1256</v>
      </c>
      <c r="N1395" s="1" t="str">
        <f>HYPERLINK("https://klocwork.india.ti.com:443/review/insight-review.html#issuedetails_goto:problemid=120156,project=MCU_PLUS_SDK_AM263X,searchquery=taxonomy:'C and C++' build:Build_Apr_13_2023_11_11_AM grouping:off ","KW Issue Link")</f>
        <v>KW Issue Link</v>
      </c>
      <c r="O1395" s="1" t="s">
        <v>353</v>
      </c>
    </row>
    <row r="1396" spans="1:15" ht="45" x14ac:dyDescent="0.25">
      <c r="A1396" s="1" t="s">
        <v>1257</v>
      </c>
      <c r="B1396" s="1"/>
      <c r="C1396" s="1" t="s">
        <v>240</v>
      </c>
      <c r="D1396" s="1">
        <v>120159</v>
      </c>
      <c r="E1396" s="1">
        <v>1160</v>
      </c>
      <c r="F1396" s="1" t="s">
        <v>2111</v>
      </c>
      <c r="G1396" s="1" t="s">
        <v>1036</v>
      </c>
      <c r="H1396" s="1" t="s">
        <v>141</v>
      </c>
      <c r="I1396" s="1" t="s">
        <v>65</v>
      </c>
      <c r="J1396" s="1">
        <v>3</v>
      </c>
      <c r="K1396" s="1" t="s">
        <v>142</v>
      </c>
      <c r="L1396" s="1" t="s">
        <v>153</v>
      </c>
      <c r="M1396" s="1" t="s">
        <v>1256</v>
      </c>
      <c r="N1396" s="1" t="str">
        <f>HYPERLINK("https://klocwork.india.ti.com:443/review/insight-review.html#issuedetails_goto:problemid=120159,project=MCU_PLUS_SDK_AM263X,searchquery=taxonomy:'C and C++' build:Build_Apr_13_2023_11_11_AM grouping:off ","KW Issue Link")</f>
        <v>KW Issue Link</v>
      </c>
      <c r="O1396" s="1" t="s">
        <v>242</v>
      </c>
    </row>
    <row r="1397" spans="1:15" ht="45" x14ac:dyDescent="0.25">
      <c r="A1397" s="1" t="s">
        <v>1257</v>
      </c>
      <c r="B1397" s="1"/>
      <c r="C1397" s="1" t="s">
        <v>240</v>
      </c>
      <c r="D1397" s="1">
        <v>120160</v>
      </c>
      <c r="E1397" s="1">
        <v>1451</v>
      </c>
      <c r="F1397" s="1" t="s">
        <v>2112</v>
      </c>
      <c r="G1397" s="1" t="s">
        <v>2113</v>
      </c>
      <c r="H1397" s="1" t="s">
        <v>141</v>
      </c>
      <c r="I1397" s="1" t="s">
        <v>65</v>
      </c>
      <c r="J1397" s="1">
        <v>3</v>
      </c>
      <c r="K1397" s="1" t="s">
        <v>142</v>
      </c>
      <c r="L1397" s="1" t="s">
        <v>153</v>
      </c>
      <c r="M1397" s="1" t="s">
        <v>1256</v>
      </c>
      <c r="N1397" s="1" t="str">
        <f>HYPERLINK("https://klocwork.india.ti.com:443/review/insight-review.html#issuedetails_goto:problemid=120160,project=MCU_PLUS_SDK_AM263X,searchquery=taxonomy:'C and C++' build:Build_Apr_13_2023_11_11_AM grouping:off ","KW Issue Link")</f>
        <v>KW Issue Link</v>
      </c>
      <c r="O1397" s="1" t="s">
        <v>242</v>
      </c>
    </row>
    <row r="1398" spans="1:15" ht="45" x14ac:dyDescent="0.25">
      <c r="A1398" s="1" t="s">
        <v>1257</v>
      </c>
      <c r="B1398" s="1"/>
      <c r="C1398" s="1" t="s">
        <v>240</v>
      </c>
      <c r="D1398" s="1">
        <v>120161</v>
      </c>
      <c r="E1398" s="1">
        <v>1659</v>
      </c>
      <c r="F1398" s="1" t="s">
        <v>2114</v>
      </c>
      <c r="G1398" s="1" t="s">
        <v>2115</v>
      </c>
      <c r="H1398" s="1" t="s">
        <v>141</v>
      </c>
      <c r="I1398" s="1" t="s">
        <v>65</v>
      </c>
      <c r="J1398" s="1">
        <v>3</v>
      </c>
      <c r="K1398" s="1" t="s">
        <v>142</v>
      </c>
      <c r="L1398" s="1" t="s">
        <v>153</v>
      </c>
      <c r="M1398" s="1" t="s">
        <v>1256</v>
      </c>
      <c r="N1398" s="1" t="str">
        <f>HYPERLINK("https://klocwork.india.ti.com:443/review/insight-review.html#issuedetails_goto:problemid=120161,project=MCU_PLUS_SDK_AM263X,searchquery=taxonomy:'C and C++' build:Build_Apr_13_2023_11_11_AM grouping:off ","KW Issue Link")</f>
        <v>KW Issue Link</v>
      </c>
      <c r="O1398" s="1" t="s">
        <v>242</v>
      </c>
    </row>
    <row r="1399" spans="1:15" ht="45" x14ac:dyDescent="0.25">
      <c r="A1399" s="1" t="s">
        <v>1266</v>
      </c>
      <c r="B1399" s="1"/>
      <c r="C1399" s="1" t="s">
        <v>240</v>
      </c>
      <c r="D1399" s="1">
        <v>120164</v>
      </c>
      <c r="E1399" s="1">
        <v>975</v>
      </c>
      <c r="F1399" s="1" t="s">
        <v>2116</v>
      </c>
      <c r="G1399" s="1" t="s">
        <v>2117</v>
      </c>
      <c r="H1399" s="1" t="s">
        <v>141</v>
      </c>
      <c r="I1399" s="1" t="s">
        <v>65</v>
      </c>
      <c r="J1399" s="1">
        <v>3</v>
      </c>
      <c r="K1399" s="1" t="s">
        <v>142</v>
      </c>
      <c r="L1399" s="1" t="s">
        <v>153</v>
      </c>
      <c r="M1399" s="1" t="s">
        <v>1256</v>
      </c>
      <c r="N1399" s="1" t="str">
        <f>HYPERLINK("https://klocwork.india.ti.com:443/review/insight-review.html#issuedetails_goto:problemid=120164,project=MCU_PLUS_SDK_AM263X,searchquery=taxonomy:'C and C++' build:Build_Apr_13_2023_11_11_AM grouping:off ","KW Issue Link")</f>
        <v>KW Issue Link</v>
      </c>
      <c r="O1399" s="1" t="s">
        <v>242</v>
      </c>
    </row>
    <row r="1400" spans="1:15" ht="45" x14ac:dyDescent="0.25">
      <c r="A1400" s="1" t="s">
        <v>1266</v>
      </c>
      <c r="B1400" s="1"/>
      <c r="C1400" s="1" t="s">
        <v>240</v>
      </c>
      <c r="D1400" s="1">
        <v>120165</v>
      </c>
      <c r="E1400" s="1">
        <v>1160</v>
      </c>
      <c r="F1400" s="1" t="s">
        <v>2118</v>
      </c>
      <c r="G1400" s="1" t="s">
        <v>1036</v>
      </c>
      <c r="H1400" s="1" t="s">
        <v>141</v>
      </c>
      <c r="I1400" s="1" t="s">
        <v>65</v>
      </c>
      <c r="J1400" s="1">
        <v>3</v>
      </c>
      <c r="K1400" s="1" t="s">
        <v>142</v>
      </c>
      <c r="L1400" s="1" t="s">
        <v>153</v>
      </c>
      <c r="M1400" s="1" t="s">
        <v>1256</v>
      </c>
      <c r="N1400" s="1" t="str">
        <f>HYPERLINK("https://klocwork.india.ti.com:443/review/insight-review.html#issuedetails_goto:problemid=120165,project=MCU_PLUS_SDK_AM263X,searchquery=taxonomy:'C and C++' build:Build_Apr_13_2023_11_11_AM grouping:off ","KW Issue Link")</f>
        <v>KW Issue Link</v>
      </c>
      <c r="O1400" s="1" t="s">
        <v>242</v>
      </c>
    </row>
    <row r="1401" spans="1:15" ht="45" x14ac:dyDescent="0.25">
      <c r="A1401" s="1" t="s">
        <v>1266</v>
      </c>
      <c r="B1401" s="1"/>
      <c r="C1401" s="1" t="s">
        <v>240</v>
      </c>
      <c r="D1401" s="1">
        <v>120166</v>
      </c>
      <c r="E1401" s="1">
        <v>1451</v>
      </c>
      <c r="F1401" s="1" t="s">
        <v>2119</v>
      </c>
      <c r="G1401" s="1" t="s">
        <v>2113</v>
      </c>
      <c r="H1401" s="1" t="s">
        <v>141</v>
      </c>
      <c r="I1401" s="1" t="s">
        <v>65</v>
      </c>
      <c r="J1401" s="1">
        <v>3</v>
      </c>
      <c r="K1401" s="1" t="s">
        <v>142</v>
      </c>
      <c r="L1401" s="1" t="s">
        <v>153</v>
      </c>
      <c r="M1401" s="1" t="s">
        <v>1256</v>
      </c>
      <c r="N1401" s="1" t="str">
        <f>HYPERLINK("https://klocwork.india.ti.com:443/review/insight-review.html#issuedetails_goto:problemid=120166,project=MCU_PLUS_SDK_AM263X,searchquery=taxonomy:'C and C++' build:Build_Apr_13_2023_11_11_AM grouping:off ","KW Issue Link")</f>
        <v>KW Issue Link</v>
      </c>
      <c r="O1401" s="1" t="s">
        <v>242</v>
      </c>
    </row>
    <row r="1402" spans="1:15" ht="45" x14ac:dyDescent="0.25">
      <c r="A1402" s="1" t="s">
        <v>1268</v>
      </c>
      <c r="B1402" s="1"/>
      <c r="C1402" s="1" t="s">
        <v>240</v>
      </c>
      <c r="D1402" s="1">
        <v>120167</v>
      </c>
      <c r="E1402" s="1">
        <v>975</v>
      </c>
      <c r="F1402" s="1" t="s">
        <v>2120</v>
      </c>
      <c r="G1402" s="1" t="s">
        <v>2117</v>
      </c>
      <c r="H1402" s="1" t="s">
        <v>141</v>
      </c>
      <c r="I1402" s="1" t="s">
        <v>65</v>
      </c>
      <c r="J1402" s="1">
        <v>3</v>
      </c>
      <c r="K1402" s="1" t="s">
        <v>142</v>
      </c>
      <c r="L1402" s="1" t="s">
        <v>153</v>
      </c>
      <c r="M1402" s="1" t="s">
        <v>1256</v>
      </c>
      <c r="N1402" s="1" t="str">
        <f>HYPERLINK("https://klocwork.india.ti.com:443/review/insight-review.html#issuedetails_goto:problemid=120167,project=MCU_PLUS_SDK_AM263X,searchquery=taxonomy:'C and C++' build:Build_Apr_13_2023_11_11_AM grouping:off ","KW Issue Link")</f>
        <v>KW Issue Link</v>
      </c>
      <c r="O1402" s="1" t="s">
        <v>242</v>
      </c>
    </row>
    <row r="1403" spans="1:15" ht="60" x14ac:dyDescent="0.25">
      <c r="A1403" s="1" t="s">
        <v>1268</v>
      </c>
      <c r="B1403" s="1"/>
      <c r="C1403" s="1" t="s">
        <v>240</v>
      </c>
      <c r="D1403" s="1">
        <v>120168</v>
      </c>
      <c r="E1403" s="1">
        <v>1160</v>
      </c>
      <c r="F1403" s="1" t="s">
        <v>2121</v>
      </c>
      <c r="G1403" s="1" t="s">
        <v>1036</v>
      </c>
      <c r="H1403" s="1" t="s">
        <v>141</v>
      </c>
      <c r="I1403" s="1" t="s">
        <v>65</v>
      </c>
      <c r="J1403" s="1">
        <v>3</v>
      </c>
      <c r="K1403" s="1" t="s">
        <v>142</v>
      </c>
      <c r="L1403" s="1" t="s">
        <v>153</v>
      </c>
      <c r="M1403" s="1" t="s">
        <v>1256</v>
      </c>
      <c r="N1403" s="1" t="str">
        <f>HYPERLINK("https://klocwork.india.ti.com:443/review/insight-review.html#issuedetails_goto:problemid=120168,project=MCU_PLUS_SDK_AM263X,searchquery=taxonomy:'C and C++' build:Build_Apr_13_2023_11_11_AM grouping:off ","KW Issue Link")</f>
        <v>KW Issue Link</v>
      </c>
      <c r="O1403" s="1" t="s">
        <v>242</v>
      </c>
    </row>
    <row r="1404" spans="1:15" ht="60" x14ac:dyDescent="0.25">
      <c r="A1404" s="1" t="s">
        <v>1268</v>
      </c>
      <c r="B1404" s="1"/>
      <c r="C1404" s="1" t="s">
        <v>240</v>
      </c>
      <c r="D1404" s="1">
        <v>120169</v>
      </c>
      <c r="E1404" s="1">
        <v>1451</v>
      </c>
      <c r="F1404" s="1" t="s">
        <v>2122</v>
      </c>
      <c r="G1404" s="1" t="s">
        <v>2113</v>
      </c>
      <c r="H1404" s="1" t="s">
        <v>141</v>
      </c>
      <c r="I1404" s="1" t="s">
        <v>65</v>
      </c>
      <c r="J1404" s="1">
        <v>3</v>
      </c>
      <c r="K1404" s="1" t="s">
        <v>142</v>
      </c>
      <c r="L1404" s="1" t="s">
        <v>153</v>
      </c>
      <c r="M1404" s="1" t="s">
        <v>1256</v>
      </c>
      <c r="N1404" s="1" t="str">
        <f>HYPERLINK("https://klocwork.india.ti.com:443/review/insight-review.html#issuedetails_goto:problemid=120169,project=MCU_PLUS_SDK_AM263X,searchquery=taxonomy:'C and C++' build:Build_Apr_13_2023_11_11_AM grouping:off ","KW Issue Link")</f>
        <v>KW Issue Link</v>
      </c>
      <c r="O1404" s="1" t="s">
        <v>242</v>
      </c>
    </row>
    <row r="1405" spans="1:15" ht="75" x14ac:dyDescent="0.25">
      <c r="A1405" s="1" t="s">
        <v>1257</v>
      </c>
      <c r="B1405" s="1"/>
      <c r="C1405" s="1" t="s">
        <v>1155</v>
      </c>
      <c r="D1405" s="1">
        <v>120170</v>
      </c>
      <c r="E1405" s="1">
        <v>80</v>
      </c>
      <c r="F1405" s="1" t="s">
        <v>2123</v>
      </c>
      <c r="G1405" s="1" t="s">
        <v>1157</v>
      </c>
      <c r="H1405" s="1" t="s">
        <v>141</v>
      </c>
      <c r="I1405" s="1" t="s">
        <v>65</v>
      </c>
      <c r="J1405" s="1">
        <v>3</v>
      </c>
      <c r="K1405" s="1" t="s">
        <v>142</v>
      </c>
      <c r="L1405" s="1" t="s">
        <v>153</v>
      </c>
      <c r="M1405" s="1" t="s">
        <v>1256</v>
      </c>
      <c r="N1405" s="1" t="str">
        <f>HYPERLINK("https://klocwork.india.ti.com:443/review/insight-review.html#issuedetails_goto:problemid=120170,project=MCU_PLUS_SDK_AM263X,searchquery=taxonomy:'C and C++' build:Build_Apr_13_2023_11_11_AM grouping:off ","KW Issue Link")</f>
        <v>KW Issue Link</v>
      </c>
      <c r="O1405" s="1" t="s">
        <v>291</v>
      </c>
    </row>
    <row r="1406" spans="1:15" ht="75" x14ac:dyDescent="0.25">
      <c r="A1406" s="1" t="s">
        <v>1257</v>
      </c>
      <c r="B1406" s="1"/>
      <c r="C1406" s="1" t="s">
        <v>1155</v>
      </c>
      <c r="D1406" s="1">
        <v>120171</v>
      </c>
      <c r="E1406" s="1">
        <v>340</v>
      </c>
      <c r="F1406" s="1" t="s">
        <v>2124</v>
      </c>
      <c r="G1406" s="1" t="s">
        <v>2125</v>
      </c>
      <c r="H1406" s="1" t="s">
        <v>141</v>
      </c>
      <c r="I1406" s="1" t="s">
        <v>65</v>
      </c>
      <c r="J1406" s="1">
        <v>3</v>
      </c>
      <c r="K1406" s="1" t="s">
        <v>142</v>
      </c>
      <c r="L1406" s="1" t="s">
        <v>153</v>
      </c>
      <c r="M1406" s="1" t="s">
        <v>1256</v>
      </c>
      <c r="N1406" s="1" t="str">
        <f>HYPERLINK("https://klocwork.india.ti.com:443/review/insight-review.html#issuedetails_goto:problemid=120171,project=MCU_PLUS_SDK_AM263X,searchquery=taxonomy:'C and C++' build:Build_Apr_13_2023_11_11_AM grouping:off ","KW Issue Link")</f>
        <v>KW Issue Link</v>
      </c>
      <c r="O1406" s="1" t="s">
        <v>291</v>
      </c>
    </row>
    <row r="1407" spans="1:15" ht="75" x14ac:dyDescent="0.25">
      <c r="A1407" s="1" t="s">
        <v>1266</v>
      </c>
      <c r="B1407" s="1"/>
      <c r="C1407" s="1" t="s">
        <v>1155</v>
      </c>
      <c r="D1407" s="1">
        <v>120172</v>
      </c>
      <c r="E1407" s="1">
        <v>80</v>
      </c>
      <c r="F1407" s="1" t="s">
        <v>2126</v>
      </c>
      <c r="G1407" s="1" t="s">
        <v>1157</v>
      </c>
      <c r="H1407" s="1" t="s">
        <v>141</v>
      </c>
      <c r="I1407" s="1" t="s">
        <v>65</v>
      </c>
      <c r="J1407" s="1">
        <v>3</v>
      </c>
      <c r="K1407" s="1" t="s">
        <v>142</v>
      </c>
      <c r="L1407" s="1" t="s">
        <v>153</v>
      </c>
      <c r="M1407" s="1" t="s">
        <v>1256</v>
      </c>
      <c r="N1407" s="1" t="str">
        <f>HYPERLINK("https://klocwork.india.ti.com:443/review/insight-review.html#issuedetails_goto:problemid=120172,project=MCU_PLUS_SDK_AM263X,searchquery=taxonomy:'C and C++' build:Build_Apr_13_2023_11_11_AM grouping:off ","KW Issue Link")</f>
        <v>KW Issue Link</v>
      </c>
      <c r="O1407" s="1" t="s">
        <v>291</v>
      </c>
    </row>
    <row r="1408" spans="1:15" ht="75" x14ac:dyDescent="0.25">
      <c r="A1408" s="1" t="s">
        <v>1266</v>
      </c>
      <c r="B1408" s="1"/>
      <c r="C1408" s="1" t="s">
        <v>1155</v>
      </c>
      <c r="D1408" s="1">
        <v>120173</v>
      </c>
      <c r="E1408" s="1">
        <v>340</v>
      </c>
      <c r="F1408" s="1" t="s">
        <v>2127</v>
      </c>
      <c r="G1408" s="1" t="s">
        <v>2125</v>
      </c>
      <c r="H1408" s="1" t="s">
        <v>141</v>
      </c>
      <c r="I1408" s="1" t="s">
        <v>65</v>
      </c>
      <c r="J1408" s="1">
        <v>3</v>
      </c>
      <c r="K1408" s="1" t="s">
        <v>142</v>
      </c>
      <c r="L1408" s="1" t="s">
        <v>153</v>
      </c>
      <c r="M1408" s="1" t="s">
        <v>1256</v>
      </c>
      <c r="N1408" s="1" t="str">
        <f>HYPERLINK("https://klocwork.india.ti.com:443/review/insight-review.html#issuedetails_goto:problemid=120173,project=MCU_PLUS_SDK_AM263X,searchquery=taxonomy:'C and C++' build:Build_Apr_13_2023_11_11_AM grouping:off ","KW Issue Link")</f>
        <v>KW Issue Link</v>
      </c>
      <c r="O1408" s="1" t="s">
        <v>291</v>
      </c>
    </row>
    <row r="1409" spans="1:15" ht="75" x14ac:dyDescent="0.25">
      <c r="A1409" s="1" t="s">
        <v>1268</v>
      </c>
      <c r="B1409" s="1"/>
      <c r="C1409" s="1" t="s">
        <v>1155</v>
      </c>
      <c r="D1409" s="1">
        <v>120174</v>
      </c>
      <c r="E1409" s="1">
        <v>80</v>
      </c>
      <c r="F1409" s="1" t="s">
        <v>2128</v>
      </c>
      <c r="G1409" s="1" t="s">
        <v>1157</v>
      </c>
      <c r="H1409" s="1" t="s">
        <v>141</v>
      </c>
      <c r="I1409" s="1" t="s">
        <v>65</v>
      </c>
      <c r="J1409" s="1">
        <v>3</v>
      </c>
      <c r="K1409" s="1" t="s">
        <v>142</v>
      </c>
      <c r="L1409" s="1" t="s">
        <v>153</v>
      </c>
      <c r="M1409" s="1" t="s">
        <v>1256</v>
      </c>
      <c r="N1409" s="1" t="str">
        <f>HYPERLINK("https://klocwork.india.ti.com:443/review/insight-review.html#issuedetails_goto:problemid=120174,project=MCU_PLUS_SDK_AM263X,searchquery=taxonomy:'C and C++' build:Build_Apr_13_2023_11_11_AM grouping:off ","KW Issue Link")</f>
        <v>KW Issue Link</v>
      </c>
      <c r="O1409" s="1" t="s">
        <v>291</v>
      </c>
    </row>
    <row r="1410" spans="1:15" ht="75" x14ac:dyDescent="0.25">
      <c r="A1410" s="1" t="s">
        <v>1268</v>
      </c>
      <c r="B1410" s="1"/>
      <c r="C1410" s="1" t="s">
        <v>1155</v>
      </c>
      <c r="D1410" s="1">
        <v>120175</v>
      </c>
      <c r="E1410" s="1">
        <v>340</v>
      </c>
      <c r="F1410" s="1" t="s">
        <v>2129</v>
      </c>
      <c r="G1410" s="1" t="s">
        <v>2125</v>
      </c>
      <c r="H1410" s="1" t="s">
        <v>141</v>
      </c>
      <c r="I1410" s="1" t="s">
        <v>65</v>
      </c>
      <c r="J1410" s="1">
        <v>3</v>
      </c>
      <c r="K1410" s="1" t="s">
        <v>142</v>
      </c>
      <c r="L1410" s="1" t="s">
        <v>153</v>
      </c>
      <c r="M1410" s="1" t="s">
        <v>1256</v>
      </c>
      <c r="N1410" s="1" t="str">
        <f>HYPERLINK("https://klocwork.india.ti.com:443/review/insight-review.html#issuedetails_goto:problemid=120175,project=MCU_PLUS_SDK_AM263X,searchquery=taxonomy:'C and C++' build:Build_Apr_13_2023_11_11_AM grouping:off ","KW Issue Link")</f>
        <v>KW Issue Link</v>
      </c>
      <c r="O1410" s="1" t="s">
        <v>291</v>
      </c>
    </row>
    <row r="1411" spans="1:15" ht="60" x14ac:dyDescent="0.25">
      <c r="A1411" s="1" t="s">
        <v>1266</v>
      </c>
      <c r="B1411" s="1"/>
      <c r="C1411" s="1" t="s">
        <v>963</v>
      </c>
      <c r="D1411" s="1">
        <v>120176</v>
      </c>
      <c r="E1411" s="1">
        <v>213</v>
      </c>
      <c r="F1411" s="1" t="s">
        <v>2130</v>
      </c>
      <c r="G1411" s="1" t="s">
        <v>2131</v>
      </c>
      <c r="H1411" s="1" t="s">
        <v>141</v>
      </c>
      <c r="I1411" s="1" t="s">
        <v>65</v>
      </c>
      <c r="J1411" s="1">
        <v>3</v>
      </c>
      <c r="K1411" s="1" t="s">
        <v>142</v>
      </c>
      <c r="L1411" s="1" t="s">
        <v>153</v>
      </c>
      <c r="M1411" s="1" t="s">
        <v>1256</v>
      </c>
      <c r="N1411" s="1" t="str">
        <f>HYPERLINK("https://klocwork.india.ti.com:443/review/insight-review.html#issuedetails_goto:problemid=120176,project=MCU_PLUS_SDK_AM263X,searchquery=taxonomy:'C and C++' build:Build_Apr_13_2023_11_11_AM grouping:off ","KW Issue Link")</f>
        <v>KW Issue Link</v>
      </c>
      <c r="O1411" s="1" t="s">
        <v>966</v>
      </c>
    </row>
    <row r="1412" spans="1:15" ht="60" x14ac:dyDescent="0.25">
      <c r="A1412" s="1" t="s">
        <v>1266</v>
      </c>
      <c r="B1412" s="1"/>
      <c r="C1412" s="1" t="s">
        <v>963</v>
      </c>
      <c r="D1412" s="1">
        <v>120177</v>
      </c>
      <c r="E1412" s="1">
        <v>417</v>
      </c>
      <c r="F1412" s="1" t="s">
        <v>2132</v>
      </c>
      <c r="G1412" s="1" t="s">
        <v>965</v>
      </c>
      <c r="H1412" s="1" t="s">
        <v>141</v>
      </c>
      <c r="I1412" s="1" t="s">
        <v>65</v>
      </c>
      <c r="J1412" s="1">
        <v>3</v>
      </c>
      <c r="K1412" s="1" t="s">
        <v>142</v>
      </c>
      <c r="L1412" s="1" t="s">
        <v>153</v>
      </c>
      <c r="M1412" s="1" t="s">
        <v>1256</v>
      </c>
      <c r="N1412" s="1" t="str">
        <f>HYPERLINK("https://klocwork.india.ti.com:443/review/insight-review.html#issuedetails_goto:problemid=120177,project=MCU_PLUS_SDK_AM263X,searchquery=taxonomy:'C and C++' build:Build_Apr_13_2023_11_11_AM grouping:off ","KW Issue Link")</f>
        <v>KW Issue Link</v>
      </c>
      <c r="O1412" s="1" t="s">
        <v>966</v>
      </c>
    </row>
    <row r="1413" spans="1:15" ht="60" x14ac:dyDescent="0.25">
      <c r="A1413" s="1" t="s">
        <v>1266</v>
      </c>
      <c r="B1413" s="1"/>
      <c r="C1413" s="1" t="s">
        <v>963</v>
      </c>
      <c r="D1413" s="1">
        <v>120178</v>
      </c>
      <c r="E1413" s="1">
        <v>761</v>
      </c>
      <c r="F1413" s="1" t="s">
        <v>2133</v>
      </c>
      <c r="G1413" s="1" t="s">
        <v>968</v>
      </c>
      <c r="H1413" s="1" t="s">
        <v>141</v>
      </c>
      <c r="I1413" s="1" t="s">
        <v>65</v>
      </c>
      <c r="J1413" s="1">
        <v>3</v>
      </c>
      <c r="K1413" s="1" t="s">
        <v>142</v>
      </c>
      <c r="L1413" s="1" t="s">
        <v>153</v>
      </c>
      <c r="M1413" s="1" t="s">
        <v>1256</v>
      </c>
      <c r="N1413" s="1" t="str">
        <f>HYPERLINK("https://klocwork.india.ti.com:443/review/insight-review.html#issuedetails_goto:problemid=120178,project=MCU_PLUS_SDK_AM263X,searchquery=taxonomy:'C and C++' build:Build_Apr_13_2023_11_11_AM grouping:off ","KW Issue Link")</f>
        <v>KW Issue Link</v>
      </c>
      <c r="O1413" s="1" t="s">
        <v>966</v>
      </c>
    </row>
    <row r="1414" spans="1:15" ht="60" x14ac:dyDescent="0.25">
      <c r="A1414" s="1" t="s">
        <v>1266</v>
      </c>
      <c r="B1414" s="1"/>
      <c r="C1414" s="1" t="s">
        <v>963</v>
      </c>
      <c r="D1414" s="1">
        <v>120179</v>
      </c>
      <c r="E1414" s="1">
        <v>1141</v>
      </c>
      <c r="F1414" s="1" t="s">
        <v>2134</v>
      </c>
      <c r="G1414" s="1" t="s">
        <v>2135</v>
      </c>
      <c r="H1414" s="1" t="s">
        <v>141</v>
      </c>
      <c r="I1414" s="1" t="s">
        <v>65</v>
      </c>
      <c r="J1414" s="1">
        <v>3</v>
      </c>
      <c r="K1414" s="1" t="s">
        <v>142</v>
      </c>
      <c r="L1414" s="1" t="s">
        <v>153</v>
      </c>
      <c r="M1414" s="1" t="s">
        <v>1256</v>
      </c>
      <c r="N1414" s="1" t="str">
        <f>HYPERLINK("https://klocwork.india.ti.com:443/review/insight-review.html#issuedetails_goto:problemid=120179,project=MCU_PLUS_SDK_AM263X,searchquery=taxonomy:'C and C++' build:Build_Apr_13_2023_11_11_AM grouping:off ","KW Issue Link")</f>
        <v>KW Issue Link</v>
      </c>
      <c r="O1414" s="1" t="s">
        <v>966</v>
      </c>
    </row>
    <row r="1415" spans="1:15" ht="60" x14ac:dyDescent="0.25">
      <c r="A1415" s="1" t="s">
        <v>1266</v>
      </c>
      <c r="B1415" s="1"/>
      <c r="C1415" s="1" t="s">
        <v>963</v>
      </c>
      <c r="D1415" s="1">
        <v>120180</v>
      </c>
      <c r="E1415" s="1">
        <v>1725</v>
      </c>
      <c r="F1415" s="1" t="s">
        <v>2136</v>
      </c>
      <c r="G1415" s="1" t="s">
        <v>2137</v>
      </c>
      <c r="H1415" s="1" t="s">
        <v>141</v>
      </c>
      <c r="I1415" s="1" t="s">
        <v>65</v>
      </c>
      <c r="J1415" s="1">
        <v>3</v>
      </c>
      <c r="K1415" s="1" t="s">
        <v>142</v>
      </c>
      <c r="L1415" s="1" t="s">
        <v>153</v>
      </c>
      <c r="M1415" s="1" t="s">
        <v>1256</v>
      </c>
      <c r="N1415" s="1" t="str">
        <f>HYPERLINK("https://klocwork.india.ti.com:443/review/insight-review.html#issuedetails_goto:problemid=120180,project=MCU_PLUS_SDK_AM263X,searchquery=taxonomy:'C and C++' build:Build_Apr_13_2023_11_11_AM grouping:off ","KW Issue Link")</f>
        <v>KW Issue Link</v>
      </c>
      <c r="O1415" s="1" t="s">
        <v>966</v>
      </c>
    </row>
    <row r="1416" spans="1:15" ht="60" x14ac:dyDescent="0.25">
      <c r="A1416" s="1" t="s">
        <v>1266</v>
      </c>
      <c r="B1416" s="1"/>
      <c r="C1416" s="1" t="s">
        <v>963</v>
      </c>
      <c r="D1416" s="1">
        <v>120181</v>
      </c>
      <c r="E1416" s="1">
        <v>1881</v>
      </c>
      <c r="F1416" s="1" t="s">
        <v>2138</v>
      </c>
      <c r="G1416" s="1" t="s">
        <v>2139</v>
      </c>
      <c r="H1416" s="1" t="s">
        <v>141</v>
      </c>
      <c r="I1416" s="1" t="s">
        <v>65</v>
      </c>
      <c r="J1416" s="1">
        <v>3</v>
      </c>
      <c r="K1416" s="1" t="s">
        <v>142</v>
      </c>
      <c r="L1416" s="1" t="s">
        <v>153</v>
      </c>
      <c r="M1416" s="1" t="s">
        <v>1256</v>
      </c>
      <c r="N1416" s="1" t="str">
        <f>HYPERLINK("https://klocwork.india.ti.com:443/review/insight-review.html#issuedetails_goto:problemid=120181,project=MCU_PLUS_SDK_AM263X,searchquery=taxonomy:'C and C++' build:Build_Apr_13_2023_11_11_AM grouping:off ","KW Issue Link")</f>
        <v>KW Issue Link</v>
      </c>
      <c r="O1416" s="1" t="s">
        <v>966</v>
      </c>
    </row>
    <row r="1417" spans="1:15" ht="60" x14ac:dyDescent="0.25">
      <c r="A1417" s="1" t="s">
        <v>1266</v>
      </c>
      <c r="B1417" s="1"/>
      <c r="C1417" s="1" t="s">
        <v>963</v>
      </c>
      <c r="D1417" s="1">
        <v>120182</v>
      </c>
      <c r="E1417" s="1">
        <v>2147</v>
      </c>
      <c r="F1417" s="1" t="s">
        <v>2140</v>
      </c>
      <c r="G1417" s="1" t="s">
        <v>2141</v>
      </c>
      <c r="H1417" s="1" t="s">
        <v>141</v>
      </c>
      <c r="I1417" s="1" t="s">
        <v>65</v>
      </c>
      <c r="J1417" s="1">
        <v>3</v>
      </c>
      <c r="K1417" s="1" t="s">
        <v>142</v>
      </c>
      <c r="L1417" s="1" t="s">
        <v>153</v>
      </c>
      <c r="M1417" s="1" t="s">
        <v>1256</v>
      </c>
      <c r="N1417" s="1" t="str">
        <f>HYPERLINK("https://klocwork.india.ti.com:443/review/insight-review.html#issuedetails_goto:problemid=120182,project=MCU_PLUS_SDK_AM263X,searchquery=taxonomy:'C and C++' build:Build_Apr_13_2023_11_11_AM grouping:off ","KW Issue Link")</f>
        <v>KW Issue Link</v>
      </c>
      <c r="O1417" s="1" t="s">
        <v>966</v>
      </c>
    </row>
    <row r="1418" spans="1:15" ht="60" x14ac:dyDescent="0.25">
      <c r="A1418" s="1" t="s">
        <v>1268</v>
      </c>
      <c r="B1418" s="1"/>
      <c r="C1418" s="1" t="s">
        <v>963</v>
      </c>
      <c r="D1418" s="1">
        <v>120183</v>
      </c>
      <c r="E1418" s="1">
        <v>213</v>
      </c>
      <c r="F1418" s="1" t="s">
        <v>2142</v>
      </c>
      <c r="G1418" s="1" t="s">
        <v>2131</v>
      </c>
      <c r="H1418" s="1" t="s">
        <v>141</v>
      </c>
      <c r="I1418" s="1" t="s">
        <v>65</v>
      </c>
      <c r="J1418" s="1">
        <v>3</v>
      </c>
      <c r="K1418" s="1" t="s">
        <v>142</v>
      </c>
      <c r="L1418" s="1" t="s">
        <v>153</v>
      </c>
      <c r="M1418" s="1" t="s">
        <v>1256</v>
      </c>
      <c r="N1418" s="1" t="str">
        <f>HYPERLINK("https://klocwork.india.ti.com:443/review/insight-review.html#issuedetails_goto:problemid=120183,project=MCU_PLUS_SDK_AM263X,searchquery=taxonomy:'C and C++' build:Build_Apr_13_2023_11_11_AM grouping:off ","KW Issue Link")</f>
        <v>KW Issue Link</v>
      </c>
      <c r="O1418" s="1" t="s">
        <v>966</v>
      </c>
    </row>
    <row r="1419" spans="1:15" ht="60" x14ac:dyDescent="0.25">
      <c r="A1419" s="1" t="s">
        <v>1268</v>
      </c>
      <c r="B1419" s="1"/>
      <c r="C1419" s="1" t="s">
        <v>963</v>
      </c>
      <c r="D1419" s="1">
        <v>120184</v>
      </c>
      <c r="E1419" s="1">
        <v>761</v>
      </c>
      <c r="F1419" s="1" t="s">
        <v>2143</v>
      </c>
      <c r="G1419" s="1" t="s">
        <v>968</v>
      </c>
      <c r="H1419" s="1" t="s">
        <v>141</v>
      </c>
      <c r="I1419" s="1" t="s">
        <v>65</v>
      </c>
      <c r="J1419" s="1">
        <v>3</v>
      </c>
      <c r="K1419" s="1" t="s">
        <v>142</v>
      </c>
      <c r="L1419" s="1" t="s">
        <v>153</v>
      </c>
      <c r="M1419" s="1" t="s">
        <v>1256</v>
      </c>
      <c r="N1419" s="1" t="str">
        <f>HYPERLINK("https://klocwork.india.ti.com:443/review/insight-review.html#issuedetails_goto:problemid=120184,project=MCU_PLUS_SDK_AM263X,searchquery=taxonomy:'C and C++' build:Build_Apr_13_2023_11_11_AM grouping:off ","KW Issue Link")</f>
        <v>KW Issue Link</v>
      </c>
      <c r="O1419" s="1" t="s">
        <v>966</v>
      </c>
    </row>
    <row r="1420" spans="1:15" ht="60" x14ac:dyDescent="0.25">
      <c r="A1420" s="1" t="s">
        <v>1268</v>
      </c>
      <c r="B1420" s="1"/>
      <c r="C1420" s="1" t="s">
        <v>963</v>
      </c>
      <c r="D1420" s="1">
        <v>120185</v>
      </c>
      <c r="E1420" s="1">
        <v>1141</v>
      </c>
      <c r="F1420" s="1" t="s">
        <v>2144</v>
      </c>
      <c r="G1420" s="1" t="s">
        <v>2135</v>
      </c>
      <c r="H1420" s="1" t="s">
        <v>141</v>
      </c>
      <c r="I1420" s="1" t="s">
        <v>65</v>
      </c>
      <c r="J1420" s="1">
        <v>3</v>
      </c>
      <c r="K1420" s="1" t="s">
        <v>142</v>
      </c>
      <c r="L1420" s="1" t="s">
        <v>153</v>
      </c>
      <c r="M1420" s="1" t="s">
        <v>1256</v>
      </c>
      <c r="N1420" s="1" t="str">
        <f>HYPERLINK("https://klocwork.india.ti.com:443/review/insight-review.html#issuedetails_goto:problemid=120185,project=MCU_PLUS_SDK_AM263X,searchquery=taxonomy:'C and C++' build:Build_Apr_13_2023_11_11_AM grouping:off ","KW Issue Link")</f>
        <v>KW Issue Link</v>
      </c>
      <c r="O1420" s="1" t="s">
        <v>966</v>
      </c>
    </row>
    <row r="1421" spans="1:15" ht="60" x14ac:dyDescent="0.25">
      <c r="A1421" s="1" t="s">
        <v>1268</v>
      </c>
      <c r="B1421" s="1"/>
      <c r="C1421" s="1" t="s">
        <v>963</v>
      </c>
      <c r="D1421" s="1">
        <v>120186</v>
      </c>
      <c r="E1421" s="1">
        <v>1725</v>
      </c>
      <c r="F1421" s="1" t="s">
        <v>2145</v>
      </c>
      <c r="G1421" s="1" t="s">
        <v>2137</v>
      </c>
      <c r="H1421" s="1" t="s">
        <v>141</v>
      </c>
      <c r="I1421" s="1" t="s">
        <v>65</v>
      </c>
      <c r="J1421" s="1">
        <v>3</v>
      </c>
      <c r="K1421" s="1" t="s">
        <v>142</v>
      </c>
      <c r="L1421" s="1" t="s">
        <v>153</v>
      </c>
      <c r="M1421" s="1" t="s">
        <v>1256</v>
      </c>
      <c r="N1421" s="1" t="str">
        <f>HYPERLINK("https://klocwork.india.ti.com:443/review/insight-review.html#issuedetails_goto:problemid=120186,project=MCU_PLUS_SDK_AM263X,searchquery=taxonomy:'C and C++' build:Build_Apr_13_2023_11_11_AM grouping:off ","KW Issue Link")</f>
        <v>KW Issue Link</v>
      </c>
      <c r="O1421" s="1" t="s">
        <v>966</v>
      </c>
    </row>
    <row r="1422" spans="1:15" ht="60" x14ac:dyDescent="0.25">
      <c r="A1422" s="1" t="s">
        <v>1268</v>
      </c>
      <c r="B1422" s="1"/>
      <c r="C1422" s="1" t="s">
        <v>963</v>
      </c>
      <c r="D1422" s="1">
        <v>120187</v>
      </c>
      <c r="E1422" s="1">
        <v>1881</v>
      </c>
      <c r="F1422" s="1" t="s">
        <v>2146</v>
      </c>
      <c r="G1422" s="1" t="s">
        <v>2139</v>
      </c>
      <c r="H1422" s="1" t="s">
        <v>141</v>
      </c>
      <c r="I1422" s="1" t="s">
        <v>65</v>
      </c>
      <c r="J1422" s="1">
        <v>3</v>
      </c>
      <c r="K1422" s="1" t="s">
        <v>142</v>
      </c>
      <c r="L1422" s="1" t="s">
        <v>153</v>
      </c>
      <c r="M1422" s="1" t="s">
        <v>1256</v>
      </c>
      <c r="N1422" s="1" t="str">
        <f>HYPERLINK("https://klocwork.india.ti.com:443/review/insight-review.html#issuedetails_goto:problemid=120187,project=MCU_PLUS_SDK_AM263X,searchquery=taxonomy:'C and C++' build:Build_Apr_13_2023_11_11_AM grouping:off ","KW Issue Link")</f>
        <v>KW Issue Link</v>
      </c>
      <c r="O1422" s="1" t="s">
        <v>966</v>
      </c>
    </row>
    <row r="1423" spans="1:15" ht="60" x14ac:dyDescent="0.25">
      <c r="A1423" s="1" t="s">
        <v>1268</v>
      </c>
      <c r="B1423" s="1"/>
      <c r="C1423" s="1" t="s">
        <v>963</v>
      </c>
      <c r="D1423" s="1">
        <v>120188</v>
      </c>
      <c r="E1423" s="1">
        <v>2147</v>
      </c>
      <c r="F1423" s="1" t="s">
        <v>2147</v>
      </c>
      <c r="G1423" s="1" t="s">
        <v>2141</v>
      </c>
      <c r="H1423" s="1" t="s">
        <v>141</v>
      </c>
      <c r="I1423" s="1" t="s">
        <v>65</v>
      </c>
      <c r="J1423" s="1">
        <v>3</v>
      </c>
      <c r="K1423" s="1" t="s">
        <v>142</v>
      </c>
      <c r="L1423" s="1" t="s">
        <v>153</v>
      </c>
      <c r="M1423" s="1" t="s">
        <v>1256</v>
      </c>
      <c r="N1423" s="1" t="str">
        <f>HYPERLINK("https://klocwork.india.ti.com:443/review/insight-review.html#issuedetails_goto:problemid=120188,project=MCU_PLUS_SDK_AM263X,searchquery=taxonomy:'C and C++' build:Build_Apr_13_2023_11_11_AM grouping:off ","KW Issue Link")</f>
        <v>KW Issue Link</v>
      </c>
      <c r="O1423" s="1" t="s">
        <v>966</v>
      </c>
    </row>
    <row r="1424" spans="1:15" ht="60" x14ac:dyDescent="0.25">
      <c r="A1424" s="1" t="s">
        <v>1257</v>
      </c>
      <c r="B1424" s="1"/>
      <c r="C1424" s="1" t="s">
        <v>963</v>
      </c>
      <c r="D1424" s="1">
        <v>120189</v>
      </c>
      <c r="E1424" s="1">
        <v>417</v>
      </c>
      <c r="F1424" s="1" t="s">
        <v>2148</v>
      </c>
      <c r="G1424" s="1" t="s">
        <v>965</v>
      </c>
      <c r="H1424" s="1" t="s">
        <v>141</v>
      </c>
      <c r="I1424" s="1" t="s">
        <v>65</v>
      </c>
      <c r="J1424" s="1">
        <v>3</v>
      </c>
      <c r="K1424" s="1" t="s">
        <v>142</v>
      </c>
      <c r="L1424" s="1" t="s">
        <v>153</v>
      </c>
      <c r="M1424" s="1" t="s">
        <v>1256</v>
      </c>
      <c r="N1424" s="1" t="str">
        <f>HYPERLINK("https://klocwork.india.ti.com:443/review/insight-review.html#issuedetails_goto:problemid=120189,project=MCU_PLUS_SDK_AM263X,searchquery=taxonomy:'C and C++' build:Build_Apr_13_2023_11_11_AM grouping:off ","KW Issue Link")</f>
        <v>KW Issue Link</v>
      </c>
      <c r="O1424" s="1" t="s">
        <v>966</v>
      </c>
    </row>
    <row r="1425" spans="1:15" ht="60" x14ac:dyDescent="0.25">
      <c r="A1425" s="1" t="s">
        <v>1257</v>
      </c>
      <c r="B1425" s="1"/>
      <c r="C1425" s="1" t="s">
        <v>963</v>
      </c>
      <c r="D1425" s="1">
        <v>120190</v>
      </c>
      <c r="E1425" s="1">
        <v>761</v>
      </c>
      <c r="F1425" s="1" t="s">
        <v>2149</v>
      </c>
      <c r="G1425" s="1" t="s">
        <v>968</v>
      </c>
      <c r="H1425" s="1" t="s">
        <v>141</v>
      </c>
      <c r="I1425" s="1" t="s">
        <v>65</v>
      </c>
      <c r="J1425" s="1">
        <v>3</v>
      </c>
      <c r="K1425" s="1" t="s">
        <v>142</v>
      </c>
      <c r="L1425" s="1" t="s">
        <v>153</v>
      </c>
      <c r="M1425" s="1" t="s">
        <v>1256</v>
      </c>
      <c r="N1425" s="1" t="str">
        <f>HYPERLINK("https://klocwork.india.ti.com:443/review/insight-review.html#issuedetails_goto:problemid=120190,project=MCU_PLUS_SDK_AM263X,searchquery=taxonomy:'C and C++' build:Build_Apr_13_2023_11_11_AM grouping:off ","KW Issue Link")</f>
        <v>KW Issue Link</v>
      </c>
      <c r="O1425" s="1" t="s">
        <v>966</v>
      </c>
    </row>
    <row r="1426" spans="1:15" ht="60" x14ac:dyDescent="0.25">
      <c r="A1426" s="1" t="s">
        <v>1257</v>
      </c>
      <c r="B1426" s="1"/>
      <c r="C1426" s="1" t="s">
        <v>963</v>
      </c>
      <c r="D1426" s="1">
        <v>120192</v>
      </c>
      <c r="E1426" s="1">
        <v>1614</v>
      </c>
      <c r="F1426" s="1" t="s">
        <v>2150</v>
      </c>
      <c r="G1426" s="1" t="s">
        <v>2151</v>
      </c>
      <c r="H1426" s="1" t="s">
        <v>141</v>
      </c>
      <c r="I1426" s="1" t="s">
        <v>65</v>
      </c>
      <c r="J1426" s="1">
        <v>3</v>
      </c>
      <c r="K1426" s="1" t="s">
        <v>142</v>
      </c>
      <c r="L1426" s="1" t="s">
        <v>153</v>
      </c>
      <c r="M1426" s="1" t="s">
        <v>1256</v>
      </c>
      <c r="N1426" s="1" t="str">
        <f>HYPERLINK("https://klocwork.india.ti.com:443/review/insight-review.html#issuedetails_goto:problemid=120192,project=MCU_PLUS_SDK_AM263X,searchquery=taxonomy:'C and C++' build:Build_Apr_13_2023_11_11_AM grouping:off ","KW Issue Link")</f>
        <v>KW Issue Link</v>
      </c>
      <c r="O1426" s="1" t="s">
        <v>966</v>
      </c>
    </row>
    <row r="1427" spans="1:15" ht="60" x14ac:dyDescent="0.25">
      <c r="A1427" s="1" t="s">
        <v>1257</v>
      </c>
      <c r="B1427" s="1"/>
      <c r="C1427" s="1" t="s">
        <v>963</v>
      </c>
      <c r="D1427" s="1">
        <v>120193</v>
      </c>
      <c r="E1427" s="1">
        <v>1725</v>
      </c>
      <c r="F1427" s="1" t="s">
        <v>2152</v>
      </c>
      <c r="G1427" s="1" t="s">
        <v>2137</v>
      </c>
      <c r="H1427" s="1" t="s">
        <v>141</v>
      </c>
      <c r="I1427" s="1" t="s">
        <v>65</v>
      </c>
      <c r="J1427" s="1">
        <v>3</v>
      </c>
      <c r="K1427" s="1" t="s">
        <v>142</v>
      </c>
      <c r="L1427" s="1" t="s">
        <v>153</v>
      </c>
      <c r="M1427" s="1" t="s">
        <v>1256</v>
      </c>
      <c r="N1427" s="1" t="str">
        <f>HYPERLINK("https://klocwork.india.ti.com:443/review/insight-review.html#issuedetails_goto:problemid=120193,project=MCU_PLUS_SDK_AM263X,searchquery=taxonomy:'C and C++' build:Build_Apr_13_2023_11_11_AM grouping:off ","KW Issue Link")</f>
        <v>KW Issue Link</v>
      </c>
      <c r="O1427" s="1" t="s">
        <v>966</v>
      </c>
    </row>
    <row r="1428" spans="1:15" ht="60" x14ac:dyDescent="0.25">
      <c r="A1428" s="1" t="s">
        <v>1257</v>
      </c>
      <c r="B1428" s="1"/>
      <c r="C1428" s="1" t="s">
        <v>963</v>
      </c>
      <c r="D1428" s="1">
        <v>120194</v>
      </c>
      <c r="E1428" s="1">
        <v>1881</v>
      </c>
      <c r="F1428" s="1" t="s">
        <v>2153</v>
      </c>
      <c r="G1428" s="1" t="s">
        <v>2139</v>
      </c>
      <c r="H1428" s="1" t="s">
        <v>141</v>
      </c>
      <c r="I1428" s="1" t="s">
        <v>65</v>
      </c>
      <c r="J1428" s="1">
        <v>3</v>
      </c>
      <c r="K1428" s="1" t="s">
        <v>142</v>
      </c>
      <c r="L1428" s="1" t="s">
        <v>153</v>
      </c>
      <c r="M1428" s="1" t="s">
        <v>1256</v>
      </c>
      <c r="N1428" s="1" t="str">
        <f>HYPERLINK("https://klocwork.india.ti.com:443/review/insight-review.html#issuedetails_goto:problemid=120194,project=MCU_PLUS_SDK_AM263X,searchquery=taxonomy:'C and C++' build:Build_Apr_13_2023_11_11_AM grouping:off ","KW Issue Link")</f>
        <v>KW Issue Link</v>
      </c>
      <c r="O1428" s="1" t="s">
        <v>966</v>
      </c>
    </row>
    <row r="1429" spans="1:15" ht="60" x14ac:dyDescent="0.25">
      <c r="A1429" s="1" t="s">
        <v>1257</v>
      </c>
      <c r="B1429" s="1"/>
      <c r="C1429" s="1" t="s">
        <v>963</v>
      </c>
      <c r="D1429" s="1">
        <v>120195</v>
      </c>
      <c r="E1429" s="1">
        <v>1990</v>
      </c>
      <c r="F1429" s="1" t="s">
        <v>2154</v>
      </c>
      <c r="G1429" s="1" t="s">
        <v>2155</v>
      </c>
      <c r="H1429" s="1" t="s">
        <v>141</v>
      </c>
      <c r="I1429" s="1" t="s">
        <v>65</v>
      </c>
      <c r="J1429" s="1">
        <v>3</v>
      </c>
      <c r="K1429" s="1" t="s">
        <v>142</v>
      </c>
      <c r="L1429" s="1" t="s">
        <v>153</v>
      </c>
      <c r="M1429" s="1" t="s">
        <v>1256</v>
      </c>
      <c r="N1429" s="1" t="str">
        <f>HYPERLINK("https://klocwork.india.ti.com:443/review/insight-review.html#issuedetails_goto:problemid=120195,project=MCU_PLUS_SDK_AM263X,searchquery=taxonomy:'C and C++' build:Build_Apr_13_2023_11_11_AM grouping:off ","KW Issue Link")</f>
        <v>KW Issue Link</v>
      </c>
      <c r="O1429" s="1" t="s">
        <v>966</v>
      </c>
    </row>
    <row r="1430" spans="1:15" ht="60" x14ac:dyDescent="0.25">
      <c r="A1430" s="1" t="s">
        <v>1257</v>
      </c>
      <c r="B1430" s="1"/>
      <c r="C1430" s="1" t="s">
        <v>963</v>
      </c>
      <c r="D1430" s="1">
        <v>120196</v>
      </c>
      <c r="E1430" s="1">
        <v>2107</v>
      </c>
      <c r="F1430" s="1" t="s">
        <v>2156</v>
      </c>
      <c r="G1430" s="1" t="s">
        <v>2157</v>
      </c>
      <c r="H1430" s="1" t="s">
        <v>141</v>
      </c>
      <c r="I1430" s="1" t="s">
        <v>65</v>
      </c>
      <c r="J1430" s="1">
        <v>3</v>
      </c>
      <c r="K1430" s="1" t="s">
        <v>142</v>
      </c>
      <c r="L1430" s="1" t="s">
        <v>153</v>
      </c>
      <c r="M1430" s="1" t="s">
        <v>1256</v>
      </c>
      <c r="N1430" s="1" t="str">
        <f>HYPERLINK("https://klocwork.india.ti.com:443/review/insight-review.html#issuedetails_goto:problemid=120196,project=MCU_PLUS_SDK_AM263X,searchquery=taxonomy:'C and C++' build:Build_Apr_13_2023_11_11_AM grouping:off ","KW Issue Link")</f>
        <v>KW Issue Link</v>
      </c>
      <c r="O1430" s="1" t="s">
        <v>966</v>
      </c>
    </row>
    <row r="1431" spans="1:15" ht="60" x14ac:dyDescent="0.25">
      <c r="A1431" s="1" t="s">
        <v>1257</v>
      </c>
      <c r="B1431" s="1"/>
      <c r="C1431" s="1" t="s">
        <v>963</v>
      </c>
      <c r="D1431" s="1">
        <v>120197</v>
      </c>
      <c r="E1431" s="1">
        <v>2147</v>
      </c>
      <c r="F1431" s="1" t="s">
        <v>2158</v>
      </c>
      <c r="G1431" s="1" t="s">
        <v>2141</v>
      </c>
      <c r="H1431" s="1" t="s">
        <v>141</v>
      </c>
      <c r="I1431" s="1" t="s">
        <v>65</v>
      </c>
      <c r="J1431" s="1">
        <v>3</v>
      </c>
      <c r="K1431" s="1" t="s">
        <v>142</v>
      </c>
      <c r="L1431" s="1" t="s">
        <v>153</v>
      </c>
      <c r="M1431" s="1" t="s">
        <v>1256</v>
      </c>
      <c r="N1431" s="1" t="str">
        <f>HYPERLINK("https://klocwork.india.ti.com:443/review/insight-review.html#issuedetails_goto:problemid=120197,project=MCU_PLUS_SDK_AM263X,searchquery=taxonomy:'C and C++' build:Build_Apr_13_2023_11_11_AM grouping:off ","KW Issue Link")</f>
        <v>KW Issue Link</v>
      </c>
      <c r="O1431" s="1" t="s">
        <v>966</v>
      </c>
    </row>
    <row r="1432" spans="1:15" ht="75" x14ac:dyDescent="0.25">
      <c r="A1432" s="1" t="s">
        <v>1257</v>
      </c>
      <c r="B1432" s="1"/>
      <c r="C1432" s="1" t="s">
        <v>2159</v>
      </c>
      <c r="D1432" s="1">
        <v>120198</v>
      </c>
      <c r="E1432" s="1">
        <v>65</v>
      </c>
      <c r="F1432" s="1" t="s">
        <v>2160</v>
      </c>
      <c r="G1432" s="1" t="s">
        <v>2161</v>
      </c>
      <c r="H1432" s="1" t="s">
        <v>141</v>
      </c>
      <c r="I1432" s="1" t="s">
        <v>65</v>
      </c>
      <c r="J1432" s="1">
        <v>3</v>
      </c>
      <c r="K1432" s="1" t="s">
        <v>142</v>
      </c>
      <c r="L1432" s="1" t="s">
        <v>153</v>
      </c>
      <c r="M1432" s="1" t="s">
        <v>1256</v>
      </c>
      <c r="N1432" s="1" t="str">
        <f>HYPERLINK("https://klocwork.india.ti.com:443/review/insight-review.html#issuedetails_goto:problemid=120198,project=MCU_PLUS_SDK_AM263X,searchquery=taxonomy:'C and C++' build:Build_Apr_13_2023_11_11_AM grouping:off ","KW Issue Link")</f>
        <v>KW Issue Link</v>
      </c>
      <c r="O1432" s="1" t="s">
        <v>966</v>
      </c>
    </row>
    <row r="1433" spans="1:15" ht="75" x14ac:dyDescent="0.25">
      <c r="A1433" s="1" t="s">
        <v>1257</v>
      </c>
      <c r="B1433" s="1"/>
      <c r="C1433" s="1" t="s">
        <v>2159</v>
      </c>
      <c r="D1433" s="1">
        <v>120199</v>
      </c>
      <c r="E1433" s="1">
        <v>210</v>
      </c>
      <c r="F1433" s="1" t="s">
        <v>2162</v>
      </c>
      <c r="G1433" s="1" t="s">
        <v>2163</v>
      </c>
      <c r="H1433" s="1" t="s">
        <v>141</v>
      </c>
      <c r="I1433" s="1" t="s">
        <v>65</v>
      </c>
      <c r="J1433" s="1">
        <v>3</v>
      </c>
      <c r="K1433" s="1" t="s">
        <v>142</v>
      </c>
      <c r="L1433" s="1" t="s">
        <v>153</v>
      </c>
      <c r="M1433" s="1" t="s">
        <v>1256</v>
      </c>
      <c r="N1433" s="1" t="str">
        <f>HYPERLINK("https://klocwork.india.ti.com:443/review/insight-review.html#issuedetails_goto:problemid=120199,project=MCU_PLUS_SDK_AM263X,searchquery=taxonomy:'C and C++' build:Build_Apr_13_2023_11_11_AM grouping:off ","KW Issue Link")</f>
        <v>KW Issue Link</v>
      </c>
      <c r="O1433" s="1" t="s">
        <v>966</v>
      </c>
    </row>
    <row r="1434" spans="1:15" ht="75" x14ac:dyDescent="0.25">
      <c r="A1434" s="1" t="s">
        <v>1257</v>
      </c>
      <c r="B1434" s="1"/>
      <c r="C1434" s="1" t="s">
        <v>2159</v>
      </c>
      <c r="D1434" s="1">
        <v>120200</v>
      </c>
      <c r="E1434" s="1">
        <v>313</v>
      </c>
      <c r="F1434" s="1" t="s">
        <v>2164</v>
      </c>
      <c r="G1434" s="1" t="s">
        <v>2165</v>
      </c>
      <c r="H1434" s="1" t="s">
        <v>141</v>
      </c>
      <c r="I1434" s="1" t="s">
        <v>65</v>
      </c>
      <c r="J1434" s="1">
        <v>3</v>
      </c>
      <c r="K1434" s="1" t="s">
        <v>142</v>
      </c>
      <c r="L1434" s="1" t="s">
        <v>153</v>
      </c>
      <c r="M1434" s="1" t="s">
        <v>1256</v>
      </c>
      <c r="N1434" s="1" t="str">
        <f>HYPERLINK("https://klocwork.india.ti.com:443/review/insight-review.html#issuedetails_goto:problemid=120200,project=MCU_PLUS_SDK_AM263X,searchquery=taxonomy:'C and C++' build:Build_Apr_13_2023_11_11_AM grouping:off ","KW Issue Link")</f>
        <v>KW Issue Link</v>
      </c>
      <c r="O1434" s="1" t="s">
        <v>966</v>
      </c>
    </row>
    <row r="1435" spans="1:15" ht="75" x14ac:dyDescent="0.25">
      <c r="A1435" s="1" t="s">
        <v>1257</v>
      </c>
      <c r="B1435" s="1"/>
      <c r="C1435" s="1" t="s">
        <v>2159</v>
      </c>
      <c r="D1435" s="1">
        <v>120201</v>
      </c>
      <c r="E1435" s="1">
        <v>367</v>
      </c>
      <c r="F1435" s="1" t="s">
        <v>2166</v>
      </c>
      <c r="G1435" s="1" t="s">
        <v>2167</v>
      </c>
      <c r="H1435" s="1" t="s">
        <v>141</v>
      </c>
      <c r="I1435" s="1" t="s">
        <v>65</v>
      </c>
      <c r="J1435" s="1">
        <v>3</v>
      </c>
      <c r="K1435" s="1" t="s">
        <v>142</v>
      </c>
      <c r="L1435" s="1" t="s">
        <v>153</v>
      </c>
      <c r="M1435" s="1" t="s">
        <v>1256</v>
      </c>
      <c r="N1435" s="1" t="str">
        <f>HYPERLINK("https://klocwork.india.ti.com:443/review/insight-review.html#issuedetails_goto:problemid=120201,project=MCU_PLUS_SDK_AM263X,searchquery=taxonomy:'C and C++' build:Build_Apr_13_2023_11_11_AM grouping:off ","KW Issue Link")</f>
        <v>KW Issue Link</v>
      </c>
      <c r="O1435" s="1" t="s">
        <v>966</v>
      </c>
    </row>
    <row r="1436" spans="1:15" ht="75" x14ac:dyDescent="0.25">
      <c r="A1436" s="1" t="s">
        <v>1257</v>
      </c>
      <c r="B1436" s="1"/>
      <c r="C1436" s="1" t="s">
        <v>2159</v>
      </c>
      <c r="D1436" s="1">
        <v>120202</v>
      </c>
      <c r="E1436" s="1">
        <v>440</v>
      </c>
      <c r="F1436" s="1" t="s">
        <v>2168</v>
      </c>
      <c r="G1436" s="1" t="s">
        <v>2169</v>
      </c>
      <c r="H1436" s="1" t="s">
        <v>141</v>
      </c>
      <c r="I1436" s="1" t="s">
        <v>65</v>
      </c>
      <c r="J1436" s="1">
        <v>3</v>
      </c>
      <c r="K1436" s="1" t="s">
        <v>142</v>
      </c>
      <c r="L1436" s="1" t="s">
        <v>153</v>
      </c>
      <c r="M1436" s="1" t="s">
        <v>1256</v>
      </c>
      <c r="N1436" s="1" t="str">
        <f>HYPERLINK("https://klocwork.india.ti.com:443/review/insight-review.html#issuedetails_goto:problemid=120202,project=MCU_PLUS_SDK_AM263X,searchquery=taxonomy:'C and C++' build:Build_Apr_13_2023_11_11_AM grouping:off ","KW Issue Link")</f>
        <v>KW Issue Link</v>
      </c>
      <c r="O1436" s="1" t="s">
        <v>966</v>
      </c>
    </row>
    <row r="1437" spans="1:15" ht="75" x14ac:dyDescent="0.25">
      <c r="A1437" s="1" t="s">
        <v>1266</v>
      </c>
      <c r="B1437" s="1"/>
      <c r="C1437" s="1" t="s">
        <v>2159</v>
      </c>
      <c r="D1437" s="1">
        <v>120203</v>
      </c>
      <c r="E1437" s="1">
        <v>65</v>
      </c>
      <c r="F1437" s="1" t="s">
        <v>2170</v>
      </c>
      <c r="G1437" s="1" t="s">
        <v>2161</v>
      </c>
      <c r="H1437" s="1" t="s">
        <v>141</v>
      </c>
      <c r="I1437" s="1" t="s">
        <v>65</v>
      </c>
      <c r="J1437" s="1">
        <v>3</v>
      </c>
      <c r="K1437" s="1" t="s">
        <v>142</v>
      </c>
      <c r="L1437" s="1" t="s">
        <v>153</v>
      </c>
      <c r="M1437" s="1" t="s">
        <v>1256</v>
      </c>
      <c r="N1437" s="1" t="str">
        <f>HYPERLINK("https://klocwork.india.ti.com:443/review/insight-review.html#issuedetails_goto:problemid=120203,project=MCU_PLUS_SDK_AM263X,searchquery=taxonomy:'C and C++' build:Build_Apr_13_2023_11_11_AM grouping:off ","KW Issue Link")</f>
        <v>KW Issue Link</v>
      </c>
      <c r="O1437" s="1" t="s">
        <v>966</v>
      </c>
    </row>
    <row r="1438" spans="1:15" ht="60" x14ac:dyDescent="0.25">
      <c r="A1438" s="1" t="s">
        <v>1266</v>
      </c>
      <c r="B1438" s="1"/>
      <c r="C1438" s="1" t="s">
        <v>972</v>
      </c>
      <c r="D1438" s="1">
        <v>120204</v>
      </c>
      <c r="E1438" s="1">
        <v>384</v>
      </c>
      <c r="F1438" s="1" t="s">
        <v>2171</v>
      </c>
      <c r="G1438" s="1" t="s">
        <v>974</v>
      </c>
      <c r="H1438" s="1" t="s">
        <v>141</v>
      </c>
      <c r="I1438" s="1" t="s">
        <v>65</v>
      </c>
      <c r="J1438" s="1">
        <v>3</v>
      </c>
      <c r="K1438" s="1" t="s">
        <v>142</v>
      </c>
      <c r="L1438" s="1" t="s">
        <v>153</v>
      </c>
      <c r="M1438" s="1" t="s">
        <v>1256</v>
      </c>
      <c r="N1438" s="1" t="str">
        <f>HYPERLINK("https://klocwork.india.ti.com:443/review/insight-review.html#issuedetails_goto:problemid=120204,project=MCU_PLUS_SDK_AM263X,searchquery=taxonomy:'C and C++' build:Build_Apr_13_2023_11_11_AM grouping:off ","KW Issue Link")</f>
        <v>KW Issue Link</v>
      </c>
      <c r="O1438" s="1" t="s">
        <v>966</v>
      </c>
    </row>
    <row r="1439" spans="1:15" ht="60" x14ac:dyDescent="0.25">
      <c r="A1439" s="1" t="s">
        <v>1266</v>
      </c>
      <c r="B1439" s="1"/>
      <c r="C1439" s="1" t="s">
        <v>972</v>
      </c>
      <c r="D1439" s="1">
        <v>120205</v>
      </c>
      <c r="E1439" s="1">
        <v>1212</v>
      </c>
      <c r="F1439" s="1" t="s">
        <v>2172</v>
      </c>
      <c r="G1439" s="1" t="s">
        <v>977</v>
      </c>
      <c r="H1439" s="1" t="s">
        <v>141</v>
      </c>
      <c r="I1439" s="1" t="s">
        <v>65</v>
      </c>
      <c r="J1439" s="1">
        <v>3</v>
      </c>
      <c r="K1439" s="1" t="s">
        <v>142</v>
      </c>
      <c r="L1439" s="1" t="s">
        <v>153</v>
      </c>
      <c r="M1439" s="1" t="s">
        <v>1256</v>
      </c>
      <c r="N1439" s="1" t="str">
        <f>HYPERLINK("https://klocwork.india.ti.com:443/review/insight-review.html#issuedetails_goto:problemid=120205,project=MCU_PLUS_SDK_AM263X,searchquery=taxonomy:'C and C++' build:Build_Apr_13_2023_11_11_AM grouping:off ","KW Issue Link")</f>
        <v>KW Issue Link</v>
      </c>
      <c r="O1439" s="1" t="s">
        <v>966</v>
      </c>
    </row>
    <row r="1440" spans="1:15" ht="60" x14ac:dyDescent="0.25">
      <c r="A1440" s="1" t="s">
        <v>1266</v>
      </c>
      <c r="B1440" s="1"/>
      <c r="C1440" s="1" t="s">
        <v>972</v>
      </c>
      <c r="D1440" s="1">
        <v>120206</v>
      </c>
      <c r="E1440" s="1">
        <v>1503</v>
      </c>
      <c r="F1440" s="1" t="s">
        <v>2173</v>
      </c>
      <c r="G1440" s="1" t="s">
        <v>983</v>
      </c>
      <c r="H1440" s="1" t="s">
        <v>141</v>
      </c>
      <c r="I1440" s="1" t="s">
        <v>65</v>
      </c>
      <c r="J1440" s="1">
        <v>3</v>
      </c>
      <c r="K1440" s="1" t="s">
        <v>142</v>
      </c>
      <c r="L1440" s="1" t="s">
        <v>153</v>
      </c>
      <c r="M1440" s="1" t="s">
        <v>1256</v>
      </c>
      <c r="N1440" s="1" t="str">
        <f>HYPERLINK("https://klocwork.india.ti.com:443/review/insight-review.html#issuedetails_goto:problemid=120206,project=MCU_PLUS_SDK_AM263X,searchquery=taxonomy:'C and C++' build:Build_Apr_13_2023_11_11_AM grouping:off ","KW Issue Link")</f>
        <v>KW Issue Link</v>
      </c>
      <c r="O1440" s="1" t="s">
        <v>966</v>
      </c>
    </row>
    <row r="1441" spans="1:15" ht="60" x14ac:dyDescent="0.25">
      <c r="A1441" s="1" t="s">
        <v>1266</v>
      </c>
      <c r="B1441" s="1"/>
      <c r="C1441" s="1" t="s">
        <v>972</v>
      </c>
      <c r="D1441" s="1">
        <v>120207</v>
      </c>
      <c r="E1441" s="1">
        <v>1717</v>
      </c>
      <c r="F1441" s="1" t="s">
        <v>2174</v>
      </c>
      <c r="G1441" s="1" t="s">
        <v>979</v>
      </c>
      <c r="H1441" s="1" t="s">
        <v>141</v>
      </c>
      <c r="I1441" s="1" t="s">
        <v>65</v>
      </c>
      <c r="J1441" s="1">
        <v>3</v>
      </c>
      <c r="K1441" s="1" t="s">
        <v>142</v>
      </c>
      <c r="L1441" s="1" t="s">
        <v>153</v>
      </c>
      <c r="M1441" s="1" t="s">
        <v>1256</v>
      </c>
      <c r="N1441" s="1" t="str">
        <f>HYPERLINK("https://klocwork.india.ti.com:443/review/insight-review.html#issuedetails_goto:problemid=120207,project=MCU_PLUS_SDK_AM263X,searchquery=taxonomy:'C and C++' build:Build_Apr_13_2023_11_11_AM grouping:off ","KW Issue Link")</f>
        <v>KW Issue Link</v>
      </c>
      <c r="O1441" s="1" t="s">
        <v>966</v>
      </c>
    </row>
    <row r="1442" spans="1:15" ht="60" x14ac:dyDescent="0.25">
      <c r="A1442" s="1" t="s">
        <v>1268</v>
      </c>
      <c r="B1442" s="1"/>
      <c r="C1442" s="1" t="s">
        <v>972</v>
      </c>
      <c r="D1442" s="1">
        <v>120208</v>
      </c>
      <c r="E1442" s="1">
        <v>384</v>
      </c>
      <c r="F1442" s="1" t="s">
        <v>2175</v>
      </c>
      <c r="G1442" s="1" t="s">
        <v>974</v>
      </c>
      <c r="H1442" s="1" t="s">
        <v>141</v>
      </c>
      <c r="I1442" s="1" t="s">
        <v>65</v>
      </c>
      <c r="J1442" s="1">
        <v>3</v>
      </c>
      <c r="K1442" s="1" t="s">
        <v>142</v>
      </c>
      <c r="L1442" s="1" t="s">
        <v>153</v>
      </c>
      <c r="M1442" s="1" t="s">
        <v>1256</v>
      </c>
      <c r="N1442" s="1" t="str">
        <f>HYPERLINK("https://klocwork.india.ti.com:443/review/insight-review.html#issuedetails_goto:problemid=120208,project=MCU_PLUS_SDK_AM263X,searchquery=taxonomy:'C and C++' build:Build_Apr_13_2023_11_11_AM grouping:off ","KW Issue Link")</f>
        <v>KW Issue Link</v>
      </c>
      <c r="O1442" s="1" t="s">
        <v>966</v>
      </c>
    </row>
    <row r="1443" spans="1:15" ht="60" x14ac:dyDescent="0.25">
      <c r="A1443" s="1" t="s">
        <v>1268</v>
      </c>
      <c r="B1443" s="1"/>
      <c r="C1443" s="1" t="s">
        <v>972</v>
      </c>
      <c r="D1443" s="1">
        <v>120209</v>
      </c>
      <c r="E1443" s="1">
        <v>1212</v>
      </c>
      <c r="F1443" s="1" t="s">
        <v>2176</v>
      </c>
      <c r="G1443" s="1" t="s">
        <v>977</v>
      </c>
      <c r="H1443" s="1" t="s">
        <v>141</v>
      </c>
      <c r="I1443" s="1" t="s">
        <v>65</v>
      </c>
      <c r="J1443" s="1">
        <v>3</v>
      </c>
      <c r="K1443" s="1" t="s">
        <v>142</v>
      </c>
      <c r="L1443" s="1" t="s">
        <v>153</v>
      </c>
      <c r="M1443" s="1" t="s">
        <v>1256</v>
      </c>
      <c r="N1443" s="1" t="str">
        <f>HYPERLINK("https://klocwork.india.ti.com:443/review/insight-review.html#issuedetails_goto:problemid=120209,project=MCU_PLUS_SDK_AM263X,searchquery=taxonomy:'C and C++' build:Build_Apr_13_2023_11_11_AM grouping:off ","KW Issue Link")</f>
        <v>KW Issue Link</v>
      </c>
      <c r="O1443" s="1" t="s">
        <v>966</v>
      </c>
    </row>
    <row r="1444" spans="1:15" ht="60" x14ac:dyDescent="0.25">
      <c r="A1444" s="1" t="s">
        <v>1268</v>
      </c>
      <c r="B1444" s="1"/>
      <c r="C1444" s="1" t="s">
        <v>972</v>
      </c>
      <c r="D1444" s="1">
        <v>120210</v>
      </c>
      <c r="E1444" s="1">
        <v>1503</v>
      </c>
      <c r="F1444" s="1" t="s">
        <v>2177</v>
      </c>
      <c r="G1444" s="1" t="s">
        <v>983</v>
      </c>
      <c r="H1444" s="1" t="s">
        <v>141</v>
      </c>
      <c r="I1444" s="1" t="s">
        <v>65</v>
      </c>
      <c r="J1444" s="1">
        <v>3</v>
      </c>
      <c r="K1444" s="1" t="s">
        <v>142</v>
      </c>
      <c r="L1444" s="1" t="s">
        <v>153</v>
      </c>
      <c r="M1444" s="1" t="s">
        <v>1256</v>
      </c>
      <c r="N1444" s="1" t="str">
        <f>HYPERLINK("https://klocwork.india.ti.com:443/review/insight-review.html#issuedetails_goto:problemid=120210,project=MCU_PLUS_SDK_AM263X,searchquery=taxonomy:'C and C++' build:Build_Apr_13_2023_11_11_AM grouping:off ","KW Issue Link")</f>
        <v>KW Issue Link</v>
      </c>
      <c r="O1444" s="1" t="s">
        <v>966</v>
      </c>
    </row>
    <row r="1445" spans="1:15" ht="60" x14ac:dyDescent="0.25">
      <c r="A1445" s="1" t="s">
        <v>1257</v>
      </c>
      <c r="B1445" s="1"/>
      <c r="C1445" s="1" t="s">
        <v>972</v>
      </c>
      <c r="D1445" s="1">
        <v>120211</v>
      </c>
      <c r="E1445" s="1">
        <v>1437</v>
      </c>
      <c r="F1445" s="1" t="s">
        <v>2178</v>
      </c>
      <c r="G1445" s="1" t="s">
        <v>2179</v>
      </c>
      <c r="H1445" s="1" t="s">
        <v>141</v>
      </c>
      <c r="I1445" s="1" t="s">
        <v>65</v>
      </c>
      <c r="J1445" s="1">
        <v>3</v>
      </c>
      <c r="K1445" s="1" t="s">
        <v>142</v>
      </c>
      <c r="L1445" s="1" t="s">
        <v>153</v>
      </c>
      <c r="M1445" s="1" t="s">
        <v>1256</v>
      </c>
      <c r="N1445" s="1" t="str">
        <f>HYPERLINK("https://klocwork.india.ti.com:443/review/insight-review.html#issuedetails_goto:problemid=120211,project=MCU_PLUS_SDK_AM263X,searchquery=taxonomy:'C and C++' build:Build_Apr_13_2023_11_11_AM grouping:off ","KW Issue Link")</f>
        <v>KW Issue Link</v>
      </c>
      <c r="O1445" s="1" t="s">
        <v>966</v>
      </c>
    </row>
    <row r="1446" spans="1:15" ht="60" x14ac:dyDescent="0.25">
      <c r="A1446" s="1" t="s">
        <v>1257</v>
      </c>
      <c r="B1446" s="1"/>
      <c r="C1446" s="1" t="s">
        <v>972</v>
      </c>
      <c r="D1446" s="1">
        <v>120212</v>
      </c>
      <c r="E1446" s="1">
        <v>1717</v>
      </c>
      <c r="F1446" s="1" t="s">
        <v>2180</v>
      </c>
      <c r="G1446" s="1" t="s">
        <v>979</v>
      </c>
      <c r="H1446" s="1" t="s">
        <v>141</v>
      </c>
      <c r="I1446" s="1" t="s">
        <v>65</v>
      </c>
      <c r="J1446" s="1">
        <v>3</v>
      </c>
      <c r="K1446" s="1" t="s">
        <v>142</v>
      </c>
      <c r="L1446" s="1" t="s">
        <v>153</v>
      </c>
      <c r="M1446" s="1" t="s">
        <v>1256</v>
      </c>
      <c r="N1446" s="1" t="str">
        <f>HYPERLINK("https://klocwork.india.ti.com:443/review/insight-review.html#issuedetails_goto:problemid=120212,project=MCU_PLUS_SDK_AM263X,searchquery=taxonomy:'C and C++' build:Build_Apr_13_2023_11_11_AM grouping:off ","KW Issue Link")</f>
        <v>KW Issue Link</v>
      </c>
      <c r="O1446" s="1" t="s">
        <v>966</v>
      </c>
    </row>
    <row r="1447" spans="1:15" ht="75" x14ac:dyDescent="0.25">
      <c r="A1447" s="1" t="s">
        <v>1252</v>
      </c>
      <c r="B1447" s="1"/>
      <c r="C1447" s="1" t="s">
        <v>2181</v>
      </c>
      <c r="D1447" s="1">
        <v>120213</v>
      </c>
      <c r="E1447" s="1">
        <v>256</v>
      </c>
      <c r="F1447" s="1" t="s">
        <v>2182</v>
      </c>
      <c r="G1447" s="1" t="s">
        <v>2183</v>
      </c>
      <c r="H1447" s="1" t="s">
        <v>141</v>
      </c>
      <c r="I1447" s="1" t="s">
        <v>65</v>
      </c>
      <c r="J1447" s="1">
        <v>3</v>
      </c>
      <c r="K1447" s="1" t="s">
        <v>142</v>
      </c>
      <c r="L1447" s="1" t="s">
        <v>153</v>
      </c>
      <c r="M1447" s="1" t="s">
        <v>1256</v>
      </c>
      <c r="N1447" s="1" t="str">
        <f>HYPERLINK("https://klocwork.india.ti.com:443/review/insight-review.html#issuedetails_goto:problemid=120213,project=MCU_PLUS_SDK_AM263X,searchquery=taxonomy:'C and C++' build:Build_Apr_13_2023_11_11_AM grouping:off ","KW Issue Link")</f>
        <v>KW Issue Link</v>
      </c>
      <c r="O1447" s="1" t="s">
        <v>966</v>
      </c>
    </row>
    <row r="1448" spans="1:15" ht="75" x14ac:dyDescent="0.25">
      <c r="A1448" s="1" t="s">
        <v>1257</v>
      </c>
      <c r="B1448" s="1"/>
      <c r="C1448" s="1" t="s">
        <v>486</v>
      </c>
      <c r="D1448" s="1">
        <v>120214</v>
      </c>
      <c r="E1448" s="1">
        <v>114</v>
      </c>
      <c r="F1448" s="1" t="s">
        <v>2184</v>
      </c>
      <c r="G1448" s="1" t="s">
        <v>2185</v>
      </c>
      <c r="H1448" s="1" t="s">
        <v>141</v>
      </c>
      <c r="I1448" s="1" t="s">
        <v>65</v>
      </c>
      <c r="J1448" s="1">
        <v>3</v>
      </c>
      <c r="K1448" s="1" t="s">
        <v>142</v>
      </c>
      <c r="L1448" s="1" t="s">
        <v>153</v>
      </c>
      <c r="M1448" s="1" t="s">
        <v>1256</v>
      </c>
      <c r="N1448" s="1" t="str">
        <f>HYPERLINK("https://klocwork.india.ti.com:443/review/insight-review.html#issuedetails_goto:problemid=120214,project=MCU_PLUS_SDK_AM263X,searchquery=taxonomy:'C and C++' build:Build_Apr_13_2023_11_11_AM grouping:off ","KW Issue Link")</f>
        <v>KW Issue Link</v>
      </c>
      <c r="O1448" s="1" t="s">
        <v>291</v>
      </c>
    </row>
    <row r="1449" spans="1:15" ht="75" x14ac:dyDescent="0.25">
      <c r="A1449" s="1" t="s">
        <v>1257</v>
      </c>
      <c r="B1449" s="1"/>
      <c r="C1449" s="1" t="s">
        <v>486</v>
      </c>
      <c r="D1449" s="1">
        <v>120215</v>
      </c>
      <c r="E1449" s="1">
        <v>128</v>
      </c>
      <c r="F1449" s="1" t="s">
        <v>2186</v>
      </c>
      <c r="G1449" s="1" t="s">
        <v>2187</v>
      </c>
      <c r="H1449" s="1" t="s">
        <v>141</v>
      </c>
      <c r="I1449" s="1" t="s">
        <v>65</v>
      </c>
      <c r="J1449" s="1">
        <v>3</v>
      </c>
      <c r="K1449" s="1" t="s">
        <v>142</v>
      </c>
      <c r="L1449" s="1" t="s">
        <v>153</v>
      </c>
      <c r="M1449" s="1" t="s">
        <v>1256</v>
      </c>
      <c r="N1449" s="1" t="str">
        <f>HYPERLINK("https://klocwork.india.ti.com:443/review/insight-review.html#issuedetails_goto:problemid=120215,project=MCU_PLUS_SDK_AM263X,searchquery=taxonomy:'C and C++' build:Build_Apr_13_2023_11_11_AM grouping:off ","KW Issue Link")</f>
        <v>KW Issue Link</v>
      </c>
      <c r="O1449" s="1" t="s">
        <v>291</v>
      </c>
    </row>
    <row r="1450" spans="1:15" ht="75" x14ac:dyDescent="0.25">
      <c r="A1450" s="1" t="s">
        <v>1257</v>
      </c>
      <c r="B1450" s="1"/>
      <c r="C1450" s="1" t="s">
        <v>486</v>
      </c>
      <c r="D1450" s="1">
        <v>120216</v>
      </c>
      <c r="E1450" s="1">
        <v>160</v>
      </c>
      <c r="F1450" s="1" t="s">
        <v>2188</v>
      </c>
      <c r="G1450" s="1" t="s">
        <v>2189</v>
      </c>
      <c r="H1450" s="1" t="s">
        <v>141</v>
      </c>
      <c r="I1450" s="1" t="s">
        <v>65</v>
      </c>
      <c r="J1450" s="1">
        <v>3</v>
      </c>
      <c r="K1450" s="1" t="s">
        <v>142</v>
      </c>
      <c r="L1450" s="1" t="s">
        <v>153</v>
      </c>
      <c r="M1450" s="1" t="s">
        <v>1256</v>
      </c>
      <c r="N1450" s="1" t="str">
        <f>HYPERLINK("https://klocwork.india.ti.com:443/review/insight-review.html#issuedetails_goto:problemid=120216,project=MCU_PLUS_SDK_AM263X,searchquery=taxonomy:'C and C++' build:Build_Apr_13_2023_11_11_AM grouping:off ","KW Issue Link")</f>
        <v>KW Issue Link</v>
      </c>
      <c r="O1450" s="1" t="s">
        <v>291</v>
      </c>
    </row>
    <row r="1451" spans="1:15" ht="75" x14ac:dyDescent="0.25">
      <c r="A1451" s="1" t="s">
        <v>1257</v>
      </c>
      <c r="B1451" s="1"/>
      <c r="C1451" s="1" t="s">
        <v>486</v>
      </c>
      <c r="D1451" s="1">
        <v>120217</v>
      </c>
      <c r="E1451" s="1">
        <v>192</v>
      </c>
      <c r="F1451" s="1" t="s">
        <v>2190</v>
      </c>
      <c r="G1451" s="1" t="s">
        <v>2191</v>
      </c>
      <c r="H1451" s="1" t="s">
        <v>141</v>
      </c>
      <c r="I1451" s="1" t="s">
        <v>65</v>
      </c>
      <c r="J1451" s="1">
        <v>3</v>
      </c>
      <c r="K1451" s="1" t="s">
        <v>142</v>
      </c>
      <c r="L1451" s="1" t="s">
        <v>153</v>
      </c>
      <c r="M1451" s="1" t="s">
        <v>1256</v>
      </c>
      <c r="N1451" s="1" t="str">
        <f>HYPERLINK("https://klocwork.india.ti.com:443/review/insight-review.html#issuedetails_goto:problemid=120217,project=MCU_PLUS_SDK_AM263X,searchquery=taxonomy:'C and C++' build:Build_Apr_13_2023_11_11_AM grouping:off ","KW Issue Link")</f>
        <v>KW Issue Link</v>
      </c>
      <c r="O1451" s="1" t="s">
        <v>291</v>
      </c>
    </row>
    <row r="1452" spans="1:15" ht="75" x14ac:dyDescent="0.25">
      <c r="A1452" s="1" t="s">
        <v>1257</v>
      </c>
      <c r="B1452" s="1"/>
      <c r="C1452" s="1" t="s">
        <v>486</v>
      </c>
      <c r="D1452" s="1">
        <v>120218</v>
      </c>
      <c r="E1452" s="1">
        <v>244</v>
      </c>
      <c r="F1452" s="1" t="s">
        <v>2192</v>
      </c>
      <c r="G1452" s="1" t="s">
        <v>487</v>
      </c>
      <c r="H1452" s="1" t="s">
        <v>141</v>
      </c>
      <c r="I1452" s="1" t="s">
        <v>65</v>
      </c>
      <c r="J1452" s="1">
        <v>3</v>
      </c>
      <c r="K1452" s="1" t="s">
        <v>142</v>
      </c>
      <c r="L1452" s="1" t="s">
        <v>153</v>
      </c>
      <c r="M1452" s="1" t="s">
        <v>1256</v>
      </c>
      <c r="N1452" s="1" t="str">
        <f>HYPERLINK("https://klocwork.india.ti.com:443/review/insight-review.html#issuedetails_goto:problemid=120218,project=MCU_PLUS_SDK_AM263X,searchquery=taxonomy:'C and C++' build:Build_Apr_13_2023_11_11_AM grouping:off ","KW Issue Link")</f>
        <v>KW Issue Link</v>
      </c>
      <c r="O1452" s="1" t="s">
        <v>291</v>
      </c>
    </row>
    <row r="1453" spans="1:15" ht="75" x14ac:dyDescent="0.25">
      <c r="A1453" s="1" t="s">
        <v>1257</v>
      </c>
      <c r="B1453" s="1"/>
      <c r="C1453" s="1" t="s">
        <v>486</v>
      </c>
      <c r="D1453" s="1">
        <v>120219</v>
      </c>
      <c r="E1453" s="1">
        <v>323</v>
      </c>
      <c r="F1453" s="1" t="s">
        <v>2193</v>
      </c>
      <c r="G1453" s="1" t="s">
        <v>488</v>
      </c>
      <c r="H1453" s="1" t="s">
        <v>141</v>
      </c>
      <c r="I1453" s="1" t="s">
        <v>65</v>
      </c>
      <c r="J1453" s="1">
        <v>3</v>
      </c>
      <c r="K1453" s="1" t="s">
        <v>142</v>
      </c>
      <c r="L1453" s="1" t="s">
        <v>153</v>
      </c>
      <c r="M1453" s="1" t="s">
        <v>1256</v>
      </c>
      <c r="N1453" s="1" t="str">
        <f>HYPERLINK("https://klocwork.india.ti.com:443/review/insight-review.html#issuedetails_goto:problemid=120219,project=MCU_PLUS_SDK_AM263X,searchquery=taxonomy:'C and C++' build:Build_Apr_13_2023_11_11_AM grouping:off ","KW Issue Link")</f>
        <v>KW Issue Link</v>
      </c>
      <c r="O1453" s="1" t="s">
        <v>291</v>
      </c>
    </row>
    <row r="1454" spans="1:15" ht="75" x14ac:dyDescent="0.25">
      <c r="A1454" s="1" t="s">
        <v>1257</v>
      </c>
      <c r="B1454" s="1"/>
      <c r="C1454" s="1" t="s">
        <v>486</v>
      </c>
      <c r="D1454" s="1">
        <v>120221</v>
      </c>
      <c r="E1454" s="1">
        <v>485</v>
      </c>
      <c r="F1454" s="1" t="s">
        <v>2194</v>
      </c>
      <c r="G1454" s="1" t="s">
        <v>2195</v>
      </c>
      <c r="H1454" s="1" t="s">
        <v>141</v>
      </c>
      <c r="I1454" s="1" t="s">
        <v>65</v>
      </c>
      <c r="J1454" s="1">
        <v>3</v>
      </c>
      <c r="K1454" s="1" t="s">
        <v>142</v>
      </c>
      <c r="L1454" s="1" t="s">
        <v>153</v>
      </c>
      <c r="M1454" s="1" t="s">
        <v>1256</v>
      </c>
      <c r="N1454" s="1" t="str">
        <f>HYPERLINK("https://klocwork.india.ti.com:443/review/insight-review.html#issuedetails_goto:problemid=120221,project=MCU_PLUS_SDK_AM263X,searchquery=taxonomy:'C and C++' build:Build_Apr_13_2023_11_11_AM grouping:off ","KW Issue Link")</f>
        <v>KW Issue Link</v>
      </c>
      <c r="O1454" s="1" t="s">
        <v>291</v>
      </c>
    </row>
    <row r="1455" spans="1:15" ht="75" x14ac:dyDescent="0.25">
      <c r="A1455" s="1" t="s">
        <v>1257</v>
      </c>
      <c r="B1455" s="1"/>
      <c r="C1455" s="1" t="s">
        <v>486</v>
      </c>
      <c r="D1455" s="1">
        <v>120223</v>
      </c>
      <c r="E1455" s="1">
        <v>581</v>
      </c>
      <c r="F1455" s="1" t="s">
        <v>2196</v>
      </c>
      <c r="G1455" s="1" t="s">
        <v>2197</v>
      </c>
      <c r="H1455" s="1" t="s">
        <v>141</v>
      </c>
      <c r="I1455" s="1" t="s">
        <v>65</v>
      </c>
      <c r="J1455" s="1">
        <v>3</v>
      </c>
      <c r="K1455" s="1" t="s">
        <v>142</v>
      </c>
      <c r="L1455" s="1" t="s">
        <v>153</v>
      </c>
      <c r="M1455" s="1" t="s">
        <v>1256</v>
      </c>
      <c r="N1455" s="1" t="str">
        <f>HYPERLINK("https://klocwork.india.ti.com:443/review/insight-review.html#issuedetails_goto:problemid=120223,project=MCU_PLUS_SDK_AM263X,searchquery=taxonomy:'C and C++' build:Build_Apr_13_2023_11_11_AM grouping:off ","KW Issue Link")</f>
        <v>KW Issue Link</v>
      </c>
      <c r="O1455" s="1" t="s">
        <v>291</v>
      </c>
    </row>
    <row r="1456" spans="1:15" ht="75" x14ac:dyDescent="0.25">
      <c r="A1456" s="1" t="s">
        <v>1257</v>
      </c>
      <c r="B1456" s="1"/>
      <c r="C1456" s="1" t="s">
        <v>486</v>
      </c>
      <c r="D1456" s="1">
        <v>120224</v>
      </c>
      <c r="E1456" s="1">
        <v>641</v>
      </c>
      <c r="F1456" s="1" t="s">
        <v>2198</v>
      </c>
      <c r="G1456" s="1" t="s">
        <v>2199</v>
      </c>
      <c r="H1456" s="1" t="s">
        <v>141</v>
      </c>
      <c r="I1456" s="1" t="s">
        <v>65</v>
      </c>
      <c r="J1456" s="1">
        <v>3</v>
      </c>
      <c r="K1456" s="1" t="s">
        <v>142</v>
      </c>
      <c r="L1456" s="1" t="s">
        <v>153</v>
      </c>
      <c r="M1456" s="1" t="s">
        <v>1256</v>
      </c>
      <c r="N1456" s="1" t="str">
        <f>HYPERLINK("https://klocwork.india.ti.com:443/review/insight-review.html#issuedetails_goto:problemid=120224,project=MCU_PLUS_SDK_AM263X,searchquery=taxonomy:'C and C++' build:Build_Apr_13_2023_11_11_AM grouping:off ","KW Issue Link")</f>
        <v>KW Issue Link</v>
      </c>
      <c r="O1456" s="1" t="s">
        <v>291</v>
      </c>
    </row>
    <row r="1457" spans="1:15" ht="75" x14ac:dyDescent="0.25">
      <c r="A1457" s="1" t="s">
        <v>1257</v>
      </c>
      <c r="B1457" s="1"/>
      <c r="C1457" s="1" t="s">
        <v>486</v>
      </c>
      <c r="D1457" s="1">
        <v>120225</v>
      </c>
      <c r="E1457" s="1">
        <v>667</v>
      </c>
      <c r="F1457" s="1" t="s">
        <v>2200</v>
      </c>
      <c r="G1457" s="1" t="s">
        <v>2201</v>
      </c>
      <c r="H1457" s="1" t="s">
        <v>141</v>
      </c>
      <c r="I1457" s="1" t="s">
        <v>65</v>
      </c>
      <c r="J1457" s="1">
        <v>3</v>
      </c>
      <c r="K1457" s="1" t="s">
        <v>142</v>
      </c>
      <c r="L1457" s="1" t="s">
        <v>153</v>
      </c>
      <c r="M1457" s="1" t="s">
        <v>1256</v>
      </c>
      <c r="N1457" s="1" t="str">
        <f>HYPERLINK("https://klocwork.india.ti.com:443/review/insight-review.html#issuedetails_goto:problemid=120225,project=MCU_PLUS_SDK_AM263X,searchquery=taxonomy:'C and C++' build:Build_Apr_13_2023_11_11_AM grouping:off ","KW Issue Link")</f>
        <v>KW Issue Link</v>
      </c>
      <c r="O1457" s="1" t="s">
        <v>291</v>
      </c>
    </row>
    <row r="1458" spans="1:15" ht="75" x14ac:dyDescent="0.25">
      <c r="A1458" s="1" t="s">
        <v>1257</v>
      </c>
      <c r="B1458" s="1"/>
      <c r="C1458" s="1" t="s">
        <v>486</v>
      </c>
      <c r="D1458" s="1">
        <v>120226</v>
      </c>
      <c r="E1458" s="1">
        <v>758</v>
      </c>
      <c r="F1458" s="1" t="s">
        <v>2202</v>
      </c>
      <c r="G1458" s="1" t="s">
        <v>2203</v>
      </c>
      <c r="H1458" s="1" t="s">
        <v>141</v>
      </c>
      <c r="I1458" s="1" t="s">
        <v>65</v>
      </c>
      <c r="J1458" s="1">
        <v>3</v>
      </c>
      <c r="K1458" s="1" t="s">
        <v>142</v>
      </c>
      <c r="L1458" s="1" t="s">
        <v>153</v>
      </c>
      <c r="M1458" s="1" t="s">
        <v>1256</v>
      </c>
      <c r="N1458" s="1" t="str">
        <f>HYPERLINK("https://klocwork.india.ti.com:443/review/insight-review.html#issuedetails_goto:problemid=120226,project=MCU_PLUS_SDK_AM263X,searchquery=taxonomy:'C and C++' build:Build_Apr_13_2023_11_11_AM grouping:off ","KW Issue Link")</f>
        <v>KW Issue Link</v>
      </c>
      <c r="O1458" s="1" t="s">
        <v>291</v>
      </c>
    </row>
    <row r="1459" spans="1:15" ht="75" x14ac:dyDescent="0.25">
      <c r="A1459" s="1" t="s">
        <v>1266</v>
      </c>
      <c r="B1459" s="1"/>
      <c r="C1459" s="1" t="s">
        <v>486</v>
      </c>
      <c r="D1459" s="1">
        <v>120227</v>
      </c>
      <c r="E1459" s="1">
        <v>128</v>
      </c>
      <c r="F1459" s="1" t="s">
        <v>2204</v>
      </c>
      <c r="G1459" s="1" t="s">
        <v>2187</v>
      </c>
      <c r="H1459" s="1" t="s">
        <v>141</v>
      </c>
      <c r="I1459" s="1" t="s">
        <v>65</v>
      </c>
      <c r="J1459" s="1">
        <v>3</v>
      </c>
      <c r="K1459" s="1" t="s">
        <v>142</v>
      </c>
      <c r="L1459" s="1" t="s">
        <v>153</v>
      </c>
      <c r="M1459" s="1" t="s">
        <v>1256</v>
      </c>
      <c r="N1459" s="1" t="str">
        <f>HYPERLINK("https://klocwork.india.ti.com:443/review/insight-review.html#issuedetails_goto:problemid=120227,project=MCU_PLUS_SDK_AM263X,searchquery=taxonomy:'C and C++' build:Build_Apr_13_2023_11_11_AM grouping:off ","KW Issue Link")</f>
        <v>KW Issue Link</v>
      </c>
      <c r="O1459" s="1" t="s">
        <v>291</v>
      </c>
    </row>
    <row r="1460" spans="1:15" ht="75" x14ac:dyDescent="0.25">
      <c r="A1460" s="1" t="s">
        <v>1266</v>
      </c>
      <c r="B1460" s="1"/>
      <c r="C1460" s="1" t="s">
        <v>486</v>
      </c>
      <c r="D1460" s="1">
        <v>120228</v>
      </c>
      <c r="E1460" s="1">
        <v>160</v>
      </c>
      <c r="F1460" s="1" t="s">
        <v>2205</v>
      </c>
      <c r="G1460" s="1" t="s">
        <v>2189</v>
      </c>
      <c r="H1460" s="1" t="s">
        <v>141</v>
      </c>
      <c r="I1460" s="1" t="s">
        <v>65</v>
      </c>
      <c r="J1460" s="1">
        <v>3</v>
      </c>
      <c r="K1460" s="1" t="s">
        <v>142</v>
      </c>
      <c r="L1460" s="1" t="s">
        <v>153</v>
      </c>
      <c r="M1460" s="1" t="s">
        <v>1256</v>
      </c>
      <c r="N1460" s="1" t="str">
        <f>HYPERLINK("https://klocwork.india.ti.com:443/review/insight-review.html#issuedetails_goto:problemid=120228,project=MCU_PLUS_SDK_AM263X,searchquery=taxonomy:'C and C++' build:Build_Apr_13_2023_11_11_AM grouping:off ","KW Issue Link")</f>
        <v>KW Issue Link</v>
      </c>
      <c r="O1460" s="1" t="s">
        <v>291</v>
      </c>
    </row>
    <row r="1461" spans="1:15" ht="75" x14ac:dyDescent="0.25">
      <c r="A1461" s="1" t="s">
        <v>1266</v>
      </c>
      <c r="B1461" s="1"/>
      <c r="C1461" s="1" t="s">
        <v>486</v>
      </c>
      <c r="D1461" s="1">
        <v>120229</v>
      </c>
      <c r="E1461" s="1">
        <v>244</v>
      </c>
      <c r="F1461" s="1" t="s">
        <v>2206</v>
      </c>
      <c r="G1461" s="1" t="s">
        <v>487</v>
      </c>
      <c r="H1461" s="1" t="s">
        <v>141</v>
      </c>
      <c r="I1461" s="1" t="s">
        <v>65</v>
      </c>
      <c r="J1461" s="1">
        <v>3</v>
      </c>
      <c r="K1461" s="1" t="s">
        <v>142</v>
      </c>
      <c r="L1461" s="1" t="s">
        <v>153</v>
      </c>
      <c r="M1461" s="1" t="s">
        <v>1256</v>
      </c>
      <c r="N1461" s="1" t="str">
        <f>HYPERLINK("https://klocwork.india.ti.com:443/review/insight-review.html#issuedetails_goto:problemid=120229,project=MCU_PLUS_SDK_AM263X,searchquery=taxonomy:'C and C++' build:Build_Apr_13_2023_11_11_AM grouping:off ","KW Issue Link")</f>
        <v>KW Issue Link</v>
      </c>
      <c r="O1461" s="1" t="s">
        <v>291</v>
      </c>
    </row>
    <row r="1462" spans="1:15" ht="75" x14ac:dyDescent="0.25">
      <c r="A1462" s="1" t="s">
        <v>1266</v>
      </c>
      <c r="B1462" s="1"/>
      <c r="C1462" s="1" t="s">
        <v>486</v>
      </c>
      <c r="D1462" s="1">
        <v>120230</v>
      </c>
      <c r="E1462" s="1">
        <v>323</v>
      </c>
      <c r="F1462" s="1" t="s">
        <v>2207</v>
      </c>
      <c r="G1462" s="1" t="s">
        <v>488</v>
      </c>
      <c r="H1462" s="1" t="s">
        <v>141</v>
      </c>
      <c r="I1462" s="1" t="s">
        <v>65</v>
      </c>
      <c r="J1462" s="1">
        <v>3</v>
      </c>
      <c r="K1462" s="1" t="s">
        <v>142</v>
      </c>
      <c r="L1462" s="1" t="s">
        <v>153</v>
      </c>
      <c r="M1462" s="1" t="s">
        <v>1256</v>
      </c>
      <c r="N1462" s="1" t="str">
        <f>HYPERLINK("https://klocwork.india.ti.com:443/review/insight-review.html#issuedetails_goto:problemid=120230,project=MCU_PLUS_SDK_AM263X,searchquery=taxonomy:'C and C++' build:Build_Apr_13_2023_11_11_AM grouping:off ","KW Issue Link")</f>
        <v>KW Issue Link</v>
      </c>
      <c r="O1462" s="1" t="s">
        <v>291</v>
      </c>
    </row>
    <row r="1463" spans="1:15" ht="75" x14ac:dyDescent="0.25">
      <c r="A1463" s="1" t="s">
        <v>1266</v>
      </c>
      <c r="B1463" s="1"/>
      <c r="C1463" s="1" t="s">
        <v>486</v>
      </c>
      <c r="D1463" s="1">
        <v>120232</v>
      </c>
      <c r="E1463" s="1">
        <v>485</v>
      </c>
      <c r="F1463" s="1" t="s">
        <v>2208</v>
      </c>
      <c r="G1463" s="1" t="s">
        <v>2195</v>
      </c>
      <c r="H1463" s="1" t="s">
        <v>141</v>
      </c>
      <c r="I1463" s="1" t="s">
        <v>65</v>
      </c>
      <c r="J1463" s="1">
        <v>3</v>
      </c>
      <c r="K1463" s="1" t="s">
        <v>142</v>
      </c>
      <c r="L1463" s="1" t="s">
        <v>153</v>
      </c>
      <c r="M1463" s="1" t="s">
        <v>1256</v>
      </c>
      <c r="N1463" s="1" t="str">
        <f>HYPERLINK("https://klocwork.india.ti.com:443/review/insight-review.html#issuedetails_goto:problemid=120232,project=MCU_PLUS_SDK_AM263X,searchquery=taxonomy:'C and C++' build:Build_Apr_13_2023_11_11_AM grouping:off ","KW Issue Link")</f>
        <v>KW Issue Link</v>
      </c>
      <c r="O1463" s="1" t="s">
        <v>291</v>
      </c>
    </row>
    <row r="1464" spans="1:15" ht="75" x14ac:dyDescent="0.25">
      <c r="A1464" s="1" t="s">
        <v>1266</v>
      </c>
      <c r="B1464" s="1"/>
      <c r="C1464" s="1" t="s">
        <v>486</v>
      </c>
      <c r="D1464" s="1">
        <v>120234</v>
      </c>
      <c r="E1464" s="1">
        <v>581</v>
      </c>
      <c r="F1464" s="1" t="s">
        <v>2209</v>
      </c>
      <c r="G1464" s="1" t="s">
        <v>2197</v>
      </c>
      <c r="H1464" s="1" t="s">
        <v>141</v>
      </c>
      <c r="I1464" s="1" t="s">
        <v>65</v>
      </c>
      <c r="J1464" s="1">
        <v>3</v>
      </c>
      <c r="K1464" s="1" t="s">
        <v>142</v>
      </c>
      <c r="L1464" s="1" t="s">
        <v>153</v>
      </c>
      <c r="M1464" s="1" t="s">
        <v>1256</v>
      </c>
      <c r="N1464" s="1" t="str">
        <f>HYPERLINK("https://klocwork.india.ti.com:443/review/insight-review.html#issuedetails_goto:problemid=120234,project=MCU_PLUS_SDK_AM263X,searchquery=taxonomy:'C and C++' build:Build_Apr_13_2023_11_11_AM grouping:off ","KW Issue Link")</f>
        <v>KW Issue Link</v>
      </c>
      <c r="O1464" s="1" t="s">
        <v>291</v>
      </c>
    </row>
    <row r="1465" spans="1:15" ht="75" x14ac:dyDescent="0.25">
      <c r="A1465" s="1" t="s">
        <v>1266</v>
      </c>
      <c r="B1465" s="1"/>
      <c r="C1465" s="1" t="s">
        <v>486</v>
      </c>
      <c r="D1465" s="1">
        <v>120235</v>
      </c>
      <c r="E1465" s="1">
        <v>667</v>
      </c>
      <c r="F1465" s="1" t="s">
        <v>2210</v>
      </c>
      <c r="G1465" s="1" t="s">
        <v>2201</v>
      </c>
      <c r="H1465" s="1" t="s">
        <v>141</v>
      </c>
      <c r="I1465" s="1" t="s">
        <v>65</v>
      </c>
      <c r="J1465" s="1">
        <v>3</v>
      </c>
      <c r="K1465" s="1" t="s">
        <v>142</v>
      </c>
      <c r="L1465" s="1" t="s">
        <v>153</v>
      </c>
      <c r="M1465" s="1" t="s">
        <v>1256</v>
      </c>
      <c r="N1465" s="1" t="str">
        <f>HYPERLINK("https://klocwork.india.ti.com:443/review/insight-review.html#issuedetails_goto:problemid=120235,project=MCU_PLUS_SDK_AM263X,searchquery=taxonomy:'C and C++' build:Build_Apr_13_2023_11_11_AM grouping:off ","KW Issue Link")</f>
        <v>KW Issue Link</v>
      </c>
      <c r="O1465" s="1" t="s">
        <v>291</v>
      </c>
    </row>
    <row r="1466" spans="1:15" ht="75" x14ac:dyDescent="0.25">
      <c r="A1466" s="1" t="s">
        <v>1266</v>
      </c>
      <c r="B1466" s="1"/>
      <c r="C1466" s="1" t="s">
        <v>486</v>
      </c>
      <c r="D1466" s="1">
        <v>120236</v>
      </c>
      <c r="E1466" s="1">
        <v>758</v>
      </c>
      <c r="F1466" s="1" t="s">
        <v>2211</v>
      </c>
      <c r="G1466" s="1" t="s">
        <v>2203</v>
      </c>
      <c r="H1466" s="1" t="s">
        <v>141</v>
      </c>
      <c r="I1466" s="1" t="s">
        <v>65</v>
      </c>
      <c r="J1466" s="1">
        <v>3</v>
      </c>
      <c r="K1466" s="1" t="s">
        <v>142</v>
      </c>
      <c r="L1466" s="1" t="s">
        <v>153</v>
      </c>
      <c r="M1466" s="1" t="s">
        <v>1256</v>
      </c>
      <c r="N1466" s="1" t="str">
        <f>HYPERLINK("https://klocwork.india.ti.com:443/review/insight-review.html#issuedetails_goto:problemid=120236,project=MCU_PLUS_SDK_AM263X,searchquery=taxonomy:'C and C++' build:Build_Apr_13_2023_11_11_AM grouping:off ","KW Issue Link")</f>
        <v>KW Issue Link</v>
      </c>
      <c r="O1466" s="1" t="s">
        <v>291</v>
      </c>
    </row>
    <row r="1467" spans="1:15" ht="75" x14ac:dyDescent="0.25">
      <c r="A1467" s="1" t="s">
        <v>1268</v>
      </c>
      <c r="B1467" s="1"/>
      <c r="C1467" s="1" t="s">
        <v>486</v>
      </c>
      <c r="D1467" s="1">
        <v>120237</v>
      </c>
      <c r="E1467" s="1">
        <v>128</v>
      </c>
      <c r="F1467" s="1" t="s">
        <v>2212</v>
      </c>
      <c r="G1467" s="1" t="s">
        <v>2187</v>
      </c>
      <c r="H1467" s="1" t="s">
        <v>141</v>
      </c>
      <c r="I1467" s="1" t="s">
        <v>65</v>
      </c>
      <c r="J1467" s="1">
        <v>3</v>
      </c>
      <c r="K1467" s="1" t="s">
        <v>142</v>
      </c>
      <c r="L1467" s="1" t="s">
        <v>153</v>
      </c>
      <c r="M1467" s="1" t="s">
        <v>1256</v>
      </c>
      <c r="N1467" s="1" t="str">
        <f>HYPERLINK("https://klocwork.india.ti.com:443/review/insight-review.html#issuedetails_goto:problemid=120237,project=MCU_PLUS_SDK_AM263X,searchquery=taxonomy:'C and C++' build:Build_Apr_13_2023_11_11_AM grouping:off ","KW Issue Link")</f>
        <v>KW Issue Link</v>
      </c>
      <c r="O1467" s="1" t="s">
        <v>291</v>
      </c>
    </row>
    <row r="1468" spans="1:15" ht="75" x14ac:dyDescent="0.25">
      <c r="A1468" s="1" t="s">
        <v>1268</v>
      </c>
      <c r="B1468" s="1"/>
      <c r="C1468" s="1" t="s">
        <v>486</v>
      </c>
      <c r="D1468" s="1">
        <v>120238</v>
      </c>
      <c r="E1468" s="1">
        <v>160</v>
      </c>
      <c r="F1468" s="1" t="s">
        <v>2213</v>
      </c>
      <c r="G1468" s="1" t="s">
        <v>2189</v>
      </c>
      <c r="H1468" s="1" t="s">
        <v>141</v>
      </c>
      <c r="I1468" s="1" t="s">
        <v>65</v>
      </c>
      <c r="J1468" s="1">
        <v>3</v>
      </c>
      <c r="K1468" s="1" t="s">
        <v>142</v>
      </c>
      <c r="L1468" s="1" t="s">
        <v>153</v>
      </c>
      <c r="M1468" s="1" t="s">
        <v>1256</v>
      </c>
      <c r="N1468" s="1" t="str">
        <f>HYPERLINK("https://klocwork.india.ti.com:443/review/insight-review.html#issuedetails_goto:problemid=120238,project=MCU_PLUS_SDK_AM263X,searchquery=taxonomy:'C and C++' build:Build_Apr_13_2023_11_11_AM grouping:off ","KW Issue Link")</f>
        <v>KW Issue Link</v>
      </c>
      <c r="O1468" s="1" t="s">
        <v>291</v>
      </c>
    </row>
    <row r="1469" spans="1:15" ht="75" x14ac:dyDescent="0.25">
      <c r="A1469" s="1" t="s">
        <v>1268</v>
      </c>
      <c r="B1469" s="1"/>
      <c r="C1469" s="1" t="s">
        <v>486</v>
      </c>
      <c r="D1469" s="1">
        <v>120239</v>
      </c>
      <c r="E1469" s="1">
        <v>244</v>
      </c>
      <c r="F1469" s="1" t="s">
        <v>2214</v>
      </c>
      <c r="G1469" s="1" t="s">
        <v>487</v>
      </c>
      <c r="H1469" s="1" t="s">
        <v>141</v>
      </c>
      <c r="I1469" s="1" t="s">
        <v>65</v>
      </c>
      <c r="J1469" s="1">
        <v>3</v>
      </c>
      <c r="K1469" s="1" t="s">
        <v>142</v>
      </c>
      <c r="L1469" s="1" t="s">
        <v>153</v>
      </c>
      <c r="M1469" s="1" t="s">
        <v>1256</v>
      </c>
      <c r="N1469" s="1" t="str">
        <f>HYPERLINK("https://klocwork.india.ti.com:443/review/insight-review.html#issuedetails_goto:problemid=120239,project=MCU_PLUS_SDK_AM263X,searchquery=taxonomy:'C and C++' build:Build_Apr_13_2023_11_11_AM grouping:off ","KW Issue Link")</f>
        <v>KW Issue Link</v>
      </c>
      <c r="O1469" s="1" t="s">
        <v>291</v>
      </c>
    </row>
    <row r="1470" spans="1:15" ht="75" x14ac:dyDescent="0.25">
      <c r="A1470" s="1" t="s">
        <v>1268</v>
      </c>
      <c r="B1470" s="1"/>
      <c r="C1470" s="1" t="s">
        <v>486</v>
      </c>
      <c r="D1470" s="1">
        <v>120240</v>
      </c>
      <c r="E1470" s="1">
        <v>323</v>
      </c>
      <c r="F1470" s="1" t="s">
        <v>2215</v>
      </c>
      <c r="G1470" s="1" t="s">
        <v>488</v>
      </c>
      <c r="H1470" s="1" t="s">
        <v>141</v>
      </c>
      <c r="I1470" s="1" t="s">
        <v>65</v>
      </c>
      <c r="J1470" s="1">
        <v>3</v>
      </c>
      <c r="K1470" s="1" t="s">
        <v>142</v>
      </c>
      <c r="L1470" s="1" t="s">
        <v>153</v>
      </c>
      <c r="M1470" s="1" t="s">
        <v>1256</v>
      </c>
      <c r="N1470" s="1" t="str">
        <f>HYPERLINK("https://klocwork.india.ti.com:443/review/insight-review.html#issuedetails_goto:problemid=120240,project=MCU_PLUS_SDK_AM263X,searchquery=taxonomy:'C and C++' build:Build_Apr_13_2023_11_11_AM grouping:off ","KW Issue Link")</f>
        <v>KW Issue Link</v>
      </c>
      <c r="O1470" s="1" t="s">
        <v>291</v>
      </c>
    </row>
    <row r="1471" spans="1:15" ht="75" x14ac:dyDescent="0.25">
      <c r="A1471" s="1" t="s">
        <v>1268</v>
      </c>
      <c r="B1471" s="1"/>
      <c r="C1471" s="1" t="s">
        <v>486</v>
      </c>
      <c r="D1471" s="1">
        <v>120241</v>
      </c>
      <c r="E1471" s="1">
        <v>485</v>
      </c>
      <c r="F1471" s="1" t="s">
        <v>2216</v>
      </c>
      <c r="G1471" s="1" t="s">
        <v>2195</v>
      </c>
      <c r="H1471" s="1" t="s">
        <v>141</v>
      </c>
      <c r="I1471" s="1" t="s">
        <v>65</v>
      </c>
      <c r="J1471" s="1">
        <v>3</v>
      </c>
      <c r="K1471" s="1" t="s">
        <v>142</v>
      </c>
      <c r="L1471" s="1" t="s">
        <v>153</v>
      </c>
      <c r="M1471" s="1" t="s">
        <v>1256</v>
      </c>
      <c r="N1471" s="1" t="str">
        <f>HYPERLINK("https://klocwork.india.ti.com:443/review/insight-review.html#issuedetails_goto:problemid=120241,project=MCU_PLUS_SDK_AM263X,searchquery=taxonomy:'C and C++' build:Build_Apr_13_2023_11_11_AM grouping:off ","KW Issue Link")</f>
        <v>KW Issue Link</v>
      </c>
      <c r="O1471" s="1" t="s">
        <v>291</v>
      </c>
    </row>
    <row r="1472" spans="1:15" ht="75" x14ac:dyDescent="0.25">
      <c r="A1472" s="1" t="s">
        <v>1268</v>
      </c>
      <c r="B1472" s="1"/>
      <c r="C1472" s="1" t="s">
        <v>486</v>
      </c>
      <c r="D1472" s="1">
        <v>120242</v>
      </c>
      <c r="E1472" s="1">
        <v>581</v>
      </c>
      <c r="F1472" s="1" t="s">
        <v>2217</v>
      </c>
      <c r="G1472" s="1" t="s">
        <v>2197</v>
      </c>
      <c r="H1472" s="1" t="s">
        <v>141</v>
      </c>
      <c r="I1472" s="1" t="s">
        <v>65</v>
      </c>
      <c r="J1472" s="1">
        <v>3</v>
      </c>
      <c r="K1472" s="1" t="s">
        <v>142</v>
      </c>
      <c r="L1472" s="1" t="s">
        <v>153</v>
      </c>
      <c r="M1472" s="1" t="s">
        <v>1256</v>
      </c>
      <c r="N1472" s="1" t="str">
        <f>HYPERLINK("https://klocwork.india.ti.com:443/review/insight-review.html#issuedetails_goto:problemid=120242,project=MCU_PLUS_SDK_AM263X,searchquery=taxonomy:'C and C++' build:Build_Apr_13_2023_11_11_AM grouping:off ","KW Issue Link")</f>
        <v>KW Issue Link</v>
      </c>
      <c r="O1472" s="1" t="s">
        <v>291</v>
      </c>
    </row>
    <row r="1473" spans="1:15" ht="75" x14ac:dyDescent="0.25">
      <c r="A1473" s="1" t="s">
        <v>1268</v>
      </c>
      <c r="B1473" s="1"/>
      <c r="C1473" s="1" t="s">
        <v>486</v>
      </c>
      <c r="D1473" s="1">
        <v>120243</v>
      </c>
      <c r="E1473" s="1">
        <v>667</v>
      </c>
      <c r="F1473" s="1" t="s">
        <v>2218</v>
      </c>
      <c r="G1473" s="1" t="s">
        <v>2201</v>
      </c>
      <c r="H1473" s="1" t="s">
        <v>141</v>
      </c>
      <c r="I1473" s="1" t="s">
        <v>65</v>
      </c>
      <c r="J1473" s="1">
        <v>3</v>
      </c>
      <c r="K1473" s="1" t="s">
        <v>142</v>
      </c>
      <c r="L1473" s="1" t="s">
        <v>153</v>
      </c>
      <c r="M1473" s="1" t="s">
        <v>1256</v>
      </c>
      <c r="N1473" s="1" t="str">
        <f>HYPERLINK("https://klocwork.india.ti.com:443/review/insight-review.html#issuedetails_goto:problemid=120243,project=MCU_PLUS_SDK_AM263X,searchquery=taxonomy:'C and C++' build:Build_Apr_13_2023_11_11_AM grouping:off ","KW Issue Link")</f>
        <v>KW Issue Link</v>
      </c>
      <c r="O1473" s="1" t="s">
        <v>291</v>
      </c>
    </row>
    <row r="1474" spans="1:15" ht="75" x14ac:dyDescent="0.25">
      <c r="A1474" s="1" t="s">
        <v>1257</v>
      </c>
      <c r="B1474" s="1"/>
      <c r="C1474" s="1" t="s">
        <v>2219</v>
      </c>
      <c r="D1474" s="1">
        <v>120244</v>
      </c>
      <c r="E1474" s="1">
        <v>260</v>
      </c>
      <c r="F1474" s="1" t="s">
        <v>2220</v>
      </c>
      <c r="G1474" s="1" t="s">
        <v>2221</v>
      </c>
      <c r="H1474" s="1" t="s">
        <v>141</v>
      </c>
      <c r="I1474" s="1" t="s">
        <v>65</v>
      </c>
      <c r="J1474" s="1">
        <v>3</v>
      </c>
      <c r="K1474" s="1" t="s">
        <v>142</v>
      </c>
      <c r="L1474" s="1" t="s">
        <v>153</v>
      </c>
      <c r="M1474" s="1" t="s">
        <v>1256</v>
      </c>
      <c r="N1474" s="1" t="str">
        <f>HYPERLINK("https://klocwork.india.ti.com:443/review/insight-review.html#issuedetails_goto:problemid=120244,project=MCU_PLUS_SDK_AM263X,searchquery=taxonomy:'C and C++' build:Build_Apr_13_2023_11_11_AM grouping:off ","KW Issue Link")</f>
        <v>KW Issue Link</v>
      </c>
      <c r="O1474" s="1" t="s">
        <v>291</v>
      </c>
    </row>
    <row r="1475" spans="1:15" ht="75" x14ac:dyDescent="0.25">
      <c r="A1475" s="1" t="s">
        <v>1257</v>
      </c>
      <c r="B1475" s="1"/>
      <c r="C1475" s="1" t="s">
        <v>2219</v>
      </c>
      <c r="D1475" s="1">
        <v>120245</v>
      </c>
      <c r="E1475" s="1">
        <v>399</v>
      </c>
      <c r="F1475" s="1" t="s">
        <v>2222</v>
      </c>
      <c r="G1475" s="1" t="s">
        <v>2223</v>
      </c>
      <c r="H1475" s="1" t="s">
        <v>141</v>
      </c>
      <c r="I1475" s="1" t="s">
        <v>65</v>
      </c>
      <c r="J1475" s="1">
        <v>3</v>
      </c>
      <c r="K1475" s="1" t="s">
        <v>142</v>
      </c>
      <c r="L1475" s="1" t="s">
        <v>153</v>
      </c>
      <c r="M1475" s="1" t="s">
        <v>1256</v>
      </c>
      <c r="N1475" s="1" t="str">
        <f>HYPERLINK("https://klocwork.india.ti.com:443/review/insight-review.html#issuedetails_goto:problemid=120245,project=MCU_PLUS_SDK_AM263X,searchquery=taxonomy:'C and C++' build:Build_Apr_13_2023_11_11_AM grouping:off ","KW Issue Link")</f>
        <v>KW Issue Link</v>
      </c>
      <c r="O1475" s="1" t="s">
        <v>291</v>
      </c>
    </row>
    <row r="1476" spans="1:15" ht="75" x14ac:dyDescent="0.25">
      <c r="A1476" s="1" t="s">
        <v>1266</v>
      </c>
      <c r="B1476" s="1"/>
      <c r="C1476" s="1" t="s">
        <v>2219</v>
      </c>
      <c r="D1476" s="1">
        <v>120246</v>
      </c>
      <c r="E1476" s="1">
        <v>260</v>
      </c>
      <c r="F1476" s="1" t="s">
        <v>2224</v>
      </c>
      <c r="G1476" s="1" t="s">
        <v>2221</v>
      </c>
      <c r="H1476" s="1" t="s">
        <v>141</v>
      </c>
      <c r="I1476" s="1" t="s">
        <v>65</v>
      </c>
      <c r="J1476" s="1">
        <v>3</v>
      </c>
      <c r="K1476" s="1" t="s">
        <v>142</v>
      </c>
      <c r="L1476" s="1" t="s">
        <v>153</v>
      </c>
      <c r="M1476" s="1" t="s">
        <v>1256</v>
      </c>
      <c r="N1476" s="1" t="str">
        <f>HYPERLINK("https://klocwork.india.ti.com:443/review/insight-review.html#issuedetails_goto:problemid=120246,project=MCU_PLUS_SDK_AM263X,searchquery=taxonomy:'C and C++' build:Build_Apr_13_2023_11_11_AM grouping:off ","KW Issue Link")</f>
        <v>KW Issue Link</v>
      </c>
      <c r="O1476" s="1" t="s">
        <v>291</v>
      </c>
    </row>
    <row r="1477" spans="1:15" ht="75" x14ac:dyDescent="0.25">
      <c r="A1477" s="1" t="s">
        <v>1266</v>
      </c>
      <c r="B1477" s="1"/>
      <c r="C1477" s="1" t="s">
        <v>2219</v>
      </c>
      <c r="D1477" s="1">
        <v>120247</v>
      </c>
      <c r="E1477" s="1">
        <v>399</v>
      </c>
      <c r="F1477" s="1" t="s">
        <v>2225</v>
      </c>
      <c r="G1477" s="1" t="s">
        <v>2223</v>
      </c>
      <c r="H1477" s="1" t="s">
        <v>141</v>
      </c>
      <c r="I1477" s="1" t="s">
        <v>65</v>
      </c>
      <c r="J1477" s="1">
        <v>3</v>
      </c>
      <c r="K1477" s="1" t="s">
        <v>142</v>
      </c>
      <c r="L1477" s="1" t="s">
        <v>153</v>
      </c>
      <c r="M1477" s="1" t="s">
        <v>1256</v>
      </c>
      <c r="N1477" s="1" t="str">
        <f>HYPERLINK("https://klocwork.india.ti.com:443/review/insight-review.html#issuedetails_goto:problemid=120247,project=MCU_PLUS_SDK_AM263X,searchquery=taxonomy:'C and C++' build:Build_Apr_13_2023_11_11_AM grouping:off ","KW Issue Link")</f>
        <v>KW Issue Link</v>
      </c>
      <c r="O1477" s="1" t="s">
        <v>291</v>
      </c>
    </row>
    <row r="1478" spans="1:15" ht="75" x14ac:dyDescent="0.25">
      <c r="A1478" s="1" t="s">
        <v>1268</v>
      </c>
      <c r="B1478" s="1"/>
      <c r="C1478" s="1" t="s">
        <v>2219</v>
      </c>
      <c r="D1478" s="1">
        <v>120248</v>
      </c>
      <c r="E1478" s="1">
        <v>260</v>
      </c>
      <c r="F1478" s="1" t="s">
        <v>2226</v>
      </c>
      <c r="G1478" s="1" t="s">
        <v>2221</v>
      </c>
      <c r="H1478" s="1" t="s">
        <v>141</v>
      </c>
      <c r="I1478" s="1" t="s">
        <v>65</v>
      </c>
      <c r="J1478" s="1">
        <v>3</v>
      </c>
      <c r="K1478" s="1" t="s">
        <v>142</v>
      </c>
      <c r="L1478" s="1" t="s">
        <v>153</v>
      </c>
      <c r="M1478" s="1" t="s">
        <v>1256</v>
      </c>
      <c r="N1478" s="1" t="str">
        <f>HYPERLINK("https://klocwork.india.ti.com:443/review/insight-review.html#issuedetails_goto:problemid=120248,project=MCU_PLUS_SDK_AM263X,searchquery=taxonomy:'C and C++' build:Build_Apr_13_2023_11_11_AM grouping:off ","KW Issue Link")</f>
        <v>KW Issue Link</v>
      </c>
      <c r="O1478" s="1" t="s">
        <v>291</v>
      </c>
    </row>
    <row r="1479" spans="1:15" ht="75" x14ac:dyDescent="0.25">
      <c r="A1479" s="1" t="s">
        <v>1268</v>
      </c>
      <c r="B1479" s="1"/>
      <c r="C1479" s="1" t="s">
        <v>2219</v>
      </c>
      <c r="D1479" s="1">
        <v>120249</v>
      </c>
      <c r="E1479" s="1">
        <v>399</v>
      </c>
      <c r="F1479" s="1" t="s">
        <v>2227</v>
      </c>
      <c r="G1479" s="1" t="s">
        <v>2223</v>
      </c>
      <c r="H1479" s="1" t="s">
        <v>141</v>
      </c>
      <c r="I1479" s="1" t="s">
        <v>65</v>
      </c>
      <c r="J1479" s="1">
        <v>3</v>
      </c>
      <c r="K1479" s="1" t="s">
        <v>142</v>
      </c>
      <c r="L1479" s="1" t="s">
        <v>153</v>
      </c>
      <c r="M1479" s="1" t="s">
        <v>1256</v>
      </c>
      <c r="N1479" s="1" t="str">
        <f>HYPERLINK("https://klocwork.india.ti.com:443/review/insight-review.html#issuedetails_goto:problemid=120249,project=MCU_PLUS_SDK_AM263X,searchquery=taxonomy:'C and C++' build:Build_Apr_13_2023_11_11_AM grouping:off ","KW Issue Link")</f>
        <v>KW Issue Link</v>
      </c>
      <c r="O1479" s="1" t="s">
        <v>291</v>
      </c>
    </row>
    <row r="1480" spans="1:15" ht="75" x14ac:dyDescent="0.25">
      <c r="A1480" s="1" t="s">
        <v>1252</v>
      </c>
      <c r="B1480" s="1"/>
      <c r="C1480" s="1" t="s">
        <v>2219</v>
      </c>
      <c r="D1480" s="1">
        <v>120250</v>
      </c>
      <c r="E1480" s="1">
        <v>456</v>
      </c>
      <c r="F1480" s="1" t="s">
        <v>2228</v>
      </c>
      <c r="G1480" s="1" t="s">
        <v>2229</v>
      </c>
      <c r="H1480" s="1" t="s">
        <v>141</v>
      </c>
      <c r="I1480" s="1" t="s">
        <v>65</v>
      </c>
      <c r="J1480" s="1">
        <v>3</v>
      </c>
      <c r="K1480" s="1" t="s">
        <v>142</v>
      </c>
      <c r="L1480" s="1" t="s">
        <v>153</v>
      </c>
      <c r="M1480" s="1" t="s">
        <v>1256</v>
      </c>
      <c r="N1480" s="1" t="str">
        <f>HYPERLINK("https://klocwork.india.ti.com:443/review/insight-review.html#issuedetails_goto:problemid=120250,project=MCU_PLUS_SDK_AM263X,searchquery=taxonomy:'C and C++' build:Build_Apr_13_2023_11_11_AM grouping:off ","KW Issue Link")</f>
        <v>KW Issue Link</v>
      </c>
      <c r="O1480" s="1" t="s">
        <v>291</v>
      </c>
    </row>
    <row r="1481" spans="1:15" ht="75" x14ac:dyDescent="0.25">
      <c r="A1481" s="1" t="s">
        <v>1252</v>
      </c>
      <c r="B1481" s="1"/>
      <c r="C1481" s="1" t="s">
        <v>2219</v>
      </c>
      <c r="D1481" s="1">
        <v>120251</v>
      </c>
      <c r="E1481" s="1">
        <v>526</v>
      </c>
      <c r="F1481" s="1" t="s">
        <v>2230</v>
      </c>
      <c r="G1481" s="1" t="s">
        <v>2231</v>
      </c>
      <c r="H1481" s="1" t="s">
        <v>141</v>
      </c>
      <c r="I1481" s="1" t="s">
        <v>65</v>
      </c>
      <c r="J1481" s="1">
        <v>3</v>
      </c>
      <c r="K1481" s="1" t="s">
        <v>142</v>
      </c>
      <c r="L1481" s="1" t="s">
        <v>153</v>
      </c>
      <c r="M1481" s="1" t="s">
        <v>1256</v>
      </c>
      <c r="N1481" s="1" t="str">
        <f>HYPERLINK("https://klocwork.india.ti.com:443/review/insight-review.html#issuedetails_goto:problemid=120251,project=MCU_PLUS_SDK_AM263X,searchquery=taxonomy:'C and C++' build:Build_Apr_13_2023_11_11_AM grouping:off ","KW Issue Link")</f>
        <v>KW Issue Link</v>
      </c>
      <c r="O1481" s="1" t="s">
        <v>291</v>
      </c>
    </row>
    <row r="1482" spans="1:15" ht="75" x14ac:dyDescent="0.25">
      <c r="A1482" s="1" t="s">
        <v>1257</v>
      </c>
      <c r="B1482" s="1"/>
      <c r="C1482" s="1" t="s">
        <v>1158</v>
      </c>
      <c r="D1482" s="1">
        <v>120254</v>
      </c>
      <c r="E1482" s="1">
        <v>152</v>
      </c>
      <c r="F1482" s="1" t="s">
        <v>2232</v>
      </c>
      <c r="G1482" s="1" t="s">
        <v>2233</v>
      </c>
      <c r="H1482" s="1" t="s">
        <v>141</v>
      </c>
      <c r="I1482" s="1" t="s">
        <v>65</v>
      </c>
      <c r="J1482" s="1">
        <v>3</v>
      </c>
      <c r="K1482" s="1" t="s">
        <v>142</v>
      </c>
      <c r="L1482" s="1" t="s">
        <v>153</v>
      </c>
      <c r="M1482" s="1" t="s">
        <v>1256</v>
      </c>
      <c r="N1482" s="1" t="str">
        <f>HYPERLINK("https://klocwork.india.ti.com:443/review/insight-review.html#issuedetails_goto:problemid=120254,project=MCU_PLUS_SDK_AM263X,searchquery=taxonomy:'C and C++' build:Build_Apr_13_2023_11_11_AM grouping:off ","KW Issue Link")</f>
        <v>KW Issue Link</v>
      </c>
      <c r="O1482" s="1" t="s">
        <v>291</v>
      </c>
    </row>
    <row r="1483" spans="1:15" ht="75" x14ac:dyDescent="0.25">
      <c r="A1483" s="1" t="s">
        <v>1257</v>
      </c>
      <c r="B1483" s="1"/>
      <c r="C1483" s="1" t="s">
        <v>1158</v>
      </c>
      <c r="D1483" s="1">
        <v>120255</v>
      </c>
      <c r="E1483" s="1">
        <v>281</v>
      </c>
      <c r="F1483" s="1" t="s">
        <v>2234</v>
      </c>
      <c r="G1483" s="1" t="s">
        <v>2235</v>
      </c>
      <c r="H1483" s="1" t="s">
        <v>141</v>
      </c>
      <c r="I1483" s="1" t="s">
        <v>65</v>
      </c>
      <c r="J1483" s="1">
        <v>3</v>
      </c>
      <c r="K1483" s="1" t="s">
        <v>142</v>
      </c>
      <c r="L1483" s="1" t="s">
        <v>153</v>
      </c>
      <c r="M1483" s="1" t="s">
        <v>1256</v>
      </c>
      <c r="N1483" s="1" t="str">
        <f>HYPERLINK("https://klocwork.india.ti.com:443/review/insight-review.html#issuedetails_goto:problemid=120255,project=MCU_PLUS_SDK_AM263X,searchquery=taxonomy:'C and C++' build:Build_Apr_13_2023_11_11_AM grouping:off ","KW Issue Link")</f>
        <v>KW Issue Link</v>
      </c>
      <c r="O1483" s="1" t="s">
        <v>291</v>
      </c>
    </row>
    <row r="1484" spans="1:15" ht="75" x14ac:dyDescent="0.25">
      <c r="A1484" s="1" t="s">
        <v>1257</v>
      </c>
      <c r="B1484" s="1"/>
      <c r="C1484" s="1" t="s">
        <v>1158</v>
      </c>
      <c r="D1484" s="1">
        <v>120256</v>
      </c>
      <c r="E1484" s="1">
        <v>374</v>
      </c>
      <c r="F1484" s="1" t="s">
        <v>2236</v>
      </c>
      <c r="G1484" s="1" t="s">
        <v>2237</v>
      </c>
      <c r="H1484" s="1" t="s">
        <v>141</v>
      </c>
      <c r="I1484" s="1" t="s">
        <v>65</v>
      </c>
      <c r="J1484" s="1">
        <v>3</v>
      </c>
      <c r="K1484" s="1" t="s">
        <v>142</v>
      </c>
      <c r="L1484" s="1" t="s">
        <v>153</v>
      </c>
      <c r="M1484" s="1" t="s">
        <v>1256</v>
      </c>
      <c r="N1484" s="1" t="str">
        <f>HYPERLINK("https://klocwork.india.ti.com:443/review/insight-review.html#issuedetails_goto:problemid=120256,project=MCU_PLUS_SDK_AM263X,searchquery=taxonomy:'C and C++' build:Build_Apr_13_2023_11_11_AM grouping:off ","KW Issue Link")</f>
        <v>KW Issue Link</v>
      </c>
      <c r="O1484" s="1" t="s">
        <v>291</v>
      </c>
    </row>
    <row r="1485" spans="1:15" ht="75" x14ac:dyDescent="0.25">
      <c r="A1485" s="1" t="s">
        <v>1257</v>
      </c>
      <c r="B1485" s="1"/>
      <c r="C1485" s="1" t="s">
        <v>1158</v>
      </c>
      <c r="D1485" s="1">
        <v>120257</v>
      </c>
      <c r="E1485" s="1">
        <v>426</v>
      </c>
      <c r="F1485" s="1" t="s">
        <v>2238</v>
      </c>
      <c r="G1485" s="1" t="s">
        <v>1160</v>
      </c>
      <c r="H1485" s="1" t="s">
        <v>141</v>
      </c>
      <c r="I1485" s="1" t="s">
        <v>65</v>
      </c>
      <c r="J1485" s="1">
        <v>3</v>
      </c>
      <c r="K1485" s="1" t="s">
        <v>142</v>
      </c>
      <c r="L1485" s="1" t="s">
        <v>153</v>
      </c>
      <c r="M1485" s="1" t="s">
        <v>1256</v>
      </c>
      <c r="N1485" s="1" t="str">
        <f>HYPERLINK("https://klocwork.india.ti.com:443/review/insight-review.html#issuedetails_goto:problemid=120257,project=MCU_PLUS_SDK_AM263X,searchquery=taxonomy:'C and C++' build:Build_Apr_13_2023_11_11_AM grouping:off ","KW Issue Link")</f>
        <v>KW Issue Link</v>
      </c>
      <c r="O1485" s="1" t="s">
        <v>291</v>
      </c>
    </row>
    <row r="1486" spans="1:15" ht="75" x14ac:dyDescent="0.25">
      <c r="A1486" s="1" t="s">
        <v>1257</v>
      </c>
      <c r="B1486" s="1"/>
      <c r="C1486" s="1" t="s">
        <v>1158</v>
      </c>
      <c r="D1486" s="1">
        <v>120258</v>
      </c>
      <c r="E1486" s="1">
        <v>840</v>
      </c>
      <c r="F1486" s="1" t="s">
        <v>2239</v>
      </c>
      <c r="G1486" s="1" t="s">
        <v>2240</v>
      </c>
      <c r="H1486" s="1" t="s">
        <v>141</v>
      </c>
      <c r="I1486" s="1" t="s">
        <v>65</v>
      </c>
      <c r="J1486" s="1">
        <v>3</v>
      </c>
      <c r="K1486" s="1" t="s">
        <v>142</v>
      </c>
      <c r="L1486" s="1" t="s">
        <v>153</v>
      </c>
      <c r="M1486" s="1" t="s">
        <v>1256</v>
      </c>
      <c r="N1486" s="1" t="str">
        <f>HYPERLINK("https://klocwork.india.ti.com:443/review/insight-review.html#issuedetails_goto:problemid=120258,project=MCU_PLUS_SDK_AM263X,searchquery=taxonomy:'C and C++' build:Build_Apr_13_2023_11_11_AM grouping:off ","KW Issue Link")</f>
        <v>KW Issue Link</v>
      </c>
      <c r="O1486" s="1" t="s">
        <v>291</v>
      </c>
    </row>
    <row r="1487" spans="1:15" ht="75" x14ac:dyDescent="0.25">
      <c r="A1487" s="1" t="s">
        <v>1257</v>
      </c>
      <c r="B1487" s="1"/>
      <c r="C1487" s="1" t="s">
        <v>1158</v>
      </c>
      <c r="D1487" s="1">
        <v>120259</v>
      </c>
      <c r="E1487" s="1">
        <v>1028</v>
      </c>
      <c r="F1487" s="1" t="s">
        <v>2241</v>
      </c>
      <c r="G1487" s="1" t="s">
        <v>2242</v>
      </c>
      <c r="H1487" s="1" t="s">
        <v>141</v>
      </c>
      <c r="I1487" s="1" t="s">
        <v>65</v>
      </c>
      <c r="J1487" s="1">
        <v>3</v>
      </c>
      <c r="K1487" s="1" t="s">
        <v>142</v>
      </c>
      <c r="L1487" s="1" t="s">
        <v>153</v>
      </c>
      <c r="M1487" s="1" t="s">
        <v>1256</v>
      </c>
      <c r="N1487" s="1" t="str">
        <f>HYPERLINK("https://klocwork.india.ti.com:443/review/insight-review.html#issuedetails_goto:problemid=120259,project=MCU_PLUS_SDK_AM263X,searchquery=taxonomy:'C and C++' build:Build_Apr_13_2023_11_11_AM grouping:off ","KW Issue Link")</f>
        <v>KW Issue Link</v>
      </c>
      <c r="O1487" s="1" t="s">
        <v>291</v>
      </c>
    </row>
    <row r="1488" spans="1:15" ht="75" x14ac:dyDescent="0.25">
      <c r="A1488" s="1" t="s">
        <v>1266</v>
      </c>
      <c r="B1488" s="1"/>
      <c r="C1488" s="1" t="s">
        <v>1158</v>
      </c>
      <c r="D1488" s="1">
        <v>120260</v>
      </c>
      <c r="E1488" s="1">
        <v>152</v>
      </c>
      <c r="F1488" s="1" t="s">
        <v>2243</v>
      </c>
      <c r="G1488" s="1" t="s">
        <v>2233</v>
      </c>
      <c r="H1488" s="1" t="s">
        <v>141</v>
      </c>
      <c r="I1488" s="1" t="s">
        <v>65</v>
      </c>
      <c r="J1488" s="1">
        <v>3</v>
      </c>
      <c r="K1488" s="1" t="s">
        <v>142</v>
      </c>
      <c r="L1488" s="1" t="s">
        <v>153</v>
      </c>
      <c r="M1488" s="1" t="s">
        <v>1256</v>
      </c>
      <c r="N1488" s="1" t="str">
        <f>HYPERLINK("https://klocwork.india.ti.com:443/review/insight-review.html#issuedetails_goto:problemid=120260,project=MCU_PLUS_SDK_AM263X,searchquery=taxonomy:'C and C++' build:Build_Apr_13_2023_11_11_AM grouping:off ","KW Issue Link")</f>
        <v>KW Issue Link</v>
      </c>
      <c r="O1488" s="1" t="s">
        <v>291</v>
      </c>
    </row>
    <row r="1489" spans="1:15" ht="75" x14ac:dyDescent="0.25">
      <c r="A1489" s="1" t="s">
        <v>1266</v>
      </c>
      <c r="B1489" s="1"/>
      <c r="C1489" s="1" t="s">
        <v>1158</v>
      </c>
      <c r="D1489" s="1">
        <v>120261</v>
      </c>
      <c r="E1489" s="1">
        <v>281</v>
      </c>
      <c r="F1489" s="1" t="s">
        <v>2244</v>
      </c>
      <c r="G1489" s="1" t="s">
        <v>2235</v>
      </c>
      <c r="H1489" s="1" t="s">
        <v>141</v>
      </c>
      <c r="I1489" s="1" t="s">
        <v>65</v>
      </c>
      <c r="J1489" s="1">
        <v>3</v>
      </c>
      <c r="K1489" s="1" t="s">
        <v>142</v>
      </c>
      <c r="L1489" s="1" t="s">
        <v>153</v>
      </c>
      <c r="M1489" s="1" t="s">
        <v>1256</v>
      </c>
      <c r="N1489" s="1" t="str">
        <f>HYPERLINK("https://klocwork.india.ti.com:443/review/insight-review.html#issuedetails_goto:problemid=120261,project=MCU_PLUS_SDK_AM263X,searchquery=taxonomy:'C and C++' build:Build_Apr_13_2023_11_11_AM grouping:off ","KW Issue Link")</f>
        <v>KW Issue Link</v>
      </c>
      <c r="O1489" s="1" t="s">
        <v>291</v>
      </c>
    </row>
    <row r="1490" spans="1:15" ht="75" x14ac:dyDescent="0.25">
      <c r="A1490" s="1" t="s">
        <v>1266</v>
      </c>
      <c r="B1490" s="1"/>
      <c r="C1490" s="1" t="s">
        <v>1158</v>
      </c>
      <c r="D1490" s="1">
        <v>120262</v>
      </c>
      <c r="E1490" s="1">
        <v>374</v>
      </c>
      <c r="F1490" s="1" t="s">
        <v>2245</v>
      </c>
      <c r="G1490" s="1" t="s">
        <v>2237</v>
      </c>
      <c r="H1490" s="1" t="s">
        <v>141</v>
      </c>
      <c r="I1490" s="1" t="s">
        <v>65</v>
      </c>
      <c r="J1490" s="1">
        <v>3</v>
      </c>
      <c r="K1490" s="1" t="s">
        <v>142</v>
      </c>
      <c r="L1490" s="1" t="s">
        <v>153</v>
      </c>
      <c r="M1490" s="1" t="s">
        <v>1256</v>
      </c>
      <c r="N1490" s="1" t="str">
        <f>HYPERLINK("https://klocwork.india.ti.com:443/review/insight-review.html#issuedetails_goto:problemid=120262,project=MCU_PLUS_SDK_AM263X,searchquery=taxonomy:'C and C++' build:Build_Apr_13_2023_11_11_AM grouping:off ","KW Issue Link")</f>
        <v>KW Issue Link</v>
      </c>
      <c r="O1490" s="1" t="s">
        <v>291</v>
      </c>
    </row>
    <row r="1491" spans="1:15" ht="75" x14ac:dyDescent="0.25">
      <c r="A1491" s="1" t="s">
        <v>1266</v>
      </c>
      <c r="B1491" s="1"/>
      <c r="C1491" s="1" t="s">
        <v>1158</v>
      </c>
      <c r="D1491" s="1">
        <v>120263</v>
      </c>
      <c r="E1491" s="1">
        <v>426</v>
      </c>
      <c r="F1491" s="1" t="s">
        <v>2246</v>
      </c>
      <c r="G1491" s="1" t="s">
        <v>1160</v>
      </c>
      <c r="H1491" s="1" t="s">
        <v>141</v>
      </c>
      <c r="I1491" s="1" t="s">
        <v>65</v>
      </c>
      <c r="J1491" s="1">
        <v>3</v>
      </c>
      <c r="K1491" s="1" t="s">
        <v>142</v>
      </c>
      <c r="L1491" s="1" t="s">
        <v>153</v>
      </c>
      <c r="M1491" s="1" t="s">
        <v>1256</v>
      </c>
      <c r="N1491" s="1" t="str">
        <f>HYPERLINK("https://klocwork.india.ti.com:443/review/insight-review.html#issuedetails_goto:problemid=120263,project=MCU_PLUS_SDK_AM263X,searchquery=taxonomy:'C and C++' build:Build_Apr_13_2023_11_11_AM grouping:off ","KW Issue Link")</f>
        <v>KW Issue Link</v>
      </c>
      <c r="O1491" s="1" t="s">
        <v>291</v>
      </c>
    </row>
    <row r="1492" spans="1:15" ht="75" x14ac:dyDescent="0.25">
      <c r="A1492" s="1" t="s">
        <v>1266</v>
      </c>
      <c r="B1492" s="1"/>
      <c r="C1492" s="1" t="s">
        <v>1158</v>
      </c>
      <c r="D1492" s="1">
        <v>120264</v>
      </c>
      <c r="E1492" s="1">
        <v>840</v>
      </c>
      <c r="F1492" s="1" t="s">
        <v>2247</v>
      </c>
      <c r="G1492" s="1" t="s">
        <v>2240</v>
      </c>
      <c r="H1492" s="1" t="s">
        <v>141</v>
      </c>
      <c r="I1492" s="1" t="s">
        <v>65</v>
      </c>
      <c r="J1492" s="1">
        <v>3</v>
      </c>
      <c r="K1492" s="1" t="s">
        <v>142</v>
      </c>
      <c r="L1492" s="1" t="s">
        <v>153</v>
      </c>
      <c r="M1492" s="1" t="s">
        <v>1256</v>
      </c>
      <c r="N1492" s="1" t="str">
        <f>HYPERLINK("https://klocwork.india.ti.com:443/review/insight-review.html#issuedetails_goto:problemid=120264,project=MCU_PLUS_SDK_AM263X,searchquery=taxonomy:'C and C++' build:Build_Apr_13_2023_11_11_AM grouping:off ","KW Issue Link")</f>
        <v>KW Issue Link</v>
      </c>
      <c r="O1492" s="1" t="s">
        <v>291</v>
      </c>
    </row>
    <row r="1493" spans="1:15" ht="75" x14ac:dyDescent="0.25">
      <c r="A1493" s="1" t="s">
        <v>1268</v>
      </c>
      <c r="B1493" s="1"/>
      <c r="C1493" s="1" t="s">
        <v>1158</v>
      </c>
      <c r="D1493" s="1">
        <v>120266</v>
      </c>
      <c r="E1493" s="1">
        <v>281</v>
      </c>
      <c r="F1493" s="1" t="s">
        <v>2248</v>
      </c>
      <c r="G1493" s="1" t="s">
        <v>2235</v>
      </c>
      <c r="H1493" s="1" t="s">
        <v>141</v>
      </c>
      <c r="I1493" s="1" t="s">
        <v>65</v>
      </c>
      <c r="J1493" s="1">
        <v>3</v>
      </c>
      <c r="K1493" s="1" t="s">
        <v>142</v>
      </c>
      <c r="L1493" s="1" t="s">
        <v>153</v>
      </c>
      <c r="M1493" s="1" t="s">
        <v>1256</v>
      </c>
      <c r="N1493" s="1" t="str">
        <f>HYPERLINK("https://klocwork.india.ti.com:443/review/insight-review.html#issuedetails_goto:problemid=120266,project=MCU_PLUS_SDK_AM263X,searchquery=taxonomy:'C and C++' build:Build_Apr_13_2023_11_11_AM grouping:off ","KW Issue Link")</f>
        <v>KW Issue Link</v>
      </c>
      <c r="O1493" s="1" t="s">
        <v>291</v>
      </c>
    </row>
    <row r="1494" spans="1:15" ht="75" x14ac:dyDescent="0.25">
      <c r="A1494" s="1" t="s">
        <v>1268</v>
      </c>
      <c r="B1494" s="1"/>
      <c r="C1494" s="1" t="s">
        <v>1158</v>
      </c>
      <c r="D1494" s="1">
        <v>120267</v>
      </c>
      <c r="E1494" s="1">
        <v>374</v>
      </c>
      <c r="F1494" s="1" t="s">
        <v>2249</v>
      </c>
      <c r="G1494" s="1" t="s">
        <v>2237</v>
      </c>
      <c r="H1494" s="1" t="s">
        <v>141</v>
      </c>
      <c r="I1494" s="1" t="s">
        <v>65</v>
      </c>
      <c r="J1494" s="1">
        <v>3</v>
      </c>
      <c r="K1494" s="1" t="s">
        <v>142</v>
      </c>
      <c r="L1494" s="1" t="s">
        <v>153</v>
      </c>
      <c r="M1494" s="1" t="s">
        <v>1256</v>
      </c>
      <c r="N1494" s="1" t="str">
        <f>HYPERLINK("https://klocwork.india.ti.com:443/review/insight-review.html#issuedetails_goto:problemid=120267,project=MCU_PLUS_SDK_AM263X,searchquery=taxonomy:'C and C++' build:Build_Apr_13_2023_11_11_AM grouping:off ","KW Issue Link")</f>
        <v>KW Issue Link</v>
      </c>
      <c r="O1494" s="1" t="s">
        <v>291</v>
      </c>
    </row>
    <row r="1495" spans="1:15" ht="75" x14ac:dyDescent="0.25">
      <c r="A1495" s="1" t="s">
        <v>1268</v>
      </c>
      <c r="B1495" s="1"/>
      <c r="C1495" s="1" t="s">
        <v>1158</v>
      </c>
      <c r="D1495" s="1">
        <v>120268</v>
      </c>
      <c r="E1495" s="1">
        <v>426</v>
      </c>
      <c r="F1495" s="1" t="s">
        <v>2250</v>
      </c>
      <c r="G1495" s="1" t="s">
        <v>1160</v>
      </c>
      <c r="H1495" s="1" t="s">
        <v>141</v>
      </c>
      <c r="I1495" s="1" t="s">
        <v>65</v>
      </c>
      <c r="J1495" s="1">
        <v>3</v>
      </c>
      <c r="K1495" s="1" t="s">
        <v>142</v>
      </c>
      <c r="L1495" s="1" t="s">
        <v>153</v>
      </c>
      <c r="M1495" s="1" t="s">
        <v>1256</v>
      </c>
      <c r="N1495" s="1" t="str">
        <f>HYPERLINK("https://klocwork.india.ti.com:443/review/insight-review.html#issuedetails_goto:problemid=120268,project=MCU_PLUS_SDK_AM263X,searchquery=taxonomy:'C and C++' build:Build_Apr_13_2023_11_11_AM grouping:off ","KW Issue Link")</f>
        <v>KW Issue Link</v>
      </c>
      <c r="O1495" s="1" t="s">
        <v>291</v>
      </c>
    </row>
    <row r="1496" spans="1:15" ht="75" x14ac:dyDescent="0.25">
      <c r="A1496" s="1" t="s">
        <v>1268</v>
      </c>
      <c r="B1496" s="1"/>
      <c r="C1496" s="1" t="s">
        <v>1158</v>
      </c>
      <c r="D1496" s="1">
        <v>120269</v>
      </c>
      <c r="E1496" s="1">
        <v>840</v>
      </c>
      <c r="F1496" s="1" t="s">
        <v>2251</v>
      </c>
      <c r="G1496" s="1" t="s">
        <v>2240</v>
      </c>
      <c r="H1496" s="1" t="s">
        <v>141</v>
      </c>
      <c r="I1496" s="1" t="s">
        <v>65</v>
      </c>
      <c r="J1496" s="1">
        <v>3</v>
      </c>
      <c r="K1496" s="1" t="s">
        <v>142</v>
      </c>
      <c r="L1496" s="1" t="s">
        <v>153</v>
      </c>
      <c r="M1496" s="1" t="s">
        <v>1256</v>
      </c>
      <c r="N1496" s="1" t="str">
        <f>HYPERLINK("https://klocwork.india.ti.com:443/review/insight-review.html#issuedetails_goto:problemid=120269,project=MCU_PLUS_SDK_AM263X,searchquery=taxonomy:'C and C++' build:Build_Apr_13_2023_11_11_AM grouping:off ","KW Issue Link")</f>
        <v>KW Issue Link</v>
      </c>
      <c r="O1496" s="1" t="s">
        <v>291</v>
      </c>
    </row>
    <row r="1497" spans="1:15" ht="75" x14ac:dyDescent="0.25">
      <c r="A1497" s="1" t="s">
        <v>1252</v>
      </c>
      <c r="B1497" s="1"/>
      <c r="C1497" s="1" t="s">
        <v>1158</v>
      </c>
      <c r="D1497" s="1">
        <v>120271</v>
      </c>
      <c r="E1497" s="1">
        <v>787</v>
      </c>
      <c r="F1497" s="1" t="s">
        <v>2252</v>
      </c>
      <c r="G1497" s="1" t="s">
        <v>2253</v>
      </c>
      <c r="H1497" s="1" t="s">
        <v>141</v>
      </c>
      <c r="I1497" s="1" t="s">
        <v>65</v>
      </c>
      <c r="J1497" s="1">
        <v>3</v>
      </c>
      <c r="K1497" s="1" t="s">
        <v>142</v>
      </c>
      <c r="L1497" s="1" t="s">
        <v>153</v>
      </c>
      <c r="M1497" s="1" t="s">
        <v>1256</v>
      </c>
      <c r="N1497" s="1" t="str">
        <f>HYPERLINK("https://klocwork.india.ti.com:443/review/insight-review.html#issuedetails_goto:problemid=120271,project=MCU_PLUS_SDK_AM263X,searchquery=taxonomy:'C and C++' build:Build_Apr_13_2023_11_11_AM grouping:off ","KW Issue Link")</f>
        <v>KW Issue Link</v>
      </c>
      <c r="O1497" s="1" t="s">
        <v>291</v>
      </c>
    </row>
    <row r="1498" spans="1:15" ht="75" x14ac:dyDescent="0.25">
      <c r="A1498" s="1" t="s">
        <v>1252</v>
      </c>
      <c r="B1498" s="1"/>
      <c r="C1498" s="1" t="s">
        <v>1158</v>
      </c>
      <c r="D1498" s="1">
        <v>120272</v>
      </c>
      <c r="E1498" s="1">
        <v>802</v>
      </c>
      <c r="F1498" s="1" t="s">
        <v>2254</v>
      </c>
      <c r="G1498" s="1" t="s">
        <v>2255</v>
      </c>
      <c r="H1498" s="1" t="s">
        <v>141</v>
      </c>
      <c r="I1498" s="1" t="s">
        <v>65</v>
      </c>
      <c r="J1498" s="1">
        <v>3</v>
      </c>
      <c r="K1498" s="1" t="s">
        <v>142</v>
      </c>
      <c r="L1498" s="1" t="s">
        <v>153</v>
      </c>
      <c r="M1498" s="1" t="s">
        <v>1256</v>
      </c>
      <c r="N1498" s="1" t="str">
        <f>HYPERLINK("https://klocwork.india.ti.com:443/review/insight-review.html#issuedetails_goto:problemid=120272,project=MCU_PLUS_SDK_AM263X,searchquery=taxonomy:'C and C++' build:Build_Apr_13_2023_11_11_AM grouping:off ","KW Issue Link")</f>
        <v>KW Issue Link</v>
      </c>
      <c r="O1498" s="1" t="s">
        <v>291</v>
      </c>
    </row>
    <row r="1499" spans="1:15" ht="75" x14ac:dyDescent="0.25">
      <c r="A1499" s="1" t="s">
        <v>1252</v>
      </c>
      <c r="B1499" s="1"/>
      <c r="C1499" s="1" t="s">
        <v>1158</v>
      </c>
      <c r="D1499" s="1">
        <v>120273</v>
      </c>
      <c r="E1499" s="1">
        <v>827</v>
      </c>
      <c r="F1499" s="1" t="s">
        <v>2256</v>
      </c>
      <c r="G1499" s="1" t="s">
        <v>2257</v>
      </c>
      <c r="H1499" s="1" t="s">
        <v>141</v>
      </c>
      <c r="I1499" s="1" t="s">
        <v>65</v>
      </c>
      <c r="J1499" s="1">
        <v>3</v>
      </c>
      <c r="K1499" s="1" t="s">
        <v>142</v>
      </c>
      <c r="L1499" s="1" t="s">
        <v>153</v>
      </c>
      <c r="M1499" s="1" t="s">
        <v>1256</v>
      </c>
      <c r="N1499" s="1" t="str">
        <f>HYPERLINK("https://klocwork.india.ti.com:443/review/insight-review.html#issuedetails_goto:problemid=120273,project=MCU_PLUS_SDK_AM263X,searchquery=taxonomy:'C and C++' build:Build_Apr_13_2023_11_11_AM grouping:off ","KW Issue Link")</f>
        <v>KW Issue Link</v>
      </c>
      <c r="O1499" s="1" t="s">
        <v>291</v>
      </c>
    </row>
    <row r="1500" spans="1:15" ht="75" x14ac:dyDescent="0.25">
      <c r="A1500" s="1" t="s">
        <v>1252</v>
      </c>
      <c r="B1500" s="1"/>
      <c r="C1500" s="1" t="s">
        <v>1158</v>
      </c>
      <c r="D1500" s="1">
        <v>120274</v>
      </c>
      <c r="E1500" s="1">
        <v>840</v>
      </c>
      <c r="F1500" s="1" t="s">
        <v>2258</v>
      </c>
      <c r="G1500" s="1" t="s">
        <v>2240</v>
      </c>
      <c r="H1500" s="1" t="s">
        <v>141</v>
      </c>
      <c r="I1500" s="1" t="s">
        <v>65</v>
      </c>
      <c r="J1500" s="1">
        <v>3</v>
      </c>
      <c r="K1500" s="1" t="s">
        <v>142</v>
      </c>
      <c r="L1500" s="1" t="s">
        <v>153</v>
      </c>
      <c r="M1500" s="1" t="s">
        <v>1256</v>
      </c>
      <c r="N1500" s="1" t="str">
        <f>HYPERLINK("https://klocwork.india.ti.com:443/review/insight-review.html#issuedetails_goto:problemid=120274,project=MCU_PLUS_SDK_AM263X,searchquery=taxonomy:'C and C++' build:Build_Apr_13_2023_11_11_AM grouping:off ","KW Issue Link")</f>
        <v>KW Issue Link</v>
      </c>
      <c r="O1500" s="1" t="s">
        <v>291</v>
      </c>
    </row>
    <row r="1501" spans="1:15" ht="75" x14ac:dyDescent="0.25">
      <c r="A1501" s="1" t="s">
        <v>1252</v>
      </c>
      <c r="B1501" s="1"/>
      <c r="C1501" s="1" t="s">
        <v>1158</v>
      </c>
      <c r="D1501" s="1">
        <v>120275</v>
      </c>
      <c r="E1501" s="1">
        <v>1028</v>
      </c>
      <c r="F1501" s="1" t="s">
        <v>2259</v>
      </c>
      <c r="G1501" s="1" t="s">
        <v>2242</v>
      </c>
      <c r="H1501" s="1" t="s">
        <v>141</v>
      </c>
      <c r="I1501" s="1" t="s">
        <v>65</v>
      </c>
      <c r="J1501" s="1">
        <v>3</v>
      </c>
      <c r="K1501" s="1" t="s">
        <v>142</v>
      </c>
      <c r="L1501" s="1" t="s">
        <v>153</v>
      </c>
      <c r="M1501" s="1" t="s">
        <v>1256</v>
      </c>
      <c r="N1501" s="1" t="str">
        <f>HYPERLINK("https://klocwork.india.ti.com:443/review/insight-review.html#issuedetails_goto:problemid=120275,project=MCU_PLUS_SDK_AM263X,searchquery=taxonomy:'C and C++' build:Build_Apr_13_2023_11_11_AM grouping:off ","KW Issue Link")</f>
        <v>KW Issue Link</v>
      </c>
      <c r="O1501" s="1" t="s">
        <v>291</v>
      </c>
    </row>
    <row r="1502" spans="1:15" ht="75" x14ac:dyDescent="0.25">
      <c r="A1502" s="1" t="s">
        <v>1257</v>
      </c>
      <c r="B1502" s="1"/>
      <c r="C1502" s="1" t="s">
        <v>490</v>
      </c>
      <c r="D1502" s="1">
        <v>120276</v>
      </c>
      <c r="E1502" s="1">
        <v>58</v>
      </c>
      <c r="F1502" s="1" t="s">
        <v>2260</v>
      </c>
      <c r="G1502" s="1" t="s">
        <v>492</v>
      </c>
      <c r="H1502" s="1" t="s">
        <v>141</v>
      </c>
      <c r="I1502" s="1" t="s">
        <v>65</v>
      </c>
      <c r="J1502" s="1">
        <v>3</v>
      </c>
      <c r="K1502" s="1" t="s">
        <v>142</v>
      </c>
      <c r="L1502" s="1" t="s">
        <v>153</v>
      </c>
      <c r="M1502" s="1" t="s">
        <v>1256</v>
      </c>
      <c r="N1502" s="1" t="str">
        <f>HYPERLINK("https://klocwork.india.ti.com:443/review/insight-review.html#issuedetails_goto:problemid=120276,project=MCU_PLUS_SDK_AM263X,searchquery=taxonomy:'C and C++' build:Build_Apr_13_2023_11_11_AM grouping:off ","KW Issue Link")</f>
        <v>KW Issue Link</v>
      </c>
      <c r="O1502" s="1" t="s">
        <v>291</v>
      </c>
    </row>
    <row r="1503" spans="1:15" ht="75" x14ac:dyDescent="0.25">
      <c r="A1503" s="1" t="s">
        <v>1257</v>
      </c>
      <c r="B1503" s="1"/>
      <c r="C1503" s="1" t="s">
        <v>490</v>
      </c>
      <c r="D1503" s="1">
        <v>120277</v>
      </c>
      <c r="E1503" s="1">
        <v>145</v>
      </c>
      <c r="F1503" s="1" t="s">
        <v>2261</v>
      </c>
      <c r="G1503" s="1" t="s">
        <v>2262</v>
      </c>
      <c r="H1503" s="1" t="s">
        <v>141</v>
      </c>
      <c r="I1503" s="1" t="s">
        <v>65</v>
      </c>
      <c r="J1503" s="1">
        <v>3</v>
      </c>
      <c r="K1503" s="1" t="s">
        <v>142</v>
      </c>
      <c r="L1503" s="1" t="s">
        <v>153</v>
      </c>
      <c r="M1503" s="1" t="s">
        <v>1256</v>
      </c>
      <c r="N1503" s="1" t="str">
        <f>HYPERLINK("https://klocwork.india.ti.com:443/review/insight-review.html#issuedetails_goto:problemid=120277,project=MCU_PLUS_SDK_AM263X,searchquery=taxonomy:'C and C++' build:Build_Apr_13_2023_11_11_AM grouping:off ","KW Issue Link")</f>
        <v>KW Issue Link</v>
      </c>
      <c r="O1503" s="1" t="s">
        <v>291</v>
      </c>
    </row>
    <row r="1504" spans="1:15" ht="75" x14ac:dyDescent="0.25">
      <c r="A1504" s="1" t="s">
        <v>1266</v>
      </c>
      <c r="B1504" s="1"/>
      <c r="C1504" s="1" t="s">
        <v>490</v>
      </c>
      <c r="D1504" s="1">
        <v>120278</v>
      </c>
      <c r="E1504" s="1">
        <v>145</v>
      </c>
      <c r="F1504" s="1" t="s">
        <v>2263</v>
      </c>
      <c r="G1504" s="1" t="s">
        <v>2262</v>
      </c>
      <c r="H1504" s="1" t="s">
        <v>141</v>
      </c>
      <c r="I1504" s="1" t="s">
        <v>65</v>
      </c>
      <c r="J1504" s="1">
        <v>3</v>
      </c>
      <c r="K1504" s="1" t="s">
        <v>142</v>
      </c>
      <c r="L1504" s="1" t="s">
        <v>153</v>
      </c>
      <c r="M1504" s="1" t="s">
        <v>1256</v>
      </c>
      <c r="N1504" s="1" t="str">
        <f>HYPERLINK("https://klocwork.india.ti.com:443/review/insight-review.html#issuedetails_goto:problemid=120278,project=MCU_PLUS_SDK_AM263X,searchquery=taxonomy:'C and C++' build:Build_Apr_13_2023_11_11_AM grouping:off ","KW Issue Link")</f>
        <v>KW Issue Link</v>
      </c>
      <c r="O1504" s="1" t="s">
        <v>291</v>
      </c>
    </row>
    <row r="1505" spans="1:15" ht="75" x14ac:dyDescent="0.25">
      <c r="A1505" s="1" t="s">
        <v>1268</v>
      </c>
      <c r="B1505" s="1"/>
      <c r="C1505" s="1" t="s">
        <v>490</v>
      </c>
      <c r="D1505" s="1">
        <v>120279</v>
      </c>
      <c r="E1505" s="1">
        <v>145</v>
      </c>
      <c r="F1505" s="1" t="s">
        <v>2264</v>
      </c>
      <c r="G1505" s="1" t="s">
        <v>2262</v>
      </c>
      <c r="H1505" s="1" t="s">
        <v>141</v>
      </c>
      <c r="I1505" s="1" t="s">
        <v>65</v>
      </c>
      <c r="J1505" s="1">
        <v>3</v>
      </c>
      <c r="K1505" s="1" t="s">
        <v>142</v>
      </c>
      <c r="L1505" s="1" t="s">
        <v>153</v>
      </c>
      <c r="M1505" s="1" t="s">
        <v>1256</v>
      </c>
      <c r="N1505" s="1" t="str">
        <f>HYPERLINK("https://klocwork.india.ti.com:443/review/insight-review.html#issuedetails_goto:problemid=120279,project=MCU_PLUS_SDK_AM263X,searchquery=taxonomy:'C and C++' build:Build_Apr_13_2023_11_11_AM grouping:off ","KW Issue Link")</f>
        <v>KW Issue Link</v>
      </c>
      <c r="O1505" s="1" t="s">
        <v>291</v>
      </c>
    </row>
    <row r="1506" spans="1:15" ht="75" x14ac:dyDescent="0.25">
      <c r="A1506" s="1" t="s">
        <v>1257</v>
      </c>
      <c r="B1506" s="1"/>
      <c r="C1506" s="1" t="s">
        <v>494</v>
      </c>
      <c r="D1506" s="1">
        <v>120280</v>
      </c>
      <c r="E1506" s="1">
        <v>128</v>
      </c>
      <c r="F1506" s="1" t="s">
        <v>2265</v>
      </c>
      <c r="G1506" s="1" t="s">
        <v>496</v>
      </c>
      <c r="H1506" s="1" t="s">
        <v>141</v>
      </c>
      <c r="I1506" s="1" t="s">
        <v>65</v>
      </c>
      <c r="J1506" s="1">
        <v>3</v>
      </c>
      <c r="K1506" s="1" t="s">
        <v>142</v>
      </c>
      <c r="L1506" s="1" t="s">
        <v>153</v>
      </c>
      <c r="M1506" s="1" t="s">
        <v>1256</v>
      </c>
      <c r="N1506" s="1" t="str">
        <f>HYPERLINK("https://klocwork.india.ti.com:443/review/insight-review.html#issuedetails_goto:problemid=120280,project=MCU_PLUS_SDK_AM263X,searchquery=taxonomy:'C and C++' build:Build_Apr_13_2023_11_11_AM grouping:off ","KW Issue Link")</f>
        <v>KW Issue Link</v>
      </c>
      <c r="O1506" s="1" t="s">
        <v>291</v>
      </c>
    </row>
    <row r="1507" spans="1:15" ht="75" x14ac:dyDescent="0.25">
      <c r="A1507" s="1" t="s">
        <v>1257</v>
      </c>
      <c r="B1507" s="1"/>
      <c r="C1507" s="1" t="s">
        <v>494</v>
      </c>
      <c r="D1507" s="1">
        <v>120281</v>
      </c>
      <c r="E1507" s="1">
        <v>164</v>
      </c>
      <c r="F1507" s="1" t="s">
        <v>2266</v>
      </c>
      <c r="G1507" s="1" t="s">
        <v>500</v>
      </c>
      <c r="H1507" s="1" t="s">
        <v>141</v>
      </c>
      <c r="I1507" s="1" t="s">
        <v>65</v>
      </c>
      <c r="J1507" s="1">
        <v>3</v>
      </c>
      <c r="K1507" s="1" t="s">
        <v>142</v>
      </c>
      <c r="L1507" s="1" t="s">
        <v>153</v>
      </c>
      <c r="M1507" s="1" t="s">
        <v>1256</v>
      </c>
      <c r="N1507" s="1" t="str">
        <f>HYPERLINK("https://klocwork.india.ti.com:443/review/insight-review.html#issuedetails_goto:problemid=120281,project=MCU_PLUS_SDK_AM263X,searchquery=taxonomy:'C and C++' build:Build_Apr_13_2023_11_11_AM grouping:off ","KW Issue Link")</f>
        <v>KW Issue Link</v>
      </c>
      <c r="O1507" s="1" t="s">
        <v>291</v>
      </c>
    </row>
    <row r="1508" spans="1:15" ht="75" x14ac:dyDescent="0.25">
      <c r="A1508" s="1" t="s">
        <v>1257</v>
      </c>
      <c r="B1508" s="1"/>
      <c r="C1508" s="1" t="s">
        <v>494</v>
      </c>
      <c r="D1508" s="1">
        <v>120282</v>
      </c>
      <c r="E1508" s="1">
        <v>227</v>
      </c>
      <c r="F1508" s="1" t="s">
        <v>2267</v>
      </c>
      <c r="G1508" s="1" t="s">
        <v>498</v>
      </c>
      <c r="H1508" s="1" t="s">
        <v>141</v>
      </c>
      <c r="I1508" s="1" t="s">
        <v>65</v>
      </c>
      <c r="J1508" s="1">
        <v>3</v>
      </c>
      <c r="K1508" s="1" t="s">
        <v>142</v>
      </c>
      <c r="L1508" s="1" t="s">
        <v>153</v>
      </c>
      <c r="M1508" s="1" t="s">
        <v>1256</v>
      </c>
      <c r="N1508" s="1" t="str">
        <f>HYPERLINK("https://klocwork.india.ti.com:443/review/insight-review.html#issuedetails_goto:problemid=120282,project=MCU_PLUS_SDK_AM263X,searchquery=taxonomy:'C and C++' build:Build_Apr_13_2023_11_11_AM grouping:off ","KW Issue Link")</f>
        <v>KW Issue Link</v>
      </c>
      <c r="O1508" s="1" t="s">
        <v>291</v>
      </c>
    </row>
    <row r="1509" spans="1:15" ht="75" x14ac:dyDescent="0.25">
      <c r="A1509" s="1" t="s">
        <v>1257</v>
      </c>
      <c r="B1509" s="1"/>
      <c r="C1509" s="1" t="s">
        <v>494</v>
      </c>
      <c r="D1509" s="1">
        <v>120283</v>
      </c>
      <c r="E1509" s="1">
        <v>278</v>
      </c>
      <c r="F1509" s="1" t="s">
        <v>2268</v>
      </c>
      <c r="G1509" s="1" t="s">
        <v>2269</v>
      </c>
      <c r="H1509" s="1" t="s">
        <v>141</v>
      </c>
      <c r="I1509" s="1" t="s">
        <v>65</v>
      </c>
      <c r="J1509" s="1">
        <v>3</v>
      </c>
      <c r="K1509" s="1" t="s">
        <v>142</v>
      </c>
      <c r="L1509" s="1" t="s">
        <v>153</v>
      </c>
      <c r="M1509" s="1" t="s">
        <v>1256</v>
      </c>
      <c r="N1509" s="1" t="str">
        <f>HYPERLINK("https://klocwork.india.ti.com:443/review/insight-review.html#issuedetails_goto:problemid=120283,project=MCU_PLUS_SDK_AM263X,searchquery=taxonomy:'C and C++' build:Build_Apr_13_2023_11_11_AM grouping:off ","KW Issue Link")</f>
        <v>KW Issue Link</v>
      </c>
      <c r="O1509" s="1" t="s">
        <v>291</v>
      </c>
    </row>
    <row r="1510" spans="1:15" ht="75" x14ac:dyDescent="0.25">
      <c r="A1510" s="1" t="s">
        <v>1257</v>
      </c>
      <c r="B1510" s="1"/>
      <c r="C1510" s="1" t="s">
        <v>494</v>
      </c>
      <c r="D1510" s="1">
        <v>120284</v>
      </c>
      <c r="E1510" s="1">
        <v>317</v>
      </c>
      <c r="F1510" s="1" t="s">
        <v>2270</v>
      </c>
      <c r="G1510" s="1" t="s">
        <v>504</v>
      </c>
      <c r="H1510" s="1" t="s">
        <v>141</v>
      </c>
      <c r="I1510" s="1" t="s">
        <v>65</v>
      </c>
      <c r="J1510" s="1">
        <v>3</v>
      </c>
      <c r="K1510" s="1" t="s">
        <v>142</v>
      </c>
      <c r="L1510" s="1" t="s">
        <v>153</v>
      </c>
      <c r="M1510" s="1" t="s">
        <v>1256</v>
      </c>
      <c r="N1510" s="1" t="str">
        <f>HYPERLINK("https://klocwork.india.ti.com:443/review/insight-review.html#issuedetails_goto:problemid=120284,project=MCU_PLUS_SDK_AM263X,searchquery=taxonomy:'C and C++' build:Build_Apr_13_2023_11_11_AM grouping:off ","KW Issue Link")</f>
        <v>KW Issue Link</v>
      </c>
      <c r="O1510" s="1" t="s">
        <v>291</v>
      </c>
    </row>
    <row r="1511" spans="1:15" ht="90" x14ac:dyDescent="0.25">
      <c r="A1511" s="1" t="s">
        <v>1257</v>
      </c>
      <c r="B1511" s="1"/>
      <c r="C1511" s="1" t="s">
        <v>494</v>
      </c>
      <c r="D1511" s="1">
        <v>120285</v>
      </c>
      <c r="E1511" s="1">
        <v>344</v>
      </c>
      <c r="F1511" s="1" t="s">
        <v>2271</v>
      </c>
      <c r="G1511" s="1" t="s">
        <v>2272</v>
      </c>
      <c r="H1511" s="1" t="s">
        <v>141</v>
      </c>
      <c r="I1511" s="1" t="s">
        <v>65</v>
      </c>
      <c r="J1511" s="1">
        <v>3</v>
      </c>
      <c r="K1511" s="1" t="s">
        <v>142</v>
      </c>
      <c r="L1511" s="1" t="s">
        <v>153</v>
      </c>
      <c r="M1511" s="1" t="s">
        <v>1256</v>
      </c>
      <c r="N1511" s="1" t="str">
        <f>HYPERLINK("https://klocwork.india.ti.com:443/review/insight-review.html#issuedetails_goto:problemid=120285,project=MCU_PLUS_SDK_AM263X,searchquery=taxonomy:'C and C++' build:Build_Apr_13_2023_11_11_AM grouping:off ","KW Issue Link")</f>
        <v>KW Issue Link</v>
      </c>
      <c r="O1511" s="1" t="s">
        <v>291</v>
      </c>
    </row>
    <row r="1512" spans="1:15" ht="75" x14ac:dyDescent="0.25">
      <c r="A1512" s="1" t="s">
        <v>1257</v>
      </c>
      <c r="B1512" s="1"/>
      <c r="C1512" s="1" t="s">
        <v>494</v>
      </c>
      <c r="D1512" s="1">
        <v>120286</v>
      </c>
      <c r="E1512" s="1">
        <v>503</v>
      </c>
      <c r="F1512" s="1" t="s">
        <v>2273</v>
      </c>
      <c r="G1512" s="1" t="s">
        <v>502</v>
      </c>
      <c r="H1512" s="1" t="s">
        <v>141</v>
      </c>
      <c r="I1512" s="1" t="s">
        <v>65</v>
      </c>
      <c r="J1512" s="1">
        <v>3</v>
      </c>
      <c r="K1512" s="1" t="s">
        <v>142</v>
      </c>
      <c r="L1512" s="1" t="s">
        <v>153</v>
      </c>
      <c r="M1512" s="1" t="s">
        <v>1256</v>
      </c>
      <c r="N1512" s="1" t="str">
        <f>HYPERLINK("https://klocwork.india.ti.com:443/review/insight-review.html#issuedetails_goto:problemid=120286,project=MCU_PLUS_SDK_AM263X,searchquery=taxonomy:'C and C++' build:Build_Apr_13_2023_11_11_AM grouping:off ","KW Issue Link")</f>
        <v>KW Issue Link</v>
      </c>
      <c r="O1512" s="1" t="s">
        <v>291</v>
      </c>
    </row>
    <row r="1513" spans="1:15" ht="75" x14ac:dyDescent="0.25">
      <c r="A1513" s="1" t="s">
        <v>1257</v>
      </c>
      <c r="B1513" s="1"/>
      <c r="C1513" s="1" t="s">
        <v>494</v>
      </c>
      <c r="D1513" s="1">
        <v>120289</v>
      </c>
      <c r="E1513" s="1">
        <v>740</v>
      </c>
      <c r="F1513" s="1" t="s">
        <v>2274</v>
      </c>
      <c r="G1513" s="1" t="s">
        <v>2275</v>
      </c>
      <c r="H1513" s="1" t="s">
        <v>141</v>
      </c>
      <c r="I1513" s="1" t="s">
        <v>65</v>
      </c>
      <c r="J1513" s="1">
        <v>3</v>
      </c>
      <c r="K1513" s="1" t="s">
        <v>142</v>
      </c>
      <c r="L1513" s="1" t="s">
        <v>153</v>
      </c>
      <c r="M1513" s="1" t="s">
        <v>1256</v>
      </c>
      <c r="N1513" s="1" t="str">
        <f>HYPERLINK("https://klocwork.india.ti.com:443/review/insight-review.html#issuedetails_goto:problemid=120289,project=MCU_PLUS_SDK_AM263X,searchquery=taxonomy:'C and C++' build:Build_Apr_13_2023_11_11_AM grouping:off ","KW Issue Link")</f>
        <v>KW Issue Link</v>
      </c>
      <c r="O1513" s="1" t="s">
        <v>291</v>
      </c>
    </row>
    <row r="1514" spans="1:15" ht="75" x14ac:dyDescent="0.25">
      <c r="A1514" s="1" t="s">
        <v>1266</v>
      </c>
      <c r="B1514" s="1"/>
      <c r="C1514" s="1" t="s">
        <v>494</v>
      </c>
      <c r="D1514" s="1">
        <v>120290</v>
      </c>
      <c r="E1514" s="1">
        <v>128</v>
      </c>
      <c r="F1514" s="1" t="s">
        <v>2276</v>
      </c>
      <c r="G1514" s="1" t="s">
        <v>496</v>
      </c>
      <c r="H1514" s="1" t="s">
        <v>141</v>
      </c>
      <c r="I1514" s="1" t="s">
        <v>65</v>
      </c>
      <c r="J1514" s="1">
        <v>3</v>
      </c>
      <c r="K1514" s="1" t="s">
        <v>142</v>
      </c>
      <c r="L1514" s="1" t="s">
        <v>153</v>
      </c>
      <c r="M1514" s="1" t="s">
        <v>1256</v>
      </c>
      <c r="N1514" s="1" t="str">
        <f>HYPERLINK("https://klocwork.india.ti.com:443/review/insight-review.html#issuedetails_goto:problemid=120290,project=MCU_PLUS_SDK_AM263X,searchquery=taxonomy:'C and C++' build:Build_Apr_13_2023_11_11_AM grouping:off ","KW Issue Link")</f>
        <v>KW Issue Link</v>
      </c>
      <c r="O1514" s="1" t="s">
        <v>291</v>
      </c>
    </row>
    <row r="1515" spans="1:15" ht="75" x14ac:dyDescent="0.25">
      <c r="A1515" s="1" t="s">
        <v>1266</v>
      </c>
      <c r="B1515" s="1"/>
      <c r="C1515" s="1" t="s">
        <v>494</v>
      </c>
      <c r="D1515" s="1">
        <v>120291</v>
      </c>
      <c r="E1515" s="1">
        <v>164</v>
      </c>
      <c r="F1515" s="1" t="s">
        <v>2277</v>
      </c>
      <c r="G1515" s="1" t="s">
        <v>500</v>
      </c>
      <c r="H1515" s="1" t="s">
        <v>141</v>
      </c>
      <c r="I1515" s="1" t="s">
        <v>65</v>
      </c>
      <c r="J1515" s="1">
        <v>3</v>
      </c>
      <c r="K1515" s="1" t="s">
        <v>142</v>
      </c>
      <c r="L1515" s="1" t="s">
        <v>153</v>
      </c>
      <c r="M1515" s="1" t="s">
        <v>1256</v>
      </c>
      <c r="N1515" s="1" t="str">
        <f>HYPERLINK("https://klocwork.india.ti.com:443/review/insight-review.html#issuedetails_goto:problemid=120291,project=MCU_PLUS_SDK_AM263X,searchquery=taxonomy:'C and C++' build:Build_Apr_13_2023_11_11_AM grouping:off ","KW Issue Link")</f>
        <v>KW Issue Link</v>
      </c>
      <c r="O1515" s="1" t="s">
        <v>291</v>
      </c>
    </row>
    <row r="1516" spans="1:15" ht="90" x14ac:dyDescent="0.25">
      <c r="A1516" s="1" t="s">
        <v>1266</v>
      </c>
      <c r="B1516" s="1"/>
      <c r="C1516" s="1" t="s">
        <v>494</v>
      </c>
      <c r="D1516" s="1">
        <v>120292</v>
      </c>
      <c r="E1516" s="1">
        <v>344</v>
      </c>
      <c r="F1516" s="1" t="s">
        <v>2278</v>
      </c>
      <c r="G1516" s="1" t="s">
        <v>2272</v>
      </c>
      <c r="H1516" s="1" t="s">
        <v>141</v>
      </c>
      <c r="I1516" s="1" t="s">
        <v>65</v>
      </c>
      <c r="J1516" s="1">
        <v>3</v>
      </c>
      <c r="K1516" s="1" t="s">
        <v>142</v>
      </c>
      <c r="L1516" s="1" t="s">
        <v>153</v>
      </c>
      <c r="M1516" s="1" t="s">
        <v>1256</v>
      </c>
      <c r="N1516" s="1" t="str">
        <f>HYPERLINK("https://klocwork.india.ti.com:443/review/insight-review.html#issuedetails_goto:problemid=120292,project=MCU_PLUS_SDK_AM263X,searchquery=taxonomy:'C and C++' build:Build_Apr_13_2023_11_11_AM grouping:off ","KW Issue Link")</f>
        <v>KW Issue Link</v>
      </c>
      <c r="O1516" s="1" t="s">
        <v>291</v>
      </c>
    </row>
    <row r="1517" spans="1:15" ht="75" x14ac:dyDescent="0.25">
      <c r="A1517" s="1" t="s">
        <v>1266</v>
      </c>
      <c r="B1517" s="1"/>
      <c r="C1517" s="1" t="s">
        <v>494</v>
      </c>
      <c r="D1517" s="1">
        <v>120293</v>
      </c>
      <c r="E1517" s="1">
        <v>503</v>
      </c>
      <c r="F1517" s="1" t="s">
        <v>2279</v>
      </c>
      <c r="G1517" s="1" t="s">
        <v>502</v>
      </c>
      <c r="H1517" s="1" t="s">
        <v>141</v>
      </c>
      <c r="I1517" s="1" t="s">
        <v>65</v>
      </c>
      <c r="J1517" s="1">
        <v>3</v>
      </c>
      <c r="K1517" s="1" t="s">
        <v>142</v>
      </c>
      <c r="L1517" s="1" t="s">
        <v>153</v>
      </c>
      <c r="M1517" s="1" t="s">
        <v>1256</v>
      </c>
      <c r="N1517" s="1" t="str">
        <f>HYPERLINK("https://klocwork.india.ti.com:443/review/insight-review.html#issuedetails_goto:problemid=120293,project=MCU_PLUS_SDK_AM263X,searchquery=taxonomy:'C and C++' build:Build_Apr_13_2023_11_11_AM grouping:off ","KW Issue Link")</f>
        <v>KW Issue Link</v>
      </c>
      <c r="O1517" s="1" t="s">
        <v>291</v>
      </c>
    </row>
    <row r="1518" spans="1:15" ht="75" x14ac:dyDescent="0.25">
      <c r="A1518" s="1" t="s">
        <v>1266</v>
      </c>
      <c r="B1518" s="1"/>
      <c r="C1518" s="1" t="s">
        <v>494</v>
      </c>
      <c r="D1518" s="1">
        <v>120295</v>
      </c>
      <c r="E1518" s="1">
        <v>740</v>
      </c>
      <c r="F1518" s="1" t="s">
        <v>2280</v>
      </c>
      <c r="G1518" s="1" t="s">
        <v>2275</v>
      </c>
      <c r="H1518" s="1" t="s">
        <v>141</v>
      </c>
      <c r="I1518" s="1" t="s">
        <v>65</v>
      </c>
      <c r="J1518" s="1">
        <v>3</v>
      </c>
      <c r="K1518" s="1" t="s">
        <v>142</v>
      </c>
      <c r="L1518" s="1" t="s">
        <v>153</v>
      </c>
      <c r="M1518" s="1" t="s">
        <v>1256</v>
      </c>
      <c r="N1518" s="1" t="str">
        <f>HYPERLINK("https://klocwork.india.ti.com:443/review/insight-review.html#issuedetails_goto:problemid=120295,project=MCU_PLUS_SDK_AM263X,searchquery=taxonomy:'C and C++' build:Build_Apr_13_2023_11_11_AM grouping:off ","KW Issue Link")</f>
        <v>KW Issue Link</v>
      </c>
      <c r="O1518" s="1" t="s">
        <v>291</v>
      </c>
    </row>
    <row r="1519" spans="1:15" ht="75" x14ac:dyDescent="0.25">
      <c r="A1519" s="1" t="s">
        <v>1268</v>
      </c>
      <c r="B1519" s="1"/>
      <c r="C1519" s="1" t="s">
        <v>494</v>
      </c>
      <c r="D1519" s="1">
        <v>120296</v>
      </c>
      <c r="E1519" s="1">
        <v>164</v>
      </c>
      <c r="F1519" s="1" t="s">
        <v>2281</v>
      </c>
      <c r="G1519" s="1" t="s">
        <v>500</v>
      </c>
      <c r="H1519" s="1" t="s">
        <v>141</v>
      </c>
      <c r="I1519" s="1" t="s">
        <v>65</v>
      </c>
      <c r="J1519" s="1">
        <v>3</v>
      </c>
      <c r="K1519" s="1" t="s">
        <v>142</v>
      </c>
      <c r="L1519" s="1" t="s">
        <v>153</v>
      </c>
      <c r="M1519" s="1" t="s">
        <v>1256</v>
      </c>
      <c r="N1519" s="1" t="str">
        <f>HYPERLINK("https://klocwork.india.ti.com:443/review/insight-review.html#issuedetails_goto:problemid=120296,project=MCU_PLUS_SDK_AM263X,searchquery=taxonomy:'C and C++' build:Build_Apr_13_2023_11_11_AM grouping:off ","KW Issue Link")</f>
        <v>KW Issue Link</v>
      </c>
      <c r="O1519" s="1" t="s">
        <v>291</v>
      </c>
    </row>
    <row r="1520" spans="1:15" ht="90" x14ac:dyDescent="0.25">
      <c r="A1520" s="1" t="s">
        <v>1268</v>
      </c>
      <c r="B1520" s="1"/>
      <c r="C1520" s="1" t="s">
        <v>494</v>
      </c>
      <c r="D1520" s="1">
        <v>120297</v>
      </c>
      <c r="E1520" s="1">
        <v>344</v>
      </c>
      <c r="F1520" s="1" t="s">
        <v>2282</v>
      </c>
      <c r="G1520" s="1" t="s">
        <v>2272</v>
      </c>
      <c r="H1520" s="1" t="s">
        <v>141</v>
      </c>
      <c r="I1520" s="1" t="s">
        <v>65</v>
      </c>
      <c r="J1520" s="1">
        <v>3</v>
      </c>
      <c r="K1520" s="1" t="s">
        <v>142</v>
      </c>
      <c r="L1520" s="1" t="s">
        <v>153</v>
      </c>
      <c r="M1520" s="1" t="s">
        <v>1256</v>
      </c>
      <c r="N1520" s="1" t="str">
        <f>HYPERLINK("https://klocwork.india.ti.com:443/review/insight-review.html#issuedetails_goto:problemid=120297,project=MCU_PLUS_SDK_AM263X,searchquery=taxonomy:'C and C++' build:Build_Apr_13_2023_11_11_AM grouping:off ","KW Issue Link")</f>
        <v>KW Issue Link</v>
      </c>
      <c r="O1520" s="1" t="s">
        <v>291</v>
      </c>
    </row>
    <row r="1521" spans="1:15" ht="75" x14ac:dyDescent="0.25">
      <c r="A1521" s="1" t="s">
        <v>1268</v>
      </c>
      <c r="B1521" s="1"/>
      <c r="C1521" s="1" t="s">
        <v>494</v>
      </c>
      <c r="D1521" s="1">
        <v>120298</v>
      </c>
      <c r="E1521" s="1">
        <v>503</v>
      </c>
      <c r="F1521" s="1" t="s">
        <v>2283</v>
      </c>
      <c r="G1521" s="1" t="s">
        <v>502</v>
      </c>
      <c r="H1521" s="1" t="s">
        <v>141</v>
      </c>
      <c r="I1521" s="1" t="s">
        <v>65</v>
      </c>
      <c r="J1521" s="1">
        <v>3</v>
      </c>
      <c r="K1521" s="1" t="s">
        <v>142</v>
      </c>
      <c r="L1521" s="1" t="s">
        <v>153</v>
      </c>
      <c r="M1521" s="1" t="s">
        <v>1256</v>
      </c>
      <c r="N1521" s="1" t="str">
        <f>HYPERLINK("https://klocwork.india.ti.com:443/review/insight-review.html#issuedetails_goto:problemid=120298,project=MCU_PLUS_SDK_AM263X,searchquery=taxonomy:'C and C++' build:Build_Apr_13_2023_11_11_AM grouping:off ","KW Issue Link")</f>
        <v>KW Issue Link</v>
      </c>
      <c r="O1521" s="1" t="s">
        <v>291</v>
      </c>
    </row>
    <row r="1522" spans="1:15" ht="75" x14ac:dyDescent="0.25">
      <c r="A1522" s="1" t="s">
        <v>1268</v>
      </c>
      <c r="B1522" s="1"/>
      <c r="C1522" s="1" t="s">
        <v>494</v>
      </c>
      <c r="D1522" s="1">
        <v>120300</v>
      </c>
      <c r="E1522" s="1">
        <v>740</v>
      </c>
      <c r="F1522" s="1" t="s">
        <v>2284</v>
      </c>
      <c r="G1522" s="1" t="s">
        <v>2275</v>
      </c>
      <c r="H1522" s="1" t="s">
        <v>141</v>
      </c>
      <c r="I1522" s="1" t="s">
        <v>65</v>
      </c>
      <c r="J1522" s="1">
        <v>3</v>
      </c>
      <c r="K1522" s="1" t="s">
        <v>142</v>
      </c>
      <c r="L1522" s="1" t="s">
        <v>153</v>
      </c>
      <c r="M1522" s="1" t="s">
        <v>1256</v>
      </c>
      <c r="N1522" s="1" t="str">
        <f>HYPERLINK("https://klocwork.india.ti.com:443/review/insight-review.html#issuedetails_goto:problemid=120300,project=MCU_PLUS_SDK_AM263X,searchquery=taxonomy:'C and C++' build:Build_Apr_13_2023_11_11_AM grouping:off ","KW Issue Link")</f>
        <v>KW Issue Link</v>
      </c>
      <c r="O1522" s="1" t="s">
        <v>291</v>
      </c>
    </row>
    <row r="1523" spans="1:15" ht="60" x14ac:dyDescent="0.25">
      <c r="A1523" s="1" t="s">
        <v>1257</v>
      </c>
      <c r="B1523" s="1"/>
      <c r="C1523" s="1" t="s">
        <v>192</v>
      </c>
      <c r="D1523" s="1">
        <v>120301</v>
      </c>
      <c r="E1523" s="1">
        <v>123</v>
      </c>
      <c r="F1523" s="1" t="s">
        <v>2285</v>
      </c>
      <c r="G1523" s="1" t="s">
        <v>194</v>
      </c>
      <c r="H1523" s="1" t="s">
        <v>141</v>
      </c>
      <c r="I1523" s="1" t="s">
        <v>65</v>
      </c>
      <c r="J1523" s="1">
        <v>3</v>
      </c>
      <c r="K1523" s="1" t="s">
        <v>142</v>
      </c>
      <c r="L1523" s="1" t="s">
        <v>153</v>
      </c>
      <c r="M1523" s="1" t="s">
        <v>1256</v>
      </c>
      <c r="N1523" s="1" t="str">
        <f>HYPERLINK("https://klocwork.india.ti.com:443/review/insight-review.html#issuedetails_goto:problemid=120301,project=MCU_PLUS_SDK_AM263X,searchquery=taxonomy:'C and C++' build:Build_Apr_13_2023_11_11_AM grouping:off ","KW Issue Link")</f>
        <v>KW Issue Link</v>
      </c>
      <c r="O1523" s="1" t="s">
        <v>196</v>
      </c>
    </row>
    <row r="1524" spans="1:15" ht="60" x14ac:dyDescent="0.25">
      <c r="A1524" s="1" t="s">
        <v>1257</v>
      </c>
      <c r="B1524" s="1"/>
      <c r="C1524" s="1" t="s">
        <v>192</v>
      </c>
      <c r="D1524" s="1">
        <v>120302</v>
      </c>
      <c r="E1524" s="1">
        <v>422</v>
      </c>
      <c r="F1524" s="1" t="s">
        <v>2286</v>
      </c>
      <c r="G1524" s="1" t="s">
        <v>2287</v>
      </c>
      <c r="H1524" s="1" t="s">
        <v>141</v>
      </c>
      <c r="I1524" s="1" t="s">
        <v>65</v>
      </c>
      <c r="J1524" s="1">
        <v>3</v>
      </c>
      <c r="K1524" s="1" t="s">
        <v>142</v>
      </c>
      <c r="L1524" s="1" t="s">
        <v>153</v>
      </c>
      <c r="M1524" s="1" t="s">
        <v>1256</v>
      </c>
      <c r="N1524" s="1" t="str">
        <f>HYPERLINK("https://klocwork.india.ti.com:443/review/insight-review.html#issuedetails_goto:problemid=120302,project=MCU_PLUS_SDK_AM263X,searchquery=taxonomy:'C and C++' build:Build_Apr_13_2023_11_11_AM grouping:off ","KW Issue Link")</f>
        <v>KW Issue Link</v>
      </c>
      <c r="O1524" s="1" t="s">
        <v>196</v>
      </c>
    </row>
    <row r="1525" spans="1:15" ht="60" x14ac:dyDescent="0.25">
      <c r="A1525" s="1" t="s">
        <v>1268</v>
      </c>
      <c r="B1525" s="1"/>
      <c r="C1525" s="1" t="s">
        <v>192</v>
      </c>
      <c r="D1525" s="1">
        <v>120304</v>
      </c>
      <c r="E1525" s="1">
        <v>277</v>
      </c>
      <c r="F1525" s="1" t="s">
        <v>2288</v>
      </c>
      <c r="G1525" s="1" t="s">
        <v>2289</v>
      </c>
      <c r="H1525" s="1" t="s">
        <v>141</v>
      </c>
      <c r="I1525" s="1" t="s">
        <v>65</v>
      </c>
      <c r="J1525" s="1">
        <v>3</v>
      </c>
      <c r="K1525" s="1" t="s">
        <v>142</v>
      </c>
      <c r="L1525" s="1" t="s">
        <v>153</v>
      </c>
      <c r="M1525" s="1" t="s">
        <v>1256</v>
      </c>
      <c r="N1525" s="1" t="str">
        <f>HYPERLINK("https://klocwork.india.ti.com:443/review/insight-review.html#issuedetails_goto:problemid=120304,project=MCU_PLUS_SDK_AM263X,searchquery=taxonomy:'C and C++' build:Build_Apr_13_2023_11_11_AM grouping:off ","KW Issue Link")</f>
        <v>KW Issue Link</v>
      </c>
      <c r="O1525" s="1" t="s">
        <v>196</v>
      </c>
    </row>
    <row r="1526" spans="1:15" ht="60" x14ac:dyDescent="0.25">
      <c r="A1526" s="1" t="s">
        <v>1257</v>
      </c>
      <c r="B1526" s="1"/>
      <c r="C1526" s="1" t="s">
        <v>2290</v>
      </c>
      <c r="D1526" s="1">
        <v>120305</v>
      </c>
      <c r="E1526" s="1">
        <v>82</v>
      </c>
      <c r="F1526" s="1" t="s">
        <v>2291</v>
      </c>
      <c r="G1526" s="1" t="s">
        <v>2292</v>
      </c>
      <c r="H1526" s="1" t="s">
        <v>141</v>
      </c>
      <c r="I1526" s="1" t="s">
        <v>65</v>
      </c>
      <c r="J1526" s="1">
        <v>3</v>
      </c>
      <c r="K1526" s="1" t="s">
        <v>142</v>
      </c>
      <c r="L1526" s="1" t="s">
        <v>153</v>
      </c>
      <c r="M1526" s="1" t="s">
        <v>1256</v>
      </c>
      <c r="N1526" s="1" t="str">
        <f>HYPERLINK("https://klocwork.india.ti.com:443/review/insight-review.html#issuedetails_goto:problemid=120305,project=MCU_PLUS_SDK_AM263X,searchquery=taxonomy:'C and C++' build:Build_Apr_13_2023_11_11_AM grouping:off ","KW Issue Link")</f>
        <v>KW Issue Link</v>
      </c>
      <c r="O1526" s="1" t="s">
        <v>2293</v>
      </c>
    </row>
    <row r="1527" spans="1:15" ht="60" x14ac:dyDescent="0.25">
      <c r="A1527" s="1" t="s">
        <v>1257</v>
      </c>
      <c r="B1527" s="1"/>
      <c r="C1527" s="1" t="s">
        <v>2290</v>
      </c>
      <c r="D1527" s="1">
        <v>120306</v>
      </c>
      <c r="E1527" s="1">
        <v>117</v>
      </c>
      <c r="F1527" s="1" t="s">
        <v>2294</v>
      </c>
      <c r="G1527" s="1" t="s">
        <v>2295</v>
      </c>
      <c r="H1527" s="1" t="s">
        <v>141</v>
      </c>
      <c r="I1527" s="1" t="s">
        <v>65</v>
      </c>
      <c r="J1527" s="1">
        <v>3</v>
      </c>
      <c r="K1527" s="1" t="s">
        <v>142</v>
      </c>
      <c r="L1527" s="1" t="s">
        <v>153</v>
      </c>
      <c r="M1527" s="1" t="s">
        <v>1256</v>
      </c>
      <c r="N1527" s="1" t="str">
        <f>HYPERLINK("https://klocwork.india.ti.com:443/review/insight-review.html#issuedetails_goto:problemid=120306,project=MCU_PLUS_SDK_AM263X,searchquery=taxonomy:'C and C++' build:Build_Apr_13_2023_11_11_AM grouping:off ","KW Issue Link")</f>
        <v>KW Issue Link</v>
      </c>
      <c r="O1527" s="1" t="s">
        <v>2293</v>
      </c>
    </row>
    <row r="1528" spans="1:15" ht="60" x14ac:dyDescent="0.25">
      <c r="A1528" s="1" t="s">
        <v>1257</v>
      </c>
      <c r="B1528" s="1"/>
      <c r="C1528" s="1" t="s">
        <v>2290</v>
      </c>
      <c r="D1528" s="1">
        <v>120309</v>
      </c>
      <c r="E1528" s="1">
        <v>565</v>
      </c>
      <c r="F1528" s="1" t="s">
        <v>2296</v>
      </c>
      <c r="G1528" s="1" t="s">
        <v>2297</v>
      </c>
      <c r="H1528" s="1" t="s">
        <v>141</v>
      </c>
      <c r="I1528" s="1" t="s">
        <v>65</v>
      </c>
      <c r="J1528" s="1">
        <v>3</v>
      </c>
      <c r="K1528" s="1" t="s">
        <v>142</v>
      </c>
      <c r="L1528" s="1" t="s">
        <v>153</v>
      </c>
      <c r="M1528" s="1" t="s">
        <v>1256</v>
      </c>
      <c r="N1528" s="1" t="str">
        <f>HYPERLINK("https://klocwork.india.ti.com:443/review/insight-review.html#issuedetails_goto:problemid=120309,project=MCU_PLUS_SDK_AM263X,searchquery=taxonomy:'C and C++' build:Build_Apr_13_2023_11_11_AM grouping:off ","KW Issue Link")</f>
        <v>KW Issue Link</v>
      </c>
      <c r="O1528" s="1" t="s">
        <v>2293</v>
      </c>
    </row>
    <row r="1529" spans="1:15" ht="60" x14ac:dyDescent="0.25">
      <c r="A1529" s="1" t="s">
        <v>1252</v>
      </c>
      <c r="B1529" s="1"/>
      <c r="C1529" s="1" t="s">
        <v>2290</v>
      </c>
      <c r="D1529" s="1">
        <v>120310</v>
      </c>
      <c r="E1529" s="1">
        <v>221</v>
      </c>
      <c r="F1529" s="1" t="s">
        <v>2298</v>
      </c>
      <c r="G1529" s="1" t="s">
        <v>2299</v>
      </c>
      <c r="H1529" s="1" t="s">
        <v>141</v>
      </c>
      <c r="I1529" s="1" t="s">
        <v>65</v>
      </c>
      <c r="J1529" s="1">
        <v>3</v>
      </c>
      <c r="K1529" s="1" t="s">
        <v>142</v>
      </c>
      <c r="L1529" s="1" t="s">
        <v>153</v>
      </c>
      <c r="M1529" s="1" t="s">
        <v>1256</v>
      </c>
      <c r="N1529" s="1" t="str">
        <f>HYPERLINK("https://klocwork.india.ti.com:443/review/insight-review.html#issuedetails_goto:problemid=120310,project=MCU_PLUS_SDK_AM263X,searchquery=taxonomy:'C and C++' build:Build_Apr_13_2023_11_11_AM grouping:off ","KW Issue Link")</f>
        <v>KW Issue Link</v>
      </c>
      <c r="O1529" s="1" t="s">
        <v>2293</v>
      </c>
    </row>
    <row r="1530" spans="1:15" ht="60" x14ac:dyDescent="0.25">
      <c r="A1530" s="1" t="s">
        <v>1252</v>
      </c>
      <c r="B1530" s="1"/>
      <c r="C1530" s="1" t="s">
        <v>2290</v>
      </c>
      <c r="D1530" s="1">
        <v>120311</v>
      </c>
      <c r="E1530" s="1">
        <v>277</v>
      </c>
      <c r="F1530" s="1" t="s">
        <v>2300</v>
      </c>
      <c r="G1530" s="1" t="s">
        <v>2301</v>
      </c>
      <c r="H1530" s="1" t="s">
        <v>141</v>
      </c>
      <c r="I1530" s="1" t="s">
        <v>65</v>
      </c>
      <c r="J1530" s="1">
        <v>3</v>
      </c>
      <c r="K1530" s="1" t="s">
        <v>142</v>
      </c>
      <c r="L1530" s="1" t="s">
        <v>153</v>
      </c>
      <c r="M1530" s="1" t="s">
        <v>1256</v>
      </c>
      <c r="N1530" s="1" t="str">
        <f>HYPERLINK("https://klocwork.india.ti.com:443/review/insight-review.html#issuedetails_goto:problemid=120311,project=MCU_PLUS_SDK_AM263X,searchquery=taxonomy:'C and C++' build:Build_Apr_13_2023_11_11_AM grouping:off ","KW Issue Link")</f>
        <v>KW Issue Link</v>
      </c>
      <c r="O1530" s="1" t="s">
        <v>2293</v>
      </c>
    </row>
    <row r="1531" spans="1:15" ht="60" x14ac:dyDescent="0.25">
      <c r="A1531" s="1" t="s">
        <v>1252</v>
      </c>
      <c r="B1531" s="1"/>
      <c r="C1531" s="1" t="s">
        <v>2290</v>
      </c>
      <c r="D1531" s="1">
        <v>120312</v>
      </c>
      <c r="E1531" s="1">
        <v>480</v>
      </c>
      <c r="F1531" s="1" t="s">
        <v>2302</v>
      </c>
      <c r="G1531" s="1" t="s">
        <v>2303</v>
      </c>
      <c r="H1531" s="1" t="s">
        <v>141</v>
      </c>
      <c r="I1531" s="1" t="s">
        <v>65</v>
      </c>
      <c r="J1531" s="1">
        <v>3</v>
      </c>
      <c r="K1531" s="1" t="s">
        <v>142</v>
      </c>
      <c r="L1531" s="1" t="s">
        <v>153</v>
      </c>
      <c r="M1531" s="1" t="s">
        <v>1256</v>
      </c>
      <c r="N1531" s="1" t="str">
        <f>HYPERLINK("https://klocwork.india.ti.com:443/review/insight-review.html#issuedetails_goto:problemid=120312,project=MCU_PLUS_SDK_AM263X,searchquery=taxonomy:'C and C++' build:Build_Apr_13_2023_11_11_AM grouping:off ","KW Issue Link")</f>
        <v>KW Issue Link</v>
      </c>
      <c r="O1531" s="1" t="s">
        <v>2293</v>
      </c>
    </row>
    <row r="1532" spans="1:15" ht="60" x14ac:dyDescent="0.25">
      <c r="A1532" s="1" t="s">
        <v>1252</v>
      </c>
      <c r="B1532" s="1"/>
      <c r="C1532" s="1" t="s">
        <v>2304</v>
      </c>
      <c r="D1532" s="1">
        <v>120313</v>
      </c>
      <c r="E1532" s="1">
        <v>323</v>
      </c>
      <c r="F1532" s="1" t="s">
        <v>2305</v>
      </c>
      <c r="G1532" s="1" t="s">
        <v>2306</v>
      </c>
      <c r="H1532" s="1" t="s">
        <v>141</v>
      </c>
      <c r="I1532" s="1" t="s">
        <v>65</v>
      </c>
      <c r="J1532" s="1">
        <v>3</v>
      </c>
      <c r="K1532" s="1" t="s">
        <v>142</v>
      </c>
      <c r="L1532" s="1" t="s">
        <v>153</v>
      </c>
      <c r="M1532" s="1" t="s">
        <v>1256</v>
      </c>
      <c r="N1532" s="1" t="str">
        <f>HYPERLINK("https://klocwork.india.ti.com:443/review/insight-review.html#issuedetails_goto:problemid=120313,project=MCU_PLUS_SDK_AM263X,searchquery=taxonomy:'C and C++' build:Build_Apr_13_2023_11_11_AM grouping:off ","KW Issue Link")</f>
        <v>KW Issue Link</v>
      </c>
      <c r="O1532" s="1" t="s">
        <v>2293</v>
      </c>
    </row>
    <row r="1533" spans="1:15" ht="60" x14ac:dyDescent="0.25">
      <c r="A1533" s="1" t="s">
        <v>1266</v>
      </c>
      <c r="B1533" s="1"/>
      <c r="C1533" s="1" t="s">
        <v>508</v>
      </c>
      <c r="D1533" s="1">
        <v>120314</v>
      </c>
      <c r="E1533" s="1">
        <v>212</v>
      </c>
      <c r="F1533" s="1" t="s">
        <v>2307</v>
      </c>
      <c r="G1533" s="1" t="s">
        <v>510</v>
      </c>
      <c r="H1533" s="1" t="s">
        <v>141</v>
      </c>
      <c r="I1533" s="1" t="s">
        <v>65</v>
      </c>
      <c r="J1533" s="1">
        <v>3</v>
      </c>
      <c r="K1533" s="1" t="s">
        <v>142</v>
      </c>
      <c r="L1533" s="1" t="s">
        <v>153</v>
      </c>
      <c r="M1533" s="1" t="s">
        <v>1256</v>
      </c>
      <c r="N1533" s="1" t="str">
        <f>HYPERLINK("https://klocwork.india.ti.com:443/review/insight-review.html#issuedetails_goto:problemid=120314,project=MCU_PLUS_SDK_AM263X,searchquery=taxonomy:'C and C++' build:Build_Apr_13_2023_11_11_AM grouping:off ","KW Issue Link")</f>
        <v>KW Issue Link</v>
      </c>
      <c r="O1533" s="1" t="s">
        <v>356</v>
      </c>
    </row>
    <row r="1534" spans="1:15" ht="60" x14ac:dyDescent="0.25">
      <c r="A1534" s="1" t="s">
        <v>1268</v>
      </c>
      <c r="B1534" s="1"/>
      <c r="C1534" s="1" t="s">
        <v>508</v>
      </c>
      <c r="D1534" s="1">
        <v>120315</v>
      </c>
      <c r="E1534" s="1">
        <v>212</v>
      </c>
      <c r="F1534" s="1" t="s">
        <v>2308</v>
      </c>
      <c r="G1534" s="1" t="s">
        <v>510</v>
      </c>
      <c r="H1534" s="1" t="s">
        <v>141</v>
      </c>
      <c r="I1534" s="1" t="s">
        <v>65</v>
      </c>
      <c r="J1534" s="1">
        <v>3</v>
      </c>
      <c r="K1534" s="1" t="s">
        <v>142</v>
      </c>
      <c r="L1534" s="1" t="s">
        <v>153</v>
      </c>
      <c r="M1534" s="1" t="s">
        <v>1256</v>
      </c>
      <c r="N1534" s="1" t="str">
        <f>HYPERLINK("https://klocwork.india.ti.com:443/review/insight-review.html#issuedetails_goto:problemid=120315,project=MCU_PLUS_SDK_AM263X,searchquery=taxonomy:'C and C++' build:Build_Apr_13_2023_11_11_AM grouping:off ","KW Issue Link")</f>
        <v>KW Issue Link</v>
      </c>
      <c r="O1534" s="1" t="s">
        <v>356</v>
      </c>
    </row>
    <row r="1535" spans="1:15" ht="60" x14ac:dyDescent="0.25">
      <c r="A1535" s="1" t="s">
        <v>1257</v>
      </c>
      <c r="B1535" s="1"/>
      <c r="C1535" s="1" t="s">
        <v>508</v>
      </c>
      <c r="D1535" s="1">
        <v>120316</v>
      </c>
      <c r="E1535" s="1">
        <v>579</v>
      </c>
      <c r="F1535" s="1" t="s">
        <v>2309</v>
      </c>
      <c r="G1535" s="1" t="s">
        <v>2310</v>
      </c>
      <c r="H1535" s="1" t="s">
        <v>141</v>
      </c>
      <c r="I1535" s="1" t="s">
        <v>65</v>
      </c>
      <c r="J1535" s="1">
        <v>3</v>
      </c>
      <c r="K1535" s="1" t="s">
        <v>142</v>
      </c>
      <c r="L1535" s="1" t="s">
        <v>153</v>
      </c>
      <c r="M1535" s="1" t="s">
        <v>1256</v>
      </c>
      <c r="N1535" s="1" t="str">
        <f>HYPERLINK("https://klocwork.india.ti.com:443/review/insight-review.html#issuedetails_goto:problemid=120316,project=MCU_PLUS_SDK_AM263X,searchquery=taxonomy:'C and C++' build:Build_Apr_13_2023_11_11_AM grouping:off ","KW Issue Link")</f>
        <v>KW Issue Link</v>
      </c>
      <c r="O1535" s="1" t="s">
        <v>356</v>
      </c>
    </row>
    <row r="1536" spans="1:15" ht="60" x14ac:dyDescent="0.25">
      <c r="A1536" s="1" t="s">
        <v>1257</v>
      </c>
      <c r="B1536" s="1"/>
      <c r="C1536" s="1" t="s">
        <v>508</v>
      </c>
      <c r="D1536" s="1">
        <v>120317</v>
      </c>
      <c r="E1536" s="1">
        <v>1095</v>
      </c>
      <c r="F1536" s="1" t="s">
        <v>2311</v>
      </c>
      <c r="G1536" s="1" t="s">
        <v>2312</v>
      </c>
      <c r="H1536" s="1" t="s">
        <v>141</v>
      </c>
      <c r="I1536" s="1" t="s">
        <v>65</v>
      </c>
      <c r="J1536" s="1">
        <v>3</v>
      </c>
      <c r="K1536" s="1" t="s">
        <v>142</v>
      </c>
      <c r="L1536" s="1" t="s">
        <v>153</v>
      </c>
      <c r="M1536" s="1" t="s">
        <v>1256</v>
      </c>
      <c r="N1536" s="1" t="str">
        <f>HYPERLINK("https://klocwork.india.ti.com:443/review/insight-review.html#issuedetails_goto:problemid=120317,project=MCU_PLUS_SDK_AM263X,searchquery=taxonomy:'C and C++' build:Build_Apr_13_2023_11_11_AM grouping:off ","KW Issue Link")</f>
        <v>KW Issue Link</v>
      </c>
      <c r="O1536" s="1" t="s">
        <v>356</v>
      </c>
    </row>
    <row r="1537" spans="1:15" ht="60" x14ac:dyDescent="0.25">
      <c r="A1537" s="1" t="s">
        <v>1252</v>
      </c>
      <c r="B1537" s="1"/>
      <c r="C1537" s="1" t="s">
        <v>517</v>
      </c>
      <c r="D1537" s="1">
        <v>120318</v>
      </c>
      <c r="E1537" s="1">
        <v>128</v>
      </c>
      <c r="F1537" s="1" t="s">
        <v>2313</v>
      </c>
      <c r="G1537" s="1" t="s">
        <v>2314</v>
      </c>
      <c r="H1537" s="1" t="s">
        <v>141</v>
      </c>
      <c r="I1537" s="1" t="s">
        <v>65</v>
      </c>
      <c r="J1537" s="1">
        <v>3</v>
      </c>
      <c r="K1537" s="1" t="s">
        <v>142</v>
      </c>
      <c r="L1537" s="1" t="s">
        <v>153</v>
      </c>
      <c r="M1537" s="1" t="s">
        <v>1256</v>
      </c>
      <c r="N1537" s="1" t="str">
        <f>HYPERLINK("https://klocwork.india.ti.com:443/review/insight-review.html#issuedetails_goto:problemid=120318,project=MCU_PLUS_SDK_AM263X,searchquery=taxonomy:'C and C++' build:Build_Apr_13_2023_11_11_AM grouping:off ","KW Issue Link")</f>
        <v>KW Issue Link</v>
      </c>
      <c r="O1537" s="1" t="s">
        <v>356</v>
      </c>
    </row>
    <row r="1538" spans="1:15" ht="60" x14ac:dyDescent="0.25">
      <c r="A1538" s="1" t="s">
        <v>1257</v>
      </c>
      <c r="B1538" s="1"/>
      <c r="C1538" s="1" t="s">
        <v>517</v>
      </c>
      <c r="D1538" s="1">
        <v>120319</v>
      </c>
      <c r="E1538" s="1">
        <v>354</v>
      </c>
      <c r="F1538" s="1" t="s">
        <v>2315</v>
      </c>
      <c r="G1538" s="1" t="s">
        <v>2316</v>
      </c>
      <c r="H1538" s="1" t="s">
        <v>141</v>
      </c>
      <c r="I1538" s="1" t="s">
        <v>65</v>
      </c>
      <c r="J1538" s="1">
        <v>3</v>
      </c>
      <c r="K1538" s="1" t="s">
        <v>142</v>
      </c>
      <c r="L1538" s="1" t="s">
        <v>153</v>
      </c>
      <c r="M1538" s="1" t="s">
        <v>1256</v>
      </c>
      <c r="N1538" s="1" t="str">
        <f>HYPERLINK("https://klocwork.india.ti.com:443/review/insight-review.html#issuedetails_goto:problemid=120319,project=MCU_PLUS_SDK_AM263X,searchquery=taxonomy:'C and C++' build:Build_Apr_13_2023_11_11_AM grouping:off ","KW Issue Link")</f>
        <v>KW Issue Link</v>
      </c>
      <c r="O1538" s="1" t="s">
        <v>356</v>
      </c>
    </row>
    <row r="1539" spans="1:15" ht="60" x14ac:dyDescent="0.25">
      <c r="A1539" s="1" t="s">
        <v>1266</v>
      </c>
      <c r="B1539" s="1"/>
      <c r="C1539" s="1" t="s">
        <v>517</v>
      </c>
      <c r="D1539" s="1">
        <v>120320</v>
      </c>
      <c r="E1539" s="1">
        <v>354</v>
      </c>
      <c r="F1539" s="1" t="s">
        <v>2317</v>
      </c>
      <c r="G1539" s="1" t="s">
        <v>2316</v>
      </c>
      <c r="H1539" s="1" t="s">
        <v>141</v>
      </c>
      <c r="I1539" s="1" t="s">
        <v>65</v>
      </c>
      <c r="J1539" s="1">
        <v>3</v>
      </c>
      <c r="K1539" s="1" t="s">
        <v>142</v>
      </c>
      <c r="L1539" s="1" t="s">
        <v>153</v>
      </c>
      <c r="M1539" s="1" t="s">
        <v>1256</v>
      </c>
      <c r="N1539" s="1" t="str">
        <f>HYPERLINK("https://klocwork.india.ti.com:443/review/insight-review.html#issuedetails_goto:problemid=120320,project=MCU_PLUS_SDK_AM263X,searchquery=taxonomy:'C and C++' build:Build_Apr_13_2023_11_11_AM grouping:off ","KW Issue Link")</f>
        <v>KW Issue Link</v>
      </c>
      <c r="O1539" s="1" t="s">
        <v>356</v>
      </c>
    </row>
    <row r="1540" spans="1:15" ht="60" x14ac:dyDescent="0.25">
      <c r="A1540" s="1" t="s">
        <v>1268</v>
      </c>
      <c r="B1540" s="1"/>
      <c r="C1540" s="1" t="s">
        <v>517</v>
      </c>
      <c r="D1540" s="1">
        <v>120321</v>
      </c>
      <c r="E1540" s="1">
        <v>354</v>
      </c>
      <c r="F1540" s="1" t="s">
        <v>2318</v>
      </c>
      <c r="G1540" s="1" t="s">
        <v>2316</v>
      </c>
      <c r="H1540" s="1" t="s">
        <v>141</v>
      </c>
      <c r="I1540" s="1" t="s">
        <v>65</v>
      </c>
      <c r="J1540" s="1">
        <v>3</v>
      </c>
      <c r="K1540" s="1" t="s">
        <v>142</v>
      </c>
      <c r="L1540" s="1" t="s">
        <v>153</v>
      </c>
      <c r="M1540" s="1" t="s">
        <v>1256</v>
      </c>
      <c r="N1540" s="1" t="str">
        <f>HYPERLINK("https://klocwork.india.ti.com:443/review/insight-review.html#issuedetails_goto:problemid=120321,project=MCU_PLUS_SDK_AM263X,searchquery=taxonomy:'C and C++' build:Build_Apr_13_2023_11_11_AM grouping:off ","KW Issue Link")</f>
        <v>KW Issue Link</v>
      </c>
      <c r="O1540" s="1" t="s">
        <v>356</v>
      </c>
    </row>
    <row r="1541" spans="1:15" ht="75" x14ac:dyDescent="0.25">
      <c r="A1541" s="1" t="s">
        <v>1257</v>
      </c>
      <c r="B1541" s="1"/>
      <c r="C1541" s="1" t="s">
        <v>519</v>
      </c>
      <c r="D1541" s="1">
        <v>120322</v>
      </c>
      <c r="E1541" s="1">
        <v>195</v>
      </c>
      <c r="F1541" s="1" t="s">
        <v>2319</v>
      </c>
      <c r="G1541" s="1" t="s">
        <v>2320</v>
      </c>
      <c r="H1541" s="1" t="s">
        <v>141</v>
      </c>
      <c r="I1541" s="1" t="s">
        <v>65</v>
      </c>
      <c r="J1541" s="1">
        <v>3</v>
      </c>
      <c r="K1541" s="1" t="s">
        <v>142</v>
      </c>
      <c r="L1541" s="1" t="s">
        <v>153</v>
      </c>
      <c r="M1541" s="1" t="s">
        <v>1256</v>
      </c>
      <c r="N1541" s="1" t="str">
        <f>HYPERLINK("https://klocwork.india.ti.com:443/review/insight-review.html#issuedetails_goto:problemid=120322,project=MCU_PLUS_SDK_AM263X,searchquery=taxonomy:'C and C++' build:Build_Apr_13_2023_11_11_AM grouping:off ","KW Issue Link")</f>
        <v>KW Issue Link</v>
      </c>
      <c r="O1541" s="1" t="s">
        <v>291</v>
      </c>
    </row>
    <row r="1542" spans="1:15" ht="75" x14ac:dyDescent="0.25">
      <c r="A1542" s="1" t="s">
        <v>1257</v>
      </c>
      <c r="B1542" s="1"/>
      <c r="C1542" s="1" t="s">
        <v>519</v>
      </c>
      <c r="D1542" s="1">
        <v>120323</v>
      </c>
      <c r="E1542" s="1">
        <v>249</v>
      </c>
      <c r="F1542" s="1" t="s">
        <v>2321</v>
      </c>
      <c r="G1542" s="1" t="s">
        <v>2322</v>
      </c>
      <c r="H1542" s="1" t="s">
        <v>141</v>
      </c>
      <c r="I1542" s="1" t="s">
        <v>65</v>
      </c>
      <c r="J1542" s="1">
        <v>3</v>
      </c>
      <c r="K1542" s="1" t="s">
        <v>142</v>
      </c>
      <c r="L1542" s="1" t="s">
        <v>153</v>
      </c>
      <c r="M1542" s="1" t="s">
        <v>1256</v>
      </c>
      <c r="N1542" s="1" t="str">
        <f>HYPERLINK("https://klocwork.india.ti.com:443/review/insight-review.html#issuedetails_goto:problemid=120323,project=MCU_PLUS_SDK_AM263X,searchquery=taxonomy:'C and C++' build:Build_Apr_13_2023_11_11_AM grouping:off ","KW Issue Link")</f>
        <v>KW Issue Link</v>
      </c>
      <c r="O1542" s="1" t="s">
        <v>291</v>
      </c>
    </row>
    <row r="1543" spans="1:15" ht="75" x14ac:dyDescent="0.25">
      <c r="A1543" s="1" t="s">
        <v>1257</v>
      </c>
      <c r="B1543" s="1"/>
      <c r="C1543" s="1" t="s">
        <v>519</v>
      </c>
      <c r="D1543" s="1">
        <v>120324</v>
      </c>
      <c r="E1543" s="1">
        <v>276</v>
      </c>
      <c r="F1543" s="1" t="s">
        <v>2323</v>
      </c>
      <c r="G1543" s="1" t="s">
        <v>521</v>
      </c>
      <c r="H1543" s="1" t="s">
        <v>141</v>
      </c>
      <c r="I1543" s="1" t="s">
        <v>65</v>
      </c>
      <c r="J1543" s="1">
        <v>3</v>
      </c>
      <c r="K1543" s="1" t="s">
        <v>142</v>
      </c>
      <c r="L1543" s="1" t="s">
        <v>153</v>
      </c>
      <c r="M1543" s="1" t="s">
        <v>1256</v>
      </c>
      <c r="N1543" s="1" t="str">
        <f>HYPERLINK("https://klocwork.india.ti.com:443/review/insight-review.html#issuedetails_goto:problemid=120324,project=MCU_PLUS_SDK_AM263X,searchquery=taxonomy:'C and C++' build:Build_Apr_13_2023_11_11_AM grouping:off ","KW Issue Link")</f>
        <v>KW Issue Link</v>
      </c>
      <c r="O1543" s="1" t="s">
        <v>291</v>
      </c>
    </row>
    <row r="1544" spans="1:15" ht="75" x14ac:dyDescent="0.25">
      <c r="A1544" s="1" t="s">
        <v>1257</v>
      </c>
      <c r="B1544" s="1"/>
      <c r="C1544" s="1" t="s">
        <v>519</v>
      </c>
      <c r="D1544" s="1">
        <v>120328</v>
      </c>
      <c r="E1544" s="1">
        <v>439</v>
      </c>
      <c r="F1544" s="1" t="s">
        <v>2324</v>
      </c>
      <c r="G1544" s="1" t="s">
        <v>525</v>
      </c>
      <c r="H1544" s="1" t="s">
        <v>141</v>
      </c>
      <c r="I1544" s="1" t="s">
        <v>65</v>
      </c>
      <c r="J1544" s="1">
        <v>3</v>
      </c>
      <c r="K1544" s="1" t="s">
        <v>142</v>
      </c>
      <c r="L1544" s="1" t="s">
        <v>153</v>
      </c>
      <c r="M1544" s="1" t="s">
        <v>1256</v>
      </c>
      <c r="N1544" s="1" t="str">
        <f>HYPERLINK("https://klocwork.india.ti.com:443/review/insight-review.html#issuedetails_goto:problemid=120328,project=MCU_PLUS_SDK_AM263X,searchquery=taxonomy:'C and C++' build:Build_Apr_13_2023_11_11_AM grouping:off ","KW Issue Link")</f>
        <v>KW Issue Link</v>
      </c>
      <c r="O1544" s="1" t="s">
        <v>291</v>
      </c>
    </row>
    <row r="1545" spans="1:15" ht="75" x14ac:dyDescent="0.25">
      <c r="A1545" s="1" t="s">
        <v>1257</v>
      </c>
      <c r="B1545" s="1"/>
      <c r="C1545" s="1" t="s">
        <v>519</v>
      </c>
      <c r="D1545" s="1">
        <v>120329</v>
      </c>
      <c r="E1545" s="1">
        <v>456</v>
      </c>
      <c r="F1545" s="1" t="s">
        <v>2325</v>
      </c>
      <c r="G1545" s="1" t="s">
        <v>2326</v>
      </c>
      <c r="H1545" s="1" t="s">
        <v>141</v>
      </c>
      <c r="I1545" s="1" t="s">
        <v>65</v>
      </c>
      <c r="J1545" s="1">
        <v>3</v>
      </c>
      <c r="K1545" s="1" t="s">
        <v>142</v>
      </c>
      <c r="L1545" s="1" t="s">
        <v>153</v>
      </c>
      <c r="M1545" s="1" t="s">
        <v>1256</v>
      </c>
      <c r="N1545" s="1" t="str">
        <f>HYPERLINK("https://klocwork.india.ti.com:443/review/insight-review.html#issuedetails_goto:problemid=120329,project=MCU_PLUS_SDK_AM263X,searchquery=taxonomy:'C and C++' build:Build_Apr_13_2023_11_11_AM grouping:off ","KW Issue Link")</f>
        <v>KW Issue Link</v>
      </c>
      <c r="O1545" s="1" t="s">
        <v>291</v>
      </c>
    </row>
    <row r="1546" spans="1:15" ht="75" x14ac:dyDescent="0.25">
      <c r="A1546" s="1" t="s">
        <v>1257</v>
      </c>
      <c r="B1546" s="1"/>
      <c r="C1546" s="1" t="s">
        <v>519</v>
      </c>
      <c r="D1546" s="1">
        <v>120331</v>
      </c>
      <c r="E1546" s="1">
        <v>592</v>
      </c>
      <c r="F1546" s="1" t="s">
        <v>2327</v>
      </c>
      <c r="G1546" s="1" t="s">
        <v>2328</v>
      </c>
      <c r="H1546" s="1" t="s">
        <v>141</v>
      </c>
      <c r="I1546" s="1" t="s">
        <v>65</v>
      </c>
      <c r="J1546" s="1">
        <v>3</v>
      </c>
      <c r="K1546" s="1" t="s">
        <v>142</v>
      </c>
      <c r="L1546" s="1" t="s">
        <v>153</v>
      </c>
      <c r="M1546" s="1" t="s">
        <v>1256</v>
      </c>
      <c r="N1546" s="1" t="str">
        <f>HYPERLINK("https://klocwork.india.ti.com:443/review/insight-review.html#issuedetails_goto:problemid=120331,project=MCU_PLUS_SDK_AM263X,searchquery=taxonomy:'C and C++' build:Build_Apr_13_2023_11_11_AM grouping:off ","KW Issue Link")</f>
        <v>KW Issue Link</v>
      </c>
      <c r="O1546" s="1" t="s">
        <v>291</v>
      </c>
    </row>
    <row r="1547" spans="1:15" ht="75" x14ac:dyDescent="0.25">
      <c r="A1547" s="1" t="s">
        <v>1257</v>
      </c>
      <c r="B1547" s="1"/>
      <c r="C1547" s="1" t="s">
        <v>519</v>
      </c>
      <c r="D1547" s="1">
        <v>120333</v>
      </c>
      <c r="E1547" s="1">
        <v>758</v>
      </c>
      <c r="F1547" s="1" t="s">
        <v>2329</v>
      </c>
      <c r="G1547" s="1" t="s">
        <v>531</v>
      </c>
      <c r="H1547" s="1" t="s">
        <v>141</v>
      </c>
      <c r="I1547" s="1" t="s">
        <v>65</v>
      </c>
      <c r="J1547" s="1">
        <v>3</v>
      </c>
      <c r="K1547" s="1" t="s">
        <v>142</v>
      </c>
      <c r="L1547" s="1" t="s">
        <v>153</v>
      </c>
      <c r="M1547" s="1" t="s">
        <v>1256</v>
      </c>
      <c r="N1547" s="1" t="str">
        <f>HYPERLINK("https://klocwork.india.ti.com:443/review/insight-review.html#issuedetails_goto:problemid=120333,project=MCU_PLUS_SDK_AM263X,searchquery=taxonomy:'C and C++' build:Build_Apr_13_2023_11_11_AM grouping:off ","KW Issue Link")</f>
        <v>KW Issue Link</v>
      </c>
      <c r="O1547" s="1" t="s">
        <v>291</v>
      </c>
    </row>
    <row r="1548" spans="1:15" ht="75" x14ac:dyDescent="0.25">
      <c r="A1548" s="1" t="s">
        <v>1266</v>
      </c>
      <c r="B1548" s="1"/>
      <c r="C1548" s="1" t="s">
        <v>519</v>
      </c>
      <c r="D1548" s="1">
        <v>120334</v>
      </c>
      <c r="E1548" s="1">
        <v>276</v>
      </c>
      <c r="F1548" s="1" t="s">
        <v>2330</v>
      </c>
      <c r="G1548" s="1" t="s">
        <v>521</v>
      </c>
      <c r="H1548" s="1" t="s">
        <v>141</v>
      </c>
      <c r="I1548" s="1" t="s">
        <v>65</v>
      </c>
      <c r="J1548" s="1">
        <v>3</v>
      </c>
      <c r="K1548" s="1" t="s">
        <v>142</v>
      </c>
      <c r="L1548" s="1" t="s">
        <v>153</v>
      </c>
      <c r="M1548" s="1" t="s">
        <v>1256</v>
      </c>
      <c r="N1548" s="1" t="str">
        <f>HYPERLINK("https://klocwork.india.ti.com:443/review/insight-review.html#issuedetails_goto:problemid=120334,project=MCU_PLUS_SDK_AM263X,searchquery=taxonomy:'C and C++' build:Build_Apr_13_2023_11_11_AM grouping:off ","KW Issue Link")</f>
        <v>KW Issue Link</v>
      </c>
      <c r="O1548" s="1" t="s">
        <v>291</v>
      </c>
    </row>
    <row r="1549" spans="1:15" ht="75" x14ac:dyDescent="0.25">
      <c r="A1549" s="1" t="s">
        <v>1266</v>
      </c>
      <c r="B1549" s="1"/>
      <c r="C1549" s="1" t="s">
        <v>519</v>
      </c>
      <c r="D1549" s="1">
        <v>120335</v>
      </c>
      <c r="E1549" s="1">
        <v>387</v>
      </c>
      <c r="F1549" s="1" t="s">
        <v>2331</v>
      </c>
      <c r="G1549" s="1" t="s">
        <v>523</v>
      </c>
      <c r="H1549" s="1" t="s">
        <v>141</v>
      </c>
      <c r="I1549" s="1" t="s">
        <v>65</v>
      </c>
      <c r="J1549" s="1">
        <v>3</v>
      </c>
      <c r="K1549" s="1" t="s">
        <v>142</v>
      </c>
      <c r="L1549" s="1" t="s">
        <v>153</v>
      </c>
      <c r="M1549" s="1" t="s">
        <v>1256</v>
      </c>
      <c r="N1549" s="1" t="str">
        <f>HYPERLINK("https://klocwork.india.ti.com:443/review/insight-review.html#issuedetails_goto:problemid=120335,project=MCU_PLUS_SDK_AM263X,searchquery=taxonomy:'C and C++' build:Build_Apr_13_2023_11_11_AM grouping:off ","KW Issue Link")</f>
        <v>KW Issue Link</v>
      </c>
      <c r="O1549" s="1" t="s">
        <v>291</v>
      </c>
    </row>
    <row r="1550" spans="1:15" ht="75" x14ac:dyDescent="0.25">
      <c r="A1550" s="1" t="s">
        <v>1266</v>
      </c>
      <c r="B1550" s="1"/>
      <c r="C1550" s="1" t="s">
        <v>519</v>
      </c>
      <c r="D1550" s="1">
        <v>120336</v>
      </c>
      <c r="E1550" s="1">
        <v>456</v>
      </c>
      <c r="F1550" s="1" t="s">
        <v>2332</v>
      </c>
      <c r="G1550" s="1" t="s">
        <v>2326</v>
      </c>
      <c r="H1550" s="1" t="s">
        <v>141</v>
      </c>
      <c r="I1550" s="1" t="s">
        <v>65</v>
      </c>
      <c r="J1550" s="1">
        <v>3</v>
      </c>
      <c r="K1550" s="1" t="s">
        <v>142</v>
      </c>
      <c r="L1550" s="1" t="s">
        <v>153</v>
      </c>
      <c r="M1550" s="1" t="s">
        <v>1256</v>
      </c>
      <c r="N1550" s="1" t="str">
        <f>HYPERLINK("https://klocwork.india.ti.com:443/review/insight-review.html#issuedetails_goto:problemid=120336,project=MCU_PLUS_SDK_AM263X,searchquery=taxonomy:'C and C++' build:Build_Apr_13_2023_11_11_AM grouping:off ","KW Issue Link")</f>
        <v>KW Issue Link</v>
      </c>
      <c r="O1550" s="1" t="s">
        <v>291</v>
      </c>
    </row>
    <row r="1551" spans="1:15" ht="75" x14ac:dyDescent="0.25">
      <c r="A1551" s="1" t="s">
        <v>1266</v>
      </c>
      <c r="B1551" s="1"/>
      <c r="C1551" s="1" t="s">
        <v>519</v>
      </c>
      <c r="D1551" s="1">
        <v>120337</v>
      </c>
      <c r="E1551" s="1">
        <v>592</v>
      </c>
      <c r="F1551" s="1" t="s">
        <v>2333</v>
      </c>
      <c r="G1551" s="1" t="s">
        <v>2328</v>
      </c>
      <c r="H1551" s="1" t="s">
        <v>141</v>
      </c>
      <c r="I1551" s="1" t="s">
        <v>65</v>
      </c>
      <c r="J1551" s="1">
        <v>3</v>
      </c>
      <c r="K1551" s="1" t="s">
        <v>142</v>
      </c>
      <c r="L1551" s="1" t="s">
        <v>153</v>
      </c>
      <c r="M1551" s="1" t="s">
        <v>1256</v>
      </c>
      <c r="N1551" s="1" t="str">
        <f>HYPERLINK("https://klocwork.india.ti.com:443/review/insight-review.html#issuedetails_goto:problemid=120337,project=MCU_PLUS_SDK_AM263X,searchquery=taxonomy:'C and C++' build:Build_Apr_13_2023_11_11_AM grouping:off ","KW Issue Link")</f>
        <v>KW Issue Link</v>
      </c>
      <c r="O1551" s="1" t="s">
        <v>291</v>
      </c>
    </row>
    <row r="1552" spans="1:15" ht="75" x14ac:dyDescent="0.25">
      <c r="A1552" s="1" t="s">
        <v>1266</v>
      </c>
      <c r="B1552" s="1"/>
      <c r="C1552" s="1" t="s">
        <v>519</v>
      </c>
      <c r="D1552" s="1">
        <v>120339</v>
      </c>
      <c r="E1552" s="1">
        <v>758</v>
      </c>
      <c r="F1552" s="1" t="s">
        <v>2334</v>
      </c>
      <c r="G1552" s="1" t="s">
        <v>531</v>
      </c>
      <c r="H1552" s="1" t="s">
        <v>141</v>
      </c>
      <c r="I1552" s="1" t="s">
        <v>65</v>
      </c>
      <c r="J1552" s="1">
        <v>3</v>
      </c>
      <c r="K1552" s="1" t="s">
        <v>142</v>
      </c>
      <c r="L1552" s="1" t="s">
        <v>153</v>
      </c>
      <c r="M1552" s="1" t="s">
        <v>1256</v>
      </c>
      <c r="N1552" s="1" t="str">
        <f>HYPERLINK("https://klocwork.india.ti.com:443/review/insight-review.html#issuedetails_goto:problemid=120339,project=MCU_PLUS_SDK_AM263X,searchquery=taxonomy:'C and C++' build:Build_Apr_13_2023_11_11_AM grouping:off ","KW Issue Link")</f>
        <v>KW Issue Link</v>
      </c>
      <c r="O1552" s="1" t="s">
        <v>291</v>
      </c>
    </row>
    <row r="1553" spans="1:15" ht="75" x14ac:dyDescent="0.25">
      <c r="A1553" s="1" t="s">
        <v>1268</v>
      </c>
      <c r="B1553" s="1"/>
      <c r="C1553" s="1" t="s">
        <v>519</v>
      </c>
      <c r="D1553" s="1">
        <v>120340</v>
      </c>
      <c r="E1553" s="1">
        <v>276</v>
      </c>
      <c r="F1553" s="1" t="s">
        <v>2335</v>
      </c>
      <c r="G1553" s="1" t="s">
        <v>521</v>
      </c>
      <c r="H1553" s="1" t="s">
        <v>141</v>
      </c>
      <c r="I1553" s="1" t="s">
        <v>65</v>
      </c>
      <c r="J1553" s="1">
        <v>3</v>
      </c>
      <c r="K1553" s="1" t="s">
        <v>142</v>
      </c>
      <c r="L1553" s="1" t="s">
        <v>153</v>
      </c>
      <c r="M1553" s="1" t="s">
        <v>1256</v>
      </c>
      <c r="N1553" s="1" t="str">
        <f>HYPERLINK("https://klocwork.india.ti.com:443/review/insight-review.html#issuedetails_goto:problemid=120340,project=MCU_PLUS_SDK_AM263X,searchquery=taxonomy:'C and C++' build:Build_Apr_13_2023_11_11_AM grouping:off ","KW Issue Link")</f>
        <v>KW Issue Link</v>
      </c>
      <c r="O1553" s="1" t="s">
        <v>291</v>
      </c>
    </row>
    <row r="1554" spans="1:15" ht="75" x14ac:dyDescent="0.25">
      <c r="A1554" s="1" t="s">
        <v>1268</v>
      </c>
      <c r="B1554" s="1"/>
      <c r="C1554" s="1" t="s">
        <v>519</v>
      </c>
      <c r="D1554" s="1">
        <v>120341</v>
      </c>
      <c r="E1554" s="1">
        <v>387</v>
      </c>
      <c r="F1554" s="1" t="s">
        <v>2336</v>
      </c>
      <c r="G1554" s="1" t="s">
        <v>523</v>
      </c>
      <c r="H1554" s="1" t="s">
        <v>141</v>
      </c>
      <c r="I1554" s="1" t="s">
        <v>65</v>
      </c>
      <c r="J1554" s="1">
        <v>3</v>
      </c>
      <c r="K1554" s="1" t="s">
        <v>142</v>
      </c>
      <c r="L1554" s="1" t="s">
        <v>153</v>
      </c>
      <c r="M1554" s="1" t="s">
        <v>1256</v>
      </c>
      <c r="N1554" s="1" t="str">
        <f>HYPERLINK("https://klocwork.india.ti.com:443/review/insight-review.html#issuedetails_goto:problemid=120341,project=MCU_PLUS_SDK_AM263X,searchquery=taxonomy:'C and C++' build:Build_Apr_13_2023_11_11_AM grouping:off ","KW Issue Link")</f>
        <v>KW Issue Link</v>
      </c>
      <c r="O1554" s="1" t="s">
        <v>291</v>
      </c>
    </row>
    <row r="1555" spans="1:15" ht="75" x14ac:dyDescent="0.25">
      <c r="A1555" s="1" t="s">
        <v>1268</v>
      </c>
      <c r="B1555" s="1"/>
      <c r="C1555" s="1" t="s">
        <v>519</v>
      </c>
      <c r="D1555" s="1">
        <v>120342</v>
      </c>
      <c r="E1555" s="1">
        <v>456</v>
      </c>
      <c r="F1555" s="1" t="s">
        <v>2337</v>
      </c>
      <c r="G1555" s="1" t="s">
        <v>2326</v>
      </c>
      <c r="H1555" s="1" t="s">
        <v>141</v>
      </c>
      <c r="I1555" s="1" t="s">
        <v>65</v>
      </c>
      <c r="J1555" s="1">
        <v>3</v>
      </c>
      <c r="K1555" s="1" t="s">
        <v>142</v>
      </c>
      <c r="L1555" s="1" t="s">
        <v>153</v>
      </c>
      <c r="M1555" s="1" t="s">
        <v>1256</v>
      </c>
      <c r="N1555" s="1" t="str">
        <f>HYPERLINK("https://klocwork.india.ti.com:443/review/insight-review.html#issuedetails_goto:problemid=120342,project=MCU_PLUS_SDK_AM263X,searchquery=taxonomy:'C and C++' build:Build_Apr_13_2023_11_11_AM grouping:off ","KW Issue Link")</f>
        <v>KW Issue Link</v>
      </c>
      <c r="O1555" s="1" t="s">
        <v>291</v>
      </c>
    </row>
    <row r="1556" spans="1:15" ht="75" x14ac:dyDescent="0.25">
      <c r="A1556" s="1" t="s">
        <v>1268</v>
      </c>
      <c r="B1556" s="1"/>
      <c r="C1556" s="1" t="s">
        <v>519</v>
      </c>
      <c r="D1556" s="1">
        <v>120343</v>
      </c>
      <c r="E1556" s="1">
        <v>592</v>
      </c>
      <c r="F1556" s="1" t="s">
        <v>2338</v>
      </c>
      <c r="G1556" s="1" t="s">
        <v>2328</v>
      </c>
      <c r="H1556" s="1" t="s">
        <v>141</v>
      </c>
      <c r="I1556" s="1" t="s">
        <v>65</v>
      </c>
      <c r="J1556" s="1">
        <v>3</v>
      </c>
      <c r="K1556" s="1" t="s">
        <v>142</v>
      </c>
      <c r="L1556" s="1" t="s">
        <v>153</v>
      </c>
      <c r="M1556" s="1" t="s">
        <v>1256</v>
      </c>
      <c r="N1556" s="1" t="str">
        <f>HYPERLINK("https://klocwork.india.ti.com:443/review/insight-review.html#issuedetails_goto:problemid=120343,project=MCU_PLUS_SDK_AM263X,searchquery=taxonomy:'C and C++' build:Build_Apr_13_2023_11_11_AM grouping:off ","KW Issue Link")</f>
        <v>KW Issue Link</v>
      </c>
      <c r="O1556" s="1" t="s">
        <v>291</v>
      </c>
    </row>
    <row r="1557" spans="1:15" ht="75" x14ac:dyDescent="0.25">
      <c r="A1557" s="1" t="s">
        <v>1252</v>
      </c>
      <c r="B1557" s="1"/>
      <c r="C1557" s="1" t="s">
        <v>519</v>
      </c>
      <c r="D1557" s="1">
        <v>120345</v>
      </c>
      <c r="E1557" s="1">
        <v>387</v>
      </c>
      <c r="F1557" s="1" t="s">
        <v>2339</v>
      </c>
      <c r="G1557" s="1" t="s">
        <v>523</v>
      </c>
      <c r="H1557" s="1" t="s">
        <v>141</v>
      </c>
      <c r="I1557" s="1" t="s">
        <v>65</v>
      </c>
      <c r="J1557" s="1">
        <v>3</v>
      </c>
      <c r="K1557" s="1" t="s">
        <v>142</v>
      </c>
      <c r="L1557" s="1" t="s">
        <v>153</v>
      </c>
      <c r="M1557" s="1" t="s">
        <v>1256</v>
      </c>
      <c r="N1557" s="1" t="str">
        <f>HYPERLINK("https://klocwork.india.ti.com:443/review/insight-review.html#issuedetails_goto:problemid=120345,project=MCU_PLUS_SDK_AM263X,searchquery=taxonomy:'C and C++' build:Build_Apr_13_2023_11_11_AM grouping:off ","KW Issue Link")</f>
        <v>KW Issue Link</v>
      </c>
      <c r="O1557" s="1" t="s">
        <v>291</v>
      </c>
    </row>
    <row r="1558" spans="1:15" ht="75" x14ac:dyDescent="0.25">
      <c r="A1558" s="1" t="s">
        <v>1252</v>
      </c>
      <c r="B1558" s="1"/>
      <c r="C1558" s="1" t="s">
        <v>519</v>
      </c>
      <c r="D1558" s="1">
        <v>120346</v>
      </c>
      <c r="E1558" s="1">
        <v>684</v>
      </c>
      <c r="F1558" s="1" t="s">
        <v>2340</v>
      </c>
      <c r="G1558" s="1" t="s">
        <v>529</v>
      </c>
      <c r="H1558" s="1" t="s">
        <v>141</v>
      </c>
      <c r="I1558" s="1" t="s">
        <v>65</v>
      </c>
      <c r="J1558" s="1">
        <v>3</v>
      </c>
      <c r="K1558" s="1" t="s">
        <v>142</v>
      </c>
      <c r="L1558" s="1" t="s">
        <v>153</v>
      </c>
      <c r="M1558" s="1" t="s">
        <v>1256</v>
      </c>
      <c r="N1558" s="1" t="str">
        <f>HYPERLINK("https://klocwork.india.ti.com:443/review/insight-review.html#issuedetails_goto:problemid=120346,project=MCU_PLUS_SDK_AM263X,searchquery=taxonomy:'C and C++' build:Build_Apr_13_2023_11_11_AM grouping:off ","KW Issue Link")</f>
        <v>KW Issue Link</v>
      </c>
      <c r="O1558" s="1" t="s">
        <v>291</v>
      </c>
    </row>
    <row r="1559" spans="1:15" ht="75" x14ac:dyDescent="0.25">
      <c r="A1559" s="1" t="s">
        <v>1252</v>
      </c>
      <c r="B1559" s="1"/>
      <c r="C1559" s="1" t="s">
        <v>2341</v>
      </c>
      <c r="D1559" s="1">
        <v>120347</v>
      </c>
      <c r="E1559" s="1">
        <v>35</v>
      </c>
      <c r="F1559" s="1" t="s">
        <v>2342</v>
      </c>
      <c r="G1559" s="1" t="s">
        <v>2343</v>
      </c>
      <c r="H1559" s="1" t="s">
        <v>141</v>
      </c>
      <c r="I1559" s="1" t="s">
        <v>65</v>
      </c>
      <c r="J1559" s="1">
        <v>3</v>
      </c>
      <c r="K1559" s="1" t="s">
        <v>142</v>
      </c>
      <c r="L1559" s="1" t="s">
        <v>153</v>
      </c>
      <c r="M1559" s="1" t="s">
        <v>1256</v>
      </c>
      <c r="N1559" s="1" t="str">
        <f>HYPERLINK("https://klocwork.india.ti.com:443/review/insight-review.html#issuedetails_goto:problemid=120347,project=MCU_PLUS_SDK_AM263X,searchquery=taxonomy:'C and C++' build:Build_Apr_13_2023_11_11_AM grouping:off ","KW Issue Link")</f>
        <v>KW Issue Link</v>
      </c>
      <c r="O1559" s="1" t="s">
        <v>353</v>
      </c>
    </row>
    <row r="1560" spans="1:15" ht="60" x14ac:dyDescent="0.25">
      <c r="A1560" s="1" t="s">
        <v>1257</v>
      </c>
      <c r="B1560" s="1"/>
      <c r="C1560" s="1" t="s">
        <v>2344</v>
      </c>
      <c r="D1560" s="1">
        <v>120348</v>
      </c>
      <c r="E1560" s="1">
        <v>2412</v>
      </c>
      <c r="F1560" s="1" t="s">
        <v>2345</v>
      </c>
      <c r="G1560" s="1" t="s">
        <v>2346</v>
      </c>
      <c r="H1560" s="1" t="s">
        <v>141</v>
      </c>
      <c r="I1560" s="1" t="s">
        <v>65</v>
      </c>
      <c r="J1560" s="1">
        <v>3</v>
      </c>
      <c r="K1560" s="1" t="s">
        <v>142</v>
      </c>
      <c r="L1560" s="1" t="s">
        <v>153</v>
      </c>
      <c r="M1560" s="1" t="s">
        <v>1256</v>
      </c>
      <c r="N1560" s="1" t="str">
        <f>HYPERLINK("https://klocwork.india.ti.com:443/review/insight-review.html#issuedetails_goto:problemid=120348,project=MCU_PLUS_SDK_AM263X,searchquery=taxonomy:'C and C++' build:Build_Apr_13_2023_11_11_AM grouping:off ","KW Issue Link")</f>
        <v>KW Issue Link</v>
      </c>
      <c r="O1560" s="1" t="s">
        <v>2347</v>
      </c>
    </row>
    <row r="1561" spans="1:15" ht="75" x14ac:dyDescent="0.25">
      <c r="A1561" s="1" t="s">
        <v>1257</v>
      </c>
      <c r="B1561" s="1"/>
      <c r="C1561" s="1" t="s">
        <v>2348</v>
      </c>
      <c r="D1561" s="1">
        <v>120349</v>
      </c>
      <c r="E1561" s="1">
        <v>109</v>
      </c>
      <c r="F1561" s="1" t="s">
        <v>2349</v>
      </c>
      <c r="G1561" s="1" t="s">
        <v>2350</v>
      </c>
      <c r="H1561" s="1" t="s">
        <v>141</v>
      </c>
      <c r="I1561" s="1" t="s">
        <v>65</v>
      </c>
      <c r="J1561" s="1">
        <v>3</v>
      </c>
      <c r="K1561" s="1" t="s">
        <v>142</v>
      </c>
      <c r="L1561" s="1" t="s">
        <v>153</v>
      </c>
      <c r="M1561" s="1" t="s">
        <v>1256</v>
      </c>
      <c r="N1561" s="1" t="str">
        <f>HYPERLINK("https://klocwork.india.ti.com:443/review/insight-review.html#issuedetails_goto:problemid=120349,project=MCU_PLUS_SDK_AM263X,searchquery=taxonomy:'C and C++' build:Build_Apr_13_2023_11_11_AM grouping:off ","KW Issue Link")</f>
        <v>KW Issue Link</v>
      </c>
      <c r="O1561" s="1" t="s">
        <v>254</v>
      </c>
    </row>
    <row r="1562" spans="1:15" ht="75" x14ac:dyDescent="0.25">
      <c r="A1562" s="1" t="s">
        <v>1257</v>
      </c>
      <c r="B1562" s="1"/>
      <c r="C1562" s="1" t="s">
        <v>2348</v>
      </c>
      <c r="D1562" s="1">
        <v>120350</v>
      </c>
      <c r="E1562" s="1">
        <v>245</v>
      </c>
      <c r="F1562" s="1" t="s">
        <v>2351</v>
      </c>
      <c r="G1562" s="1" t="s">
        <v>2352</v>
      </c>
      <c r="H1562" s="1" t="s">
        <v>141</v>
      </c>
      <c r="I1562" s="1" t="s">
        <v>65</v>
      </c>
      <c r="J1562" s="1">
        <v>3</v>
      </c>
      <c r="K1562" s="1" t="s">
        <v>142</v>
      </c>
      <c r="L1562" s="1" t="s">
        <v>153</v>
      </c>
      <c r="M1562" s="1" t="s">
        <v>1256</v>
      </c>
      <c r="N1562" s="1" t="str">
        <f>HYPERLINK("https://klocwork.india.ti.com:443/review/insight-review.html#issuedetails_goto:problemid=120350,project=MCU_PLUS_SDK_AM263X,searchquery=taxonomy:'C and C++' build:Build_Apr_13_2023_11_11_AM grouping:off ","KW Issue Link")</f>
        <v>KW Issue Link</v>
      </c>
      <c r="O1562" s="1" t="s">
        <v>254</v>
      </c>
    </row>
    <row r="1563" spans="1:15" ht="75" x14ac:dyDescent="0.25">
      <c r="A1563" s="1" t="s">
        <v>1266</v>
      </c>
      <c r="B1563" s="1"/>
      <c r="C1563" s="1" t="s">
        <v>2348</v>
      </c>
      <c r="D1563" s="1">
        <v>120352</v>
      </c>
      <c r="E1563" s="1">
        <v>245</v>
      </c>
      <c r="F1563" s="1" t="s">
        <v>2353</v>
      </c>
      <c r="G1563" s="1" t="s">
        <v>2352</v>
      </c>
      <c r="H1563" s="1" t="s">
        <v>141</v>
      </c>
      <c r="I1563" s="1" t="s">
        <v>65</v>
      </c>
      <c r="J1563" s="1">
        <v>3</v>
      </c>
      <c r="K1563" s="1" t="s">
        <v>142</v>
      </c>
      <c r="L1563" s="1" t="s">
        <v>153</v>
      </c>
      <c r="M1563" s="1" t="s">
        <v>1256</v>
      </c>
      <c r="N1563" s="1" t="str">
        <f>HYPERLINK("https://klocwork.india.ti.com:443/review/insight-review.html#issuedetails_goto:problemid=120352,project=MCU_PLUS_SDK_AM263X,searchquery=taxonomy:'C and C++' build:Build_Apr_13_2023_11_11_AM grouping:off ","KW Issue Link")</f>
        <v>KW Issue Link</v>
      </c>
      <c r="O1563" s="1" t="s">
        <v>254</v>
      </c>
    </row>
    <row r="1564" spans="1:15" ht="75" x14ac:dyDescent="0.25">
      <c r="A1564" s="1" t="s">
        <v>1268</v>
      </c>
      <c r="B1564" s="1"/>
      <c r="C1564" s="1" t="s">
        <v>2348</v>
      </c>
      <c r="D1564" s="1">
        <v>120354</v>
      </c>
      <c r="E1564" s="1">
        <v>245</v>
      </c>
      <c r="F1564" s="1" t="s">
        <v>2354</v>
      </c>
      <c r="G1564" s="1" t="s">
        <v>2352</v>
      </c>
      <c r="H1564" s="1" t="s">
        <v>141</v>
      </c>
      <c r="I1564" s="1" t="s">
        <v>65</v>
      </c>
      <c r="J1564" s="1">
        <v>3</v>
      </c>
      <c r="K1564" s="1" t="s">
        <v>142</v>
      </c>
      <c r="L1564" s="1" t="s">
        <v>153</v>
      </c>
      <c r="M1564" s="1" t="s">
        <v>1256</v>
      </c>
      <c r="N1564" s="1" t="str">
        <f>HYPERLINK("https://klocwork.india.ti.com:443/review/insight-review.html#issuedetails_goto:problemid=120354,project=MCU_PLUS_SDK_AM263X,searchquery=taxonomy:'C and C++' build:Build_Apr_13_2023_11_11_AM grouping:off ","KW Issue Link")</f>
        <v>KW Issue Link</v>
      </c>
      <c r="O1564" s="1" t="s">
        <v>254</v>
      </c>
    </row>
    <row r="1565" spans="1:15" ht="60" x14ac:dyDescent="0.25">
      <c r="A1565" s="1" t="s">
        <v>1266</v>
      </c>
      <c r="B1565" s="1"/>
      <c r="C1565" s="1" t="s">
        <v>252</v>
      </c>
      <c r="D1565" s="1">
        <v>120355</v>
      </c>
      <c r="E1565" s="1">
        <v>217</v>
      </c>
      <c r="F1565" s="1" t="s">
        <v>2355</v>
      </c>
      <c r="G1565" s="1" t="s">
        <v>255</v>
      </c>
      <c r="H1565" s="1" t="s">
        <v>141</v>
      </c>
      <c r="I1565" s="1" t="s">
        <v>65</v>
      </c>
      <c r="J1565" s="1">
        <v>3</v>
      </c>
      <c r="K1565" s="1" t="s">
        <v>142</v>
      </c>
      <c r="L1565" s="1" t="s">
        <v>153</v>
      </c>
      <c r="M1565" s="1" t="s">
        <v>1256</v>
      </c>
      <c r="N1565" s="1" t="str">
        <f>HYPERLINK("https://klocwork.india.ti.com:443/review/insight-review.html#issuedetails_goto:problemid=120355,project=MCU_PLUS_SDK_AM263X,searchquery=taxonomy:'C and C++' build:Build_Apr_13_2023_11_11_AM grouping:off ","KW Issue Link")</f>
        <v>KW Issue Link</v>
      </c>
      <c r="O1565" s="1" t="s">
        <v>254</v>
      </c>
    </row>
    <row r="1566" spans="1:15" ht="60" x14ac:dyDescent="0.25">
      <c r="A1566" s="1" t="s">
        <v>1266</v>
      </c>
      <c r="B1566" s="1"/>
      <c r="C1566" s="1" t="s">
        <v>252</v>
      </c>
      <c r="D1566" s="1">
        <v>120356</v>
      </c>
      <c r="E1566" s="1">
        <v>455</v>
      </c>
      <c r="F1566" s="1" t="s">
        <v>2356</v>
      </c>
      <c r="G1566" s="1" t="s">
        <v>1041</v>
      </c>
      <c r="H1566" s="1" t="s">
        <v>141</v>
      </c>
      <c r="I1566" s="1" t="s">
        <v>65</v>
      </c>
      <c r="J1566" s="1">
        <v>3</v>
      </c>
      <c r="K1566" s="1" t="s">
        <v>142</v>
      </c>
      <c r="L1566" s="1" t="s">
        <v>153</v>
      </c>
      <c r="M1566" s="1" t="s">
        <v>1256</v>
      </c>
      <c r="N1566" s="1" t="str">
        <f>HYPERLINK("https://klocwork.india.ti.com:443/review/insight-review.html#issuedetails_goto:problemid=120356,project=MCU_PLUS_SDK_AM263X,searchquery=taxonomy:'C and C++' build:Build_Apr_13_2023_11_11_AM grouping:off ","KW Issue Link")</f>
        <v>KW Issue Link</v>
      </c>
      <c r="O1566" s="1" t="s">
        <v>254</v>
      </c>
    </row>
    <row r="1567" spans="1:15" ht="60" x14ac:dyDescent="0.25">
      <c r="A1567" s="1" t="s">
        <v>1266</v>
      </c>
      <c r="B1567" s="1"/>
      <c r="C1567" s="1" t="s">
        <v>252</v>
      </c>
      <c r="D1567" s="1">
        <v>120357</v>
      </c>
      <c r="E1567" s="1">
        <v>826</v>
      </c>
      <c r="F1567" s="1" t="s">
        <v>2357</v>
      </c>
      <c r="G1567" s="1" t="s">
        <v>2358</v>
      </c>
      <c r="H1567" s="1" t="s">
        <v>141</v>
      </c>
      <c r="I1567" s="1" t="s">
        <v>65</v>
      </c>
      <c r="J1567" s="1">
        <v>3</v>
      </c>
      <c r="K1567" s="1" t="s">
        <v>142</v>
      </c>
      <c r="L1567" s="1" t="s">
        <v>153</v>
      </c>
      <c r="M1567" s="1" t="s">
        <v>1256</v>
      </c>
      <c r="N1567" s="1" t="str">
        <f>HYPERLINK("https://klocwork.india.ti.com:443/review/insight-review.html#issuedetails_goto:problemid=120357,project=MCU_PLUS_SDK_AM263X,searchquery=taxonomy:'C and C++' build:Build_Apr_13_2023_11_11_AM grouping:off ","KW Issue Link")</f>
        <v>KW Issue Link</v>
      </c>
      <c r="O1567" s="1" t="s">
        <v>254</v>
      </c>
    </row>
    <row r="1568" spans="1:15" ht="60" x14ac:dyDescent="0.25">
      <c r="A1568" s="1" t="s">
        <v>1268</v>
      </c>
      <c r="B1568" s="1"/>
      <c r="C1568" s="1" t="s">
        <v>252</v>
      </c>
      <c r="D1568" s="1">
        <v>120360</v>
      </c>
      <c r="E1568" s="1">
        <v>217</v>
      </c>
      <c r="F1568" s="1" t="s">
        <v>2359</v>
      </c>
      <c r="G1568" s="1" t="s">
        <v>255</v>
      </c>
      <c r="H1568" s="1" t="s">
        <v>141</v>
      </c>
      <c r="I1568" s="1" t="s">
        <v>65</v>
      </c>
      <c r="J1568" s="1">
        <v>3</v>
      </c>
      <c r="K1568" s="1" t="s">
        <v>142</v>
      </c>
      <c r="L1568" s="1" t="s">
        <v>153</v>
      </c>
      <c r="M1568" s="1" t="s">
        <v>1256</v>
      </c>
      <c r="N1568" s="1" t="str">
        <f>HYPERLINK("https://klocwork.india.ti.com:443/review/insight-review.html#issuedetails_goto:problemid=120360,project=MCU_PLUS_SDK_AM263X,searchquery=taxonomy:'C and C++' build:Build_Apr_13_2023_11_11_AM grouping:off ","KW Issue Link")</f>
        <v>KW Issue Link</v>
      </c>
      <c r="O1568" s="1" t="s">
        <v>254</v>
      </c>
    </row>
    <row r="1569" spans="1:15" ht="60" x14ac:dyDescent="0.25">
      <c r="A1569" s="1" t="s">
        <v>1268</v>
      </c>
      <c r="B1569" s="1"/>
      <c r="C1569" s="1" t="s">
        <v>252</v>
      </c>
      <c r="D1569" s="1">
        <v>120361</v>
      </c>
      <c r="E1569" s="1">
        <v>455</v>
      </c>
      <c r="F1569" s="1" t="s">
        <v>2360</v>
      </c>
      <c r="G1569" s="1" t="s">
        <v>1041</v>
      </c>
      <c r="H1569" s="1" t="s">
        <v>141</v>
      </c>
      <c r="I1569" s="1" t="s">
        <v>65</v>
      </c>
      <c r="J1569" s="1">
        <v>3</v>
      </c>
      <c r="K1569" s="1" t="s">
        <v>142</v>
      </c>
      <c r="L1569" s="1" t="s">
        <v>153</v>
      </c>
      <c r="M1569" s="1" t="s">
        <v>1256</v>
      </c>
      <c r="N1569" s="1" t="str">
        <f>HYPERLINK("https://klocwork.india.ti.com:443/review/insight-review.html#issuedetails_goto:problemid=120361,project=MCU_PLUS_SDK_AM263X,searchquery=taxonomy:'C and C++' build:Build_Apr_13_2023_11_11_AM grouping:off ","KW Issue Link")</f>
        <v>KW Issue Link</v>
      </c>
      <c r="O1569" s="1" t="s">
        <v>254</v>
      </c>
    </row>
    <row r="1570" spans="1:15" ht="60" x14ac:dyDescent="0.25">
      <c r="A1570" s="1" t="s">
        <v>1268</v>
      </c>
      <c r="B1570" s="1"/>
      <c r="C1570" s="1" t="s">
        <v>252</v>
      </c>
      <c r="D1570" s="1">
        <v>120363</v>
      </c>
      <c r="E1570" s="1">
        <v>826</v>
      </c>
      <c r="F1570" s="1" t="s">
        <v>2361</v>
      </c>
      <c r="G1570" s="1" t="s">
        <v>2358</v>
      </c>
      <c r="H1570" s="1" t="s">
        <v>141</v>
      </c>
      <c r="I1570" s="1" t="s">
        <v>65</v>
      </c>
      <c r="J1570" s="1">
        <v>3</v>
      </c>
      <c r="K1570" s="1" t="s">
        <v>142</v>
      </c>
      <c r="L1570" s="1" t="s">
        <v>153</v>
      </c>
      <c r="M1570" s="1" t="s">
        <v>1256</v>
      </c>
      <c r="N1570" s="1" t="str">
        <f>HYPERLINK("https://klocwork.india.ti.com:443/review/insight-review.html#issuedetails_goto:problemid=120363,project=MCU_PLUS_SDK_AM263X,searchquery=taxonomy:'C and C++' build:Build_Apr_13_2023_11_11_AM grouping:off ","KW Issue Link")</f>
        <v>KW Issue Link</v>
      </c>
      <c r="O1570" s="1" t="s">
        <v>254</v>
      </c>
    </row>
    <row r="1571" spans="1:15" ht="60" x14ac:dyDescent="0.25">
      <c r="A1571" s="1" t="s">
        <v>1257</v>
      </c>
      <c r="B1571" s="1"/>
      <c r="C1571" s="1" t="s">
        <v>252</v>
      </c>
      <c r="D1571" s="1">
        <v>120366</v>
      </c>
      <c r="E1571" s="1">
        <v>455</v>
      </c>
      <c r="F1571" s="1" t="s">
        <v>2362</v>
      </c>
      <c r="G1571" s="1" t="s">
        <v>1041</v>
      </c>
      <c r="H1571" s="1" t="s">
        <v>141</v>
      </c>
      <c r="I1571" s="1" t="s">
        <v>65</v>
      </c>
      <c r="J1571" s="1">
        <v>3</v>
      </c>
      <c r="K1571" s="1" t="s">
        <v>142</v>
      </c>
      <c r="L1571" s="1" t="s">
        <v>153</v>
      </c>
      <c r="M1571" s="1" t="s">
        <v>1256</v>
      </c>
      <c r="N1571" s="1" t="str">
        <f>HYPERLINK("https://klocwork.india.ti.com:443/review/insight-review.html#issuedetails_goto:problemid=120366,project=MCU_PLUS_SDK_AM263X,searchquery=taxonomy:'C and C++' build:Build_Apr_13_2023_11_11_AM grouping:off ","KW Issue Link")</f>
        <v>KW Issue Link</v>
      </c>
      <c r="O1571" s="1" t="s">
        <v>254</v>
      </c>
    </row>
    <row r="1572" spans="1:15" ht="60" x14ac:dyDescent="0.25">
      <c r="A1572" s="1" t="s">
        <v>1257</v>
      </c>
      <c r="B1572" s="1"/>
      <c r="C1572" s="1" t="s">
        <v>252</v>
      </c>
      <c r="D1572" s="1">
        <v>120368</v>
      </c>
      <c r="E1572" s="1">
        <v>826</v>
      </c>
      <c r="F1572" s="1" t="s">
        <v>2363</v>
      </c>
      <c r="G1572" s="1" t="s">
        <v>2358</v>
      </c>
      <c r="H1572" s="1" t="s">
        <v>141</v>
      </c>
      <c r="I1572" s="1" t="s">
        <v>65</v>
      </c>
      <c r="J1572" s="1">
        <v>3</v>
      </c>
      <c r="K1572" s="1" t="s">
        <v>142</v>
      </c>
      <c r="L1572" s="1" t="s">
        <v>153</v>
      </c>
      <c r="M1572" s="1" t="s">
        <v>1256</v>
      </c>
      <c r="N1572" s="1" t="str">
        <f>HYPERLINK("https://klocwork.india.ti.com:443/review/insight-review.html#issuedetails_goto:problemid=120368,project=MCU_PLUS_SDK_AM263X,searchquery=taxonomy:'C and C++' build:Build_Apr_13_2023_11_11_AM grouping:off ","KW Issue Link")</f>
        <v>KW Issue Link</v>
      </c>
      <c r="O1572" s="1" t="s">
        <v>254</v>
      </c>
    </row>
    <row r="1573" spans="1:15" ht="60" x14ac:dyDescent="0.25">
      <c r="A1573" s="1" t="s">
        <v>1257</v>
      </c>
      <c r="B1573" s="1"/>
      <c r="C1573" s="1" t="s">
        <v>252</v>
      </c>
      <c r="D1573" s="1">
        <v>120372</v>
      </c>
      <c r="E1573" s="1">
        <v>1541</v>
      </c>
      <c r="F1573" s="1" t="s">
        <v>2364</v>
      </c>
      <c r="G1573" s="1" t="s">
        <v>2365</v>
      </c>
      <c r="H1573" s="1" t="s">
        <v>141</v>
      </c>
      <c r="I1573" s="1" t="s">
        <v>65</v>
      </c>
      <c r="J1573" s="1">
        <v>3</v>
      </c>
      <c r="K1573" s="1" t="s">
        <v>142</v>
      </c>
      <c r="L1573" s="1" t="s">
        <v>153</v>
      </c>
      <c r="M1573" s="1" t="s">
        <v>1256</v>
      </c>
      <c r="N1573" s="1" t="str">
        <f>HYPERLINK("https://klocwork.india.ti.com:443/review/insight-review.html#issuedetails_goto:problemid=120372,project=MCU_PLUS_SDK_AM263X,searchquery=taxonomy:'C and C++' build:Build_Apr_13_2023_11_11_AM grouping:off ","KW Issue Link")</f>
        <v>KW Issue Link</v>
      </c>
      <c r="O1573" s="1" t="s">
        <v>254</v>
      </c>
    </row>
    <row r="1574" spans="1:15" ht="60" x14ac:dyDescent="0.25">
      <c r="A1574" s="1" t="s">
        <v>1257</v>
      </c>
      <c r="B1574" s="1"/>
      <c r="C1574" s="1" t="s">
        <v>534</v>
      </c>
      <c r="D1574" s="1">
        <v>120373</v>
      </c>
      <c r="E1574" s="1">
        <v>192</v>
      </c>
      <c r="F1574" s="1" t="s">
        <v>2366</v>
      </c>
      <c r="G1574" s="1" t="s">
        <v>2367</v>
      </c>
      <c r="H1574" s="1" t="s">
        <v>141</v>
      </c>
      <c r="I1574" s="1" t="s">
        <v>65</v>
      </c>
      <c r="J1574" s="1">
        <v>3</v>
      </c>
      <c r="K1574" s="1" t="s">
        <v>142</v>
      </c>
      <c r="L1574" s="1" t="s">
        <v>153</v>
      </c>
      <c r="M1574" s="1" t="s">
        <v>1256</v>
      </c>
      <c r="N1574" s="1" t="str">
        <f>HYPERLINK("https://klocwork.india.ti.com:443/review/insight-review.html#issuedetails_goto:problemid=120373,project=MCU_PLUS_SDK_AM263X,searchquery=taxonomy:'C and C++' build:Build_Apr_13_2023_11_11_AM grouping:off ","KW Issue Link")</f>
        <v>KW Issue Link</v>
      </c>
      <c r="O1574" s="1" t="s">
        <v>356</v>
      </c>
    </row>
    <row r="1575" spans="1:15" ht="60" x14ac:dyDescent="0.25">
      <c r="A1575" s="1" t="s">
        <v>1266</v>
      </c>
      <c r="B1575" s="1"/>
      <c r="C1575" s="1" t="s">
        <v>534</v>
      </c>
      <c r="D1575" s="1">
        <v>120374</v>
      </c>
      <c r="E1575" s="1">
        <v>192</v>
      </c>
      <c r="F1575" s="1" t="s">
        <v>2368</v>
      </c>
      <c r="G1575" s="1" t="s">
        <v>2367</v>
      </c>
      <c r="H1575" s="1" t="s">
        <v>141</v>
      </c>
      <c r="I1575" s="1" t="s">
        <v>65</v>
      </c>
      <c r="J1575" s="1">
        <v>3</v>
      </c>
      <c r="K1575" s="1" t="s">
        <v>142</v>
      </c>
      <c r="L1575" s="1" t="s">
        <v>153</v>
      </c>
      <c r="M1575" s="1" t="s">
        <v>1256</v>
      </c>
      <c r="N1575" s="1" t="str">
        <f>HYPERLINK("https://klocwork.india.ti.com:443/review/insight-review.html#issuedetails_goto:problemid=120374,project=MCU_PLUS_SDK_AM263X,searchquery=taxonomy:'C and C++' build:Build_Apr_13_2023_11_11_AM grouping:off ","KW Issue Link")</f>
        <v>KW Issue Link</v>
      </c>
      <c r="O1575" s="1" t="s">
        <v>356</v>
      </c>
    </row>
    <row r="1576" spans="1:15" ht="60" x14ac:dyDescent="0.25">
      <c r="A1576" s="1" t="s">
        <v>1268</v>
      </c>
      <c r="B1576" s="1"/>
      <c r="C1576" s="1" t="s">
        <v>534</v>
      </c>
      <c r="D1576" s="1">
        <v>120375</v>
      </c>
      <c r="E1576" s="1">
        <v>192</v>
      </c>
      <c r="F1576" s="1" t="s">
        <v>2369</v>
      </c>
      <c r="G1576" s="1" t="s">
        <v>2367</v>
      </c>
      <c r="H1576" s="1" t="s">
        <v>141</v>
      </c>
      <c r="I1576" s="1" t="s">
        <v>65</v>
      </c>
      <c r="J1576" s="1">
        <v>3</v>
      </c>
      <c r="K1576" s="1" t="s">
        <v>142</v>
      </c>
      <c r="L1576" s="1" t="s">
        <v>153</v>
      </c>
      <c r="M1576" s="1" t="s">
        <v>1256</v>
      </c>
      <c r="N1576" s="1" t="str">
        <f>HYPERLINK("https://klocwork.india.ti.com:443/review/insight-review.html#issuedetails_goto:problemid=120375,project=MCU_PLUS_SDK_AM263X,searchquery=taxonomy:'C and C++' build:Build_Apr_13_2023_11_11_AM grouping:off ","KW Issue Link")</f>
        <v>KW Issue Link</v>
      </c>
      <c r="O1576" s="1" t="s">
        <v>356</v>
      </c>
    </row>
    <row r="1577" spans="1:15" ht="60" x14ac:dyDescent="0.25">
      <c r="A1577" s="1" t="s">
        <v>1252</v>
      </c>
      <c r="B1577" s="1"/>
      <c r="C1577" s="1" t="s">
        <v>1149</v>
      </c>
      <c r="D1577" s="1">
        <v>120376</v>
      </c>
      <c r="E1577" s="1">
        <v>656</v>
      </c>
      <c r="F1577" s="1" t="s">
        <v>2370</v>
      </c>
      <c r="G1577" s="1" t="s">
        <v>2371</v>
      </c>
      <c r="H1577" s="1" t="s">
        <v>141</v>
      </c>
      <c r="I1577" s="1" t="s">
        <v>65</v>
      </c>
      <c r="J1577" s="1">
        <v>3</v>
      </c>
      <c r="K1577" s="1" t="s">
        <v>142</v>
      </c>
      <c r="L1577" s="1" t="s">
        <v>153</v>
      </c>
      <c r="M1577" s="1" t="s">
        <v>1256</v>
      </c>
      <c r="N1577" s="1" t="str">
        <f>HYPERLINK("https://klocwork.india.ti.com:443/review/insight-review.html#issuedetails_goto:problemid=120376,project=MCU_PLUS_SDK_AM263X,searchquery=taxonomy:'C and C++' build:Build_Apr_13_2023_11_11_AM grouping:off ","KW Issue Link")</f>
        <v>KW Issue Link</v>
      </c>
      <c r="O1577" s="1" t="s">
        <v>356</v>
      </c>
    </row>
    <row r="1578" spans="1:15" ht="60" x14ac:dyDescent="0.25">
      <c r="A1578" s="1" t="s">
        <v>1252</v>
      </c>
      <c r="B1578" s="1"/>
      <c r="C1578" s="1" t="s">
        <v>1149</v>
      </c>
      <c r="D1578" s="1">
        <v>120377</v>
      </c>
      <c r="E1578" s="1">
        <v>749</v>
      </c>
      <c r="F1578" s="1" t="s">
        <v>2372</v>
      </c>
      <c r="G1578" s="1" t="s">
        <v>2373</v>
      </c>
      <c r="H1578" s="1" t="s">
        <v>141</v>
      </c>
      <c r="I1578" s="1" t="s">
        <v>65</v>
      </c>
      <c r="J1578" s="1">
        <v>3</v>
      </c>
      <c r="K1578" s="1" t="s">
        <v>142</v>
      </c>
      <c r="L1578" s="1" t="s">
        <v>153</v>
      </c>
      <c r="M1578" s="1" t="s">
        <v>1256</v>
      </c>
      <c r="N1578" s="1" t="str">
        <f>HYPERLINK("https://klocwork.india.ti.com:443/review/insight-review.html#issuedetails_goto:problemid=120377,project=MCU_PLUS_SDK_AM263X,searchquery=taxonomy:'C and C++' build:Build_Apr_13_2023_11_11_AM grouping:off ","KW Issue Link")</f>
        <v>KW Issue Link</v>
      </c>
      <c r="O1578" s="1" t="s">
        <v>356</v>
      </c>
    </row>
    <row r="1579" spans="1:15" ht="60" x14ac:dyDescent="0.25">
      <c r="A1579" s="1" t="s">
        <v>1252</v>
      </c>
      <c r="B1579" s="1"/>
      <c r="C1579" s="1" t="s">
        <v>1149</v>
      </c>
      <c r="D1579" s="1">
        <v>120378</v>
      </c>
      <c r="E1579" s="1">
        <v>800</v>
      </c>
      <c r="F1579" s="1" t="s">
        <v>2374</v>
      </c>
      <c r="G1579" s="1" t="s">
        <v>2375</v>
      </c>
      <c r="H1579" s="1" t="s">
        <v>141</v>
      </c>
      <c r="I1579" s="1" t="s">
        <v>65</v>
      </c>
      <c r="J1579" s="1">
        <v>3</v>
      </c>
      <c r="K1579" s="1" t="s">
        <v>142</v>
      </c>
      <c r="L1579" s="1" t="s">
        <v>153</v>
      </c>
      <c r="M1579" s="1" t="s">
        <v>1256</v>
      </c>
      <c r="N1579" s="1" t="str">
        <f>HYPERLINK("https://klocwork.india.ti.com:443/review/insight-review.html#issuedetails_goto:problemid=120378,project=MCU_PLUS_SDK_AM263X,searchquery=taxonomy:'C and C++' build:Build_Apr_13_2023_11_11_AM grouping:off ","KW Issue Link")</f>
        <v>KW Issue Link</v>
      </c>
      <c r="O1579" s="1" t="s">
        <v>356</v>
      </c>
    </row>
    <row r="1580" spans="1:15" ht="60" x14ac:dyDescent="0.25">
      <c r="A1580" s="1" t="s">
        <v>1252</v>
      </c>
      <c r="B1580" s="1"/>
      <c r="C1580" s="1" t="s">
        <v>1149</v>
      </c>
      <c r="D1580" s="1">
        <v>120379</v>
      </c>
      <c r="E1580" s="1">
        <v>846</v>
      </c>
      <c r="F1580" s="1" t="s">
        <v>2376</v>
      </c>
      <c r="G1580" s="1" t="s">
        <v>2377</v>
      </c>
      <c r="H1580" s="1" t="s">
        <v>141</v>
      </c>
      <c r="I1580" s="1" t="s">
        <v>65</v>
      </c>
      <c r="J1580" s="1">
        <v>3</v>
      </c>
      <c r="K1580" s="1" t="s">
        <v>142</v>
      </c>
      <c r="L1580" s="1" t="s">
        <v>153</v>
      </c>
      <c r="M1580" s="1" t="s">
        <v>1256</v>
      </c>
      <c r="N1580" s="1" t="str">
        <f>HYPERLINK("https://klocwork.india.ti.com:443/review/insight-review.html#issuedetails_goto:problemid=120379,project=MCU_PLUS_SDK_AM263X,searchquery=taxonomy:'C and C++' build:Build_Apr_13_2023_11_11_AM grouping:off ","KW Issue Link")</f>
        <v>KW Issue Link</v>
      </c>
      <c r="O1580" s="1" t="s">
        <v>356</v>
      </c>
    </row>
    <row r="1581" spans="1:15" ht="60" x14ac:dyDescent="0.25">
      <c r="A1581" s="1" t="s">
        <v>1252</v>
      </c>
      <c r="B1581" s="1"/>
      <c r="C1581" s="1" t="s">
        <v>1149</v>
      </c>
      <c r="D1581" s="1">
        <v>120380</v>
      </c>
      <c r="E1581" s="1">
        <v>883</v>
      </c>
      <c r="F1581" s="1" t="s">
        <v>2378</v>
      </c>
      <c r="G1581" s="1" t="s">
        <v>2379</v>
      </c>
      <c r="H1581" s="1" t="s">
        <v>141</v>
      </c>
      <c r="I1581" s="1" t="s">
        <v>65</v>
      </c>
      <c r="J1581" s="1">
        <v>3</v>
      </c>
      <c r="K1581" s="1" t="s">
        <v>142</v>
      </c>
      <c r="L1581" s="1" t="s">
        <v>153</v>
      </c>
      <c r="M1581" s="1" t="s">
        <v>1256</v>
      </c>
      <c r="N1581" s="1" t="str">
        <f>HYPERLINK("https://klocwork.india.ti.com:443/review/insight-review.html#issuedetails_goto:problemid=120380,project=MCU_PLUS_SDK_AM263X,searchquery=taxonomy:'C and C++' build:Build_Apr_13_2023_11_11_AM grouping:off ","KW Issue Link")</f>
        <v>KW Issue Link</v>
      </c>
      <c r="O1581" s="1" t="s">
        <v>356</v>
      </c>
    </row>
    <row r="1582" spans="1:15" ht="60" x14ac:dyDescent="0.25">
      <c r="A1582" s="1" t="s">
        <v>1257</v>
      </c>
      <c r="B1582" s="1"/>
      <c r="C1582" s="1" t="s">
        <v>1149</v>
      </c>
      <c r="D1582" s="1">
        <v>120381</v>
      </c>
      <c r="E1582" s="1">
        <v>749</v>
      </c>
      <c r="F1582" s="1" t="s">
        <v>2380</v>
      </c>
      <c r="G1582" s="1" t="s">
        <v>2373</v>
      </c>
      <c r="H1582" s="1" t="s">
        <v>141</v>
      </c>
      <c r="I1582" s="1" t="s">
        <v>65</v>
      </c>
      <c r="J1582" s="1">
        <v>3</v>
      </c>
      <c r="K1582" s="1" t="s">
        <v>142</v>
      </c>
      <c r="L1582" s="1" t="s">
        <v>153</v>
      </c>
      <c r="M1582" s="1" t="s">
        <v>1256</v>
      </c>
      <c r="N1582" s="1" t="str">
        <f>HYPERLINK("https://klocwork.india.ti.com:443/review/insight-review.html#issuedetails_goto:problemid=120381,project=MCU_PLUS_SDK_AM263X,searchquery=taxonomy:'C and C++' build:Build_Apr_13_2023_11_11_AM grouping:off ","KW Issue Link")</f>
        <v>KW Issue Link</v>
      </c>
      <c r="O1582" s="1" t="s">
        <v>356</v>
      </c>
    </row>
    <row r="1583" spans="1:15" ht="60" x14ac:dyDescent="0.25">
      <c r="A1583" s="1" t="s">
        <v>1268</v>
      </c>
      <c r="B1583" s="1"/>
      <c r="C1583" s="1" t="s">
        <v>1149</v>
      </c>
      <c r="D1583" s="1">
        <v>120382</v>
      </c>
      <c r="E1583" s="1">
        <v>933</v>
      </c>
      <c r="F1583" s="1" t="s">
        <v>2381</v>
      </c>
      <c r="G1583" s="1" t="s">
        <v>2382</v>
      </c>
      <c r="H1583" s="1" t="s">
        <v>141</v>
      </c>
      <c r="I1583" s="1" t="s">
        <v>65</v>
      </c>
      <c r="J1583" s="1">
        <v>3</v>
      </c>
      <c r="K1583" s="1" t="s">
        <v>142</v>
      </c>
      <c r="L1583" s="1" t="s">
        <v>153</v>
      </c>
      <c r="M1583" s="1" t="s">
        <v>1256</v>
      </c>
      <c r="N1583" s="1" t="str">
        <f>HYPERLINK("https://klocwork.india.ti.com:443/review/insight-review.html#issuedetails_goto:problemid=120382,project=MCU_PLUS_SDK_AM263X,searchquery=taxonomy:'C and C++' build:Build_Apr_13_2023_11_11_AM grouping:off ","KW Issue Link")</f>
        <v>KW Issue Link</v>
      </c>
      <c r="O1583" s="1" t="s">
        <v>356</v>
      </c>
    </row>
    <row r="1584" spans="1:15" ht="75" x14ac:dyDescent="0.25">
      <c r="A1584" s="1" t="s">
        <v>1257</v>
      </c>
      <c r="B1584" s="1"/>
      <c r="C1584" s="1" t="s">
        <v>536</v>
      </c>
      <c r="D1584" s="1">
        <v>120383</v>
      </c>
      <c r="E1584" s="1">
        <v>355</v>
      </c>
      <c r="F1584" s="1" t="s">
        <v>2383</v>
      </c>
      <c r="G1584" s="1" t="s">
        <v>2384</v>
      </c>
      <c r="H1584" s="1" t="s">
        <v>141</v>
      </c>
      <c r="I1584" s="1" t="s">
        <v>65</v>
      </c>
      <c r="J1584" s="1">
        <v>3</v>
      </c>
      <c r="K1584" s="1" t="s">
        <v>142</v>
      </c>
      <c r="L1584" s="1" t="s">
        <v>153</v>
      </c>
      <c r="M1584" s="1" t="s">
        <v>1256</v>
      </c>
      <c r="N1584" s="1" t="str">
        <f>HYPERLINK("https://klocwork.india.ti.com:443/review/insight-review.html#issuedetails_goto:problemid=120383,project=MCU_PLUS_SDK_AM263X,searchquery=taxonomy:'C and C++' build:Build_Apr_13_2023_11_11_AM grouping:off ","KW Issue Link")</f>
        <v>KW Issue Link</v>
      </c>
      <c r="O1584" s="1" t="s">
        <v>291</v>
      </c>
    </row>
    <row r="1585" spans="1:15" ht="75" x14ac:dyDescent="0.25">
      <c r="A1585" s="1" t="s">
        <v>1257</v>
      </c>
      <c r="B1585" s="1"/>
      <c r="C1585" s="1" t="s">
        <v>536</v>
      </c>
      <c r="D1585" s="1">
        <v>120384</v>
      </c>
      <c r="E1585" s="1">
        <v>432</v>
      </c>
      <c r="F1585" s="1" t="s">
        <v>2385</v>
      </c>
      <c r="G1585" s="1" t="s">
        <v>2386</v>
      </c>
      <c r="H1585" s="1" t="s">
        <v>141</v>
      </c>
      <c r="I1585" s="1" t="s">
        <v>65</v>
      </c>
      <c r="J1585" s="1">
        <v>3</v>
      </c>
      <c r="K1585" s="1" t="s">
        <v>142</v>
      </c>
      <c r="L1585" s="1" t="s">
        <v>153</v>
      </c>
      <c r="M1585" s="1" t="s">
        <v>1256</v>
      </c>
      <c r="N1585" s="1" t="str">
        <f>HYPERLINK("https://klocwork.india.ti.com:443/review/insight-review.html#issuedetails_goto:problemid=120384,project=MCU_PLUS_SDK_AM263X,searchquery=taxonomy:'C and C++' build:Build_Apr_13_2023_11_11_AM grouping:off ","KW Issue Link")</f>
        <v>KW Issue Link</v>
      </c>
      <c r="O1585" s="1" t="s">
        <v>291</v>
      </c>
    </row>
    <row r="1586" spans="1:15" ht="75" x14ac:dyDescent="0.25">
      <c r="A1586" s="1" t="s">
        <v>1257</v>
      </c>
      <c r="B1586" s="1"/>
      <c r="C1586" s="1" t="s">
        <v>536</v>
      </c>
      <c r="D1586" s="1">
        <v>120385</v>
      </c>
      <c r="E1586" s="1">
        <v>509</v>
      </c>
      <c r="F1586" s="1" t="s">
        <v>2387</v>
      </c>
      <c r="G1586" s="1" t="s">
        <v>2388</v>
      </c>
      <c r="H1586" s="1" t="s">
        <v>141</v>
      </c>
      <c r="I1586" s="1" t="s">
        <v>65</v>
      </c>
      <c r="J1586" s="1">
        <v>3</v>
      </c>
      <c r="K1586" s="1" t="s">
        <v>142</v>
      </c>
      <c r="L1586" s="1" t="s">
        <v>153</v>
      </c>
      <c r="M1586" s="1" t="s">
        <v>1256</v>
      </c>
      <c r="N1586" s="1" t="str">
        <f>HYPERLINK("https://klocwork.india.ti.com:443/review/insight-review.html#issuedetails_goto:problemid=120385,project=MCU_PLUS_SDK_AM263X,searchquery=taxonomy:'C and C++' build:Build_Apr_13_2023_11_11_AM grouping:off ","KW Issue Link")</f>
        <v>KW Issue Link</v>
      </c>
      <c r="O1586" s="1" t="s">
        <v>291</v>
      </c>
    </row>
    <row r="1587" spans="1:15" ht="75" x14ac:dyDescent="0.25">
      <c r="A1587" s="1" t="s">
        <v>1257</v>
      </c>
      <c r="B1587" s="1"/>
      <c r="C1587" s="1" t="s">
        <v>536</v>
      </c>
      <c r="D1587" s="1">
        <v>120389</v>
      </c>
      <c r="E1587" s="1">
        <v>644</v>
      </c>
      <c r="F1587" s="1" t="s">
        <v>2389</v>
      </c>
      <c r="G1587" s="1" t="s">
        <v>2390</v>
      </c>
      <c r="H1587" s="1" t="s">
        <v>141</v>
      </c>
      <c r="I1587" s="1" t="s">
        <v>65</v>
      </c>
      <c r="J1587" s="1">
        <v>3</v>
      </c>
      <c r="K1587" s="1" t="s">
        <v>142</v>
      </c>
      <c r="L1587" s="1" t="s">
        <v>153</v>
      </c>
      <c r="M1587" s="1" t="s">
        <v>1256</v>
      </c>
      <c r="N1587" s="1" t="str">
        <f>HYPERLINK("https://klocwork.india.ti.com:443/review/insight-review.html#issuedetails_goto:problemid=120389,project=MCU_PLUS_SDK_AM263X,searchquery=taxonomy:'C and C++' build:Build_Apr_13_2023_11_11_AM grouping:off ","KW Issue Link")</f>
        <v>KW Issue Link</v>
      </c>
      <c r="O1587" s="1" t="s">
        <v>291</v>
      </c>
    </row>
    <row r="1588" spans="1:15" ht="75" x14ac:dyDescent="0.25">
      <c r="A1588" s="1" t="s">
        <v>1257</v>
      </c>
      <c r="B1588" s="1"/>
      <c r="C1588" s="1" t="s">
        <v>536</v>
      </c>
      <c r="D1588" s="1">
        <v>120390</v>
      </c>
      <c r="E1588" s="1">
        <v>837</v>
      </c>
      <c r="F1588" s="1" t="s">
        <v>2391</v>
      </c>
      <c r="G1588" s="1" t="s">
        <v>2392</v>
      </c>
      <c r="H1588" s="1" t="s">
        <v>141</v>
      </c>
      <c r="I1588" s="1" t="s">
        <v>65</v>
      </c>
      <c r="J1588" s="1">
        <v>3</v>
      </c>
      <c r="K1588" s="1" t="s">
        <v>142</v>
      </c>
      <c r="L1588" s="1" t="s">
        <v>153</v>
      </c>
      <c r="M1588" s="1" t="s">
        <v>1256</v>
      </c>
      <c r="N1588" s="1" t="str">
        <f>HYPERLINK("https://klocwork.india.ti.com:443/review/insight-review.html#issuedetails_goto:problemid=120390,project=MCU_PLUS_SDK_AM263X,searchquery=taxonomy:'C and C++' build:Build_Apr_13_2023_11_11_AM grouping:off ","KW Issue Link")</f>
        <v>KW Issue Link</v>
      </c>
      <c r="O1588" s="1" t="s">
        <v>291</v>
      </c>
    </row>
    <row r="1589" spans="1:15" ht="75" x14ac:dyDescent="0.25">
      <c r="A1589" s="1" t="s">
        <v>1257</v>
      </c>
      <c r="B1589" s="1"/>
      <c r="C1589" s="1" t="s">
        <v>536</v>
      </c>
      <c r="D1589" s="1">
        <v>120391</v>
      </c>
      <c r="E1589" s="1">
        <v>1171</v>
      </c>
      <c r="F1589" s="1" t="s">
        <v>2393</v>
      </c>
      <c r="G1589" s="1" t="s">
        <v>2394</v>
      </c>
      <c r="H1589" s="1" t="s">
        <v>141</v>
      </c>
      <c r="I1589" s="1" t="s">
        <v>65</v>
      </c>
      <c r="J1589" s="1">
        <v>3</v>
      </c>
      <c r="K1589" s="1" t="s">
        <v>142</v>
      </c>
      <c r="L1589" s="1" t="s">
        <v>153</v>
      </c>
      <c r="M1589" s="1" t="s">
        <v>1256</v>
      </c>
      <c r="N1589" s="1" t="str">
        <f>HYPERLINK("https://klocwork.india.ti.com:443/review/insight-review.html#issuedetails_goto:problemid=120391,project=MCU_PLUS_SDK_AM263X,searchquery=taxonomy:'C and C++' build:Build_Apr_13_2023_11_11_AM grouping:off ","KW Issue Link")</f>
        <v>KW Issue Link</v>
      </c>
      <c r="O1589" s="1" t="s">
        <v>291</v>
      </c>
    </row>
    <row r="1590" spans="1:15" ht="75" x14ac:dyDescent="0.25">
      <c r="A1590" s="1" t="s">
        <v>1257</v>
      </c>
      <c r="B1590" s="1"/>
      <c r="C1590" s="1" t="s">
        <v>536</v>
      </c>
      <c r="D1590" s="1">
        <v>120392</v>
      </c>
      <c r="E1590" s="1">
        <v>1181</v>
      </c>
      <c r="F1590" s="1" t="s">
        <v>2395</v>
      </c>
      <c r="G1590" s="1" t="s">
        <v>2396</v>
      </c>
      <c r="H1590" s="1" t="s">
        <v>141</v>
      </c>
      <c r="I1590" s="1" t="s">
        <v>65</v>
      </c>
      <c r="J1590" s="1">
        <v>3</v>
      </c>
      <c r="K1590" s="1" t="s">
        <v>142</v>
      </c>
      <c r="L1590" s="1" t="s">
        <v>153</v>
      </c>
      <c r="M1590" s="1" t="s">
        <v>1256</v>
      </c>
      <c r="N1590" s="1" t="str">
        <f>HYPERLINK("https://klocwork.india.ti.com:443/review/insight-review.html#issuedetails_goto:problemid=120392,project=MCU_PLUS_SDK_AM263X,searchquery=taxonomy:'C and C++' build:Build_Apr_13_2023_11_11_AM grouping:off ","KW Issue Link")</f>
        <v>KW Issue Link</v>
      </c>
      <c r="O1590" s="1" t="s">
        <v>291</v>
      </c>
    </row>
    <row r="1591" spans="1:15" ht="75" x14ac:dyDescent="0.25">
      <c r="A1591" s="1" t="s">
        <v>1257</v>
      </c>
      <c r="B1591" s="1"/>
      <c r="C1591" s="1" t="s">
        <v>536</v>
      </c>
      <c r="D1591" s="1">
        <v>120393</v>
      </c>
      <c r="E1591" s="1">
        <v>1216</v>
      </c>
      <c r="F1591" s="1" t="s">
        <v>2397</v>
      </c>
      <c r="G1591" s="1" t="s">
        <v>2398</v>
      </c>
      <c r="H1591" s="1" t="s">
        <v>141</v>
      </c>
      <c r="I1591" s="1" t="s">
        <v>65</v>
      </c>
      <c r="J1591" s="1">
        <v>3</v>
      </c>
      <c r="K1591" s="1" t="s">
        <v>142</v>
      </c>
      <c r="L1591" s="1" t="s">
        <v>153</v>
      </c>
      <c r="M1591" s="1" t="s">
        <v>1256</v>
      </c>
      <c r="N1591" s="1" t="str">
        <f>HYPERLINK("https://klocwork.india.ti.com:443/review/insight-review.html#issuedetails_goto:problemid=120393,project=MCU_PLUS_SDK_AM263X,searchquery=taxonomy:'C and C++' build:Build_Apr_13_2023_11_11_AM grouping:off ","KW Issue Link")</f>
        <v>KW Issue Link</v>
      </c>
      <c r="O1591" s="1" t="s">
        <v>291</v>
      </c>
    </row>
    <row r="1592" spans="1:15" ht="75" x14ac:dyDescent="0.25">
      <c r="A1592" s="1" t="s">
        <v>1257</v>
      </c>
      <c r="B1592" s="1"/>
      <c r="C1592" s="1" t="s">
        <v>536</v>
      </c>
      <c r="D1592" s="1">
        <v>120394</v>
      </c>
      <c r="E1592" s="1">
        <v>1227</v>
      </c>
      <c r="F1592" s="1" t="s">
        <v>2399</v>
      </c>
      <c r="G1592" s="1" t="s">
        <v>2400</v>
      </c>
      <c r="H1592" s="1" t="s">
        <v>141</v>
      </c>
      <c r="I1592" s="1" t="s">
        <v>65</v>
      </c>
      <c r="J1592" s="1">
        <v>3</v>
      </c>
      <c r="K1592" s="1" t="s">
        <v>142</v>
      </c>
      <c r="L1592" s="1" t="s">
        <v>153</v>
      </c>
      <c r="M1592" s="1" t="s">
        <v>1256</v>
      </c>
      <c r="N1592" s="1" t="str">
        <f>HYPERLINK("https://klocwork.india.ti.com:443/review/insight-review.html#issuedetails_goto:problemid=120394,project=MCU_PLUS_SDK_AM263X,searchquery=taxonomy:'C and C++' build:Build_Apr_13_2023_11_11_AM grouping:off ","KW Issue Link")</f>
        <v>KW Issue Link</v>
      </c>
      <c r="O1592" s="1" t="s">
        <v>291</v>
      </c>
    </row>
    <row r="1593" spans="1:15" ht="75" x14ac:dyDescent="0.25">
      <c r="A1593" s="1" t="s">
        <v>1257</v>
      </c>
      <c r="B1593" s="1"/>
      <c r="C1593" s="1" t="s">
        <v>536</v>
      </c>
      <c r="D1593" s="1">
        <v>120395</v>
      </c>
      <c r="E1593" s="1">
        <v>1238</v>
      </c>
      <c r="F1593" s="1" t="s">
        <v>2401</v>
      </c>
      <c r="G1593" s="1" t="s">
        <v>2402</v>
      </c>
      <c r="H1593" s="1" t="s">
        <v>141</v>
      </c>
      <c r="I1593" s="1" t="s">
        <v>65</v>
      </c>
      <c r="J1593" s="1">
        <v>3</v>
      </c>
      <c r="K1593" s="1" t="s">
        <v>142</v>
      </c>
      <c r="L1593" s="1" t="s">
        <v>153</v>
      </c>
      <c r="M1593" s="1" t="s">
        <v>1256</v>
      </c>
      <c r="N1593" s="1" t="str">
        <f>HYPERLINK("https://klocwork.india.ti.com:443/review/insight-review.html#issuedetails_goto:problemid=120395,project=MCU_PLUS_SDK_AM263X,searchquery=taxonomy:'C and C++' build:Build_Apr_13_2023_11_11_AM grouping:off ","KW Issue Link")</f>
        <v>KW Issue Link</v>
      </c>
      <c r="O1593" s="1" t="s">
        <v>291</v>
      </c>
    </row>
    <row r="1594" spans="1:15" ht="75" x14ac:dyDescent="0.25">
      <c r="A1594" s="1" t="s">
        <v>1257</v>
      </c>
      <c r="B1594" s="1"/>
      <c r="C1594" s="1" t="s">
        <v>536</v>
      </c>
      <c r="D1594" s="1">
        <v>120396</v>
      </c>
      <c r="E1594" s="1">
        <v>1261</v>
      </c>
      <c r="F1594" s="1" t="s">
        <v>2403</v>
      </c>
      <c r="G1594" s="1" t="s">
        <v>2404</v>
      </c>
      <c r="H1594" s="1" t="s">
        <v>141</v>
      </c>
      <c r="I1594" s="1" t="s">
        <v>65</v>
      </c>
      <c r="J1594" s="1">
        <v>3</v>
      </c>
      <c r="K1594" s="1" t="s">
        <v>142</v>
      </c>
      <c r="L1594" s="1" t="s">
        <v>153</v>
      </c>
      <c r="M1594" s="1" t="s">
        <v>1256</v>
      </c>
      <c r="N1594" s="1" t="str">
        <f>HYPERLINK("https://klocwork.india.ti.com:443/review/insight-review.html#issuedetails_goto:problemid=120396,project=MCU_PLUS_SDK_AM263X,searchquery=taxonomy:'C and C++' build:Build_Apr_13_2023_11_11_AM grouping:off ","KW Issue Link")</f>
        <v>KW Issue Link</v>
      </c>
      <c r="O1594" s="1" t="s">
        <v>291</v>
      </c>
    </row>
    <row r="1595" spans="1:15" ht="75" x14ac:dyDescent="0.25">
      <c r="A1595" s="1" t="s">
        <v>1257</v>
      </c>
      <c r="B1595" s="1"/>
      <c r="C1595" s="1" t="s">
        <v>536</v>
      </c>
      <c r="D1595" s="1">
        <v>120397</v>
      </c>
      <c r="E1595" s="1">
        <v>1309</v>
      </c>
      <c r="F1595" s="1" t="s">
        <v>2405</v>
      </c>
      <c r="G1595" s="1" t="s">
        <v>538</v>
      </c>
      <c r="H1595" s="1" t="s">
        <v>141</v>
      </c>
      <c r="I1595" s="1" t="s">
        <v>65</v>
      </c>
      <c r="J1595" s="1">
        <v>3</v>
      </c>
      <c r="K1595" s="1" t="s">
        <v>142</v>
      </c>
      <c r="L1595" s="1" t="s">
        <v>153</v>
      </c>
      <c r="M1595" s="1" t="s">
        <v>1256</v>
      </c>
      <c r="N1595" s="1" t="str">
        <f>HYPERLINK("https://klocwork.india.ti.com:443/review/insight-review.html#issuedetails_goto:problemid=120397,project=MCU_PLUS_SDK_AM263X,searchquery=taxonomy:'C and C++' build:Build_Apr_13_2023_11_11_AM grouping:off ","KW Issue Link")</f>
        <v>KW Issue Link</v>
      </c>
      <c r="O1595" s="1" t="s">
        <v>291</v>
      </c>
    </row>
    <row r="1596" spans="1:15" ht="75" x14ac:dyDescent="0.25">
      <c r="A1596" s="1" t="s">
        <v>1257</v>
      </c>
      <c r="B1596" s="1"/>
      <c r="C1596" s="1" t="s">
        <v>536</v>
      </c>
      <c r="D1596" s="1">
        <v>120398</v>
      </c>
      <c r="E1596" s="1">
        <v>1562</v>
      </c>
      <c r="F1596" s="1" t="s">
        <v>2406</v>
      </c>
      <c r="G1596" s="1" t="s">
        <v>540</v>
      </c>
      <c r="H1596" s="1" t="s">
        <v>141</v>
      </c>
      <c r="I1596" s="1" t="s">
        <v>65</v>
      </c>
      <c r="J1596" s="1">
        <v>3</v>
      </c>
      <c r="K1596" s="1" t="s">
        <v>142</v>
      </c>
      <c r="L1596" s="1" t="s">
        <v>153</v>
      </c>
      <c r="M1596" s="1" t="s">
        <v>1256</v>
      </c>
      <c r="N1596" s="1" t="str">
        <f>HYPERLINK("https://klocwork.india.ti.com:443/review/insight-review.html#issuedetails_goto:problemid=120398,project=MCU_PLUS_SDK_AM263X,searchquery=taxonomy:'C and C++' build:Build_Apr_13_2023_11_11_AM grouping:off ","KW Issue Link")</f>
        <v>KW Issue Link</v>
      </c>
      <c r="O1596" s="1" t="s">
        <v>291</v>
      </c>
    </row>
    <row r="1597" spans="1:15" ht="75" x14ac:dyDescent="0.25">
      <c r="A1597" s="1" t="s">
        <v>1257</v>
      </c>
      <c r="B1597" s="1"/>
      <c r="C1597" s="1" t="s">
        <v>536</v>
      </c>
      <c r="D1597" s="1">
        <v>120399</v>
      </c>
      <c r="E1597" s="1">
        <v>1783</v>
      </c>
      <c r="F1597" s="1" t="s">
        <v>2407</v>
      </c>
      <c r="G1597" s="1" t="s">
        <v>542</v>
      </c>
      <c r="H1597" s="1" t="s">
        <v>141</v>
      </c>
      <c r="I1597" s="1" t="s">
        <v>65</v>
      </c>
      <c r="J1597" s="1">
        <v>3</v>
      </c>
      <c r="K1597" s="1" t="s">
        <v>142</v>
      </c>
      <c r="L1597" s="1" t="s">
        <v>153</v>
      </c>
      <c r="M1597" s="1" t="s">
        <v>1256</v>
      </c>
      <c r="N1597" s="1" t="str">
        <f>HYPERLINK("https://klocwork.india.ti.com:443/review/insight-review.html#issuedetails_goto:problemid=120399,project=MCU_PLUS_SDK_AM263X,searchquery=taxonomy:'C and C++' build:Build_Apr_13_2023_11_11_AM grouping:off ","KW Issue Link")</f>
        <v>KW Issue Link</v>
      </c>
      <c r="O1597" s="1" t="s">
        <v>291</v>
      </c>
    </row>
    <row r="1598" spans="1:15" ht="75" x14ac:dyDescent="0.25">
      <c r="A1598" s="1" t="s">
        <v>1257</v>
      </c>
      <c r="B1598" s="1"/>
      <c r="C1598" s="1" t="s">
        <v>536</v>
      </c>
      <c r="D1598" s="1">
        <v>120400</v>
      </c>
      <c r="E1598" s="1">
        <v>1853</v>
      </c>
      <c r="F1598" s="1" t="s">
        <v>2408</v>
      </c>
      <c r="G1598" s="1" t="s">
        <v>543</v>
      </c>
      <c r="H1598" s="1" t="s">
        <v>141</v>
      </c>
      <c r="I1598" s="1" t="s">
        <v>65</v>
      </c>
      <c r="J1598" s="1">
        <v>3</v>
      </c>
      <c r="K1598" s="1" t="s">
        <v>142</v>
      </c>
      <c r="L1598" s="1" t="s">
        <v>153</v>
      </c>
      <c r="M1598" s="1" t="s">
        <v>1256</v>
      </c>
      <c r="N1598" s="1" t="str">
        <f>HYPERLINK("https://klocwork.india.ti.com:443/review/insight-review.html#issuedetails_goto:problemid=120400,project=MCU_PLUS_SDK_AM263X,searchquery=taxonomy:'C and C++' build:Build_Apr_13_2023_11_11_AM grouping:off ","KW Issue Link")</f>
        <v>KW Issue Link</v>
      </c>
      <c r="O1598" s="1" t="s">
        <v>291</v>
      </c>
    </row>
    <row r="1599" spans="1:15" ht="75" x14ac:dyDescent="0.25">
      <c r="A1599" s="1" t="s">
        <v>1266</v>
      </c>
      <c r="B1599" s="1"/>
      <c r="C1599" s="1" t="s">
        <v>536</v>
      </c>
      <c r="D1599" s="1">
        <v>120411</v>
      </c>
      <c r="E1599" s="1">
        <v>432</v>
      </c>
      <c r="F1599" s="1" t="s">
        <v>2409</v>
      </c>
      <c r="G1599" s="1" t="s">
        <v>2386</v>
      </c>
      <c r="H1599" s="1" t="s">
        <v>141</v>
      </c>
      <c r="I1599" s="1" t="s">
        <v>65</v>
      </c>
      <c r="J1599" s="1">
        <v>3</v>
      </c>
      <c r="K1599" s="1" t="s">
        <v>142</v>
      </c>
      <c r="L1599" s="1" t="s">
        <v>153</v>
      </c>
      <c r="M1599" s="1" t="s">
        <v>1256</v>
      </c>
      <c r="N1599" s="1" t="str">
        <f>HYPERLINK("https://klocwork.india.ti.com:443/review/insight-review.html#issuedetails_goto:problemid=120411,project=MCU_PLUS_SDK_AM263X,searchquery=taxonomy:'C and C++' build:Build_Apr_13_2023_11_11_AM grouping:off ","KW Issue Link")</f>
        <v>KW Issue Link</v>
      </c>
      <c r="O1599" s="1" t="s">
        <v>291</v>
      </c>
    </row>
    <row r="1600" spans="1:15" ht="75" x14ac:dyDescent="0.25">
      <c r="A1600" s="1" t="s">
        <v>1266</v>
      </c>
      <c r="B1600" s="1"/>
      <c r="C1600" s="1" t="s">
        <v>536</v>
      </c>
      <c r="D1600" s="1">
        <v>120412</v>
      </c>
      <c r="E1600" s="1">
        <v>509</v>
      </c>
      <c r="F1600" s="1" t="s">
        <v>2410</v>
      </c>
      <c r="G1600" s="1" t="s">
        <v>2388</v>
      </c>
      <c r="H1600" s="1" t="s">
        <v>141</v>
      </c>
      <c r="I1600" s="1" t="s">
        <v>65</v>
      </c>
      <c r="J1600" s="1">
        <v>3</v>
      </c>
      <c r="K1600" s="1" t="s">
        <v>142</v>
      </c>
      <c r="L1600" s="1" t="s">
        <v>153</v>
      </c>
      <c r="M1600" s="1" t="s">
        <v>1256</v>
      </c>
      <c r="N1600" s="1" t="str">
        <f>HYPERLINK("https://klocwork.india.ti.com:443/review/insight-review.html#issuedetails_goto:problemid=120412,project=MCU_PLUS_SDK_AM263X,searchquery=taxonomy:'C and C++' build:Build_Apr_13_2023_11_11_AM grouping:off ","KW Issue Link")</f>
        <v>KW Issue Link</v>
      </c>
      <c r="O1600" s="1" t="s">
        <v>291</v>
      </c>
    </row>
    <row r="1601" spans="1:15" ht="75" x14ac:dyDescent="0.25">
      <c r="A1601" s="1" t="s">
        <v>1266</v>
      </c>
      <c r="B1601" s="1"/>
      <c r="C1601" s="1" t="s">
        <v>536</v>
      </c>
      <c r="D1601" s="1">
        <v>120415</v>
      </c>
      <c r="E1601" s="1">
        <v>644</v>
      </c>
      <c r="F1601" s="1" t="s">
        <v>2411</v>
      </c>
      <c r="G1601" s="1" t="s">
        <v>2390</v>
      </c>
      <c r="H1601" s="1" t="s">
        <v>141</v>
      </c>
      <c r="I1601" s="1" t="s">
        <v>65</v>
      </c>
      <c r="J1601" s="1">
        <v>3</v>
      </c>
      <c r="K1601" s="1" t="s">
        <v>142</v>
      </c>
      <c r="L1601" s="1" t="s">
        <v>153</v>
      </c>
      <c r="M1601" s="1" t="s">
        <v>1256</v>
      </c>
      <c r="N1601" s="1" t="str">
        <f>HYPERLINK("https://klocwork.india.ti.com:443/review/insight-review.html#issuedetails_goto:problemid=120415,project=MCU_PLUS_SDK_AM263X,searchquery=taxonomy:'C and C++' build:Build_Apr_13_2023_11_11_AM grouping:off ","KW Issue Link")</f>
        <v>KW Issue Link</v>
      </c>
      <c r="O1601" s="1" t="s">
        <v>291</v>
      </c>
    </row>
    <row r="1602" spans="1:15" ht="75" x14ac:dyDescent="0.25">
      <c r="A1602" s="1" t="s">
        <v>1266</v>
      </c>
      <c r="B1602" s="1"/>
      <c r="C1602" s="1" t="s">
        <v>536</v>
      </c>
      <c r="D1602" s="1">
        <v>120416</v>
      </c>
      <c r="E1602" s="1">
        <v>837</v>
      </c>
      <c r="F1602" s="1" t="s">
        <v>2412</v>
      </c>
      <c r="G1602" s="1" t="s">
        <v>2392</v>
      </c>
      <c r="H1602" s="1" t="s">
        <v>141</v>
      </c>
      <c r="I1602" s="1" t="s">
        <v>65</v>
      </c>
      <c r="J1602" s="1">
        <v>3</v>
      </c>
      <c r="K1602" s="1" t="s">
        <v>142</v>
      </c>
      <c r="L1602" s="1" t="s">
        <v>153</v>
      </c>
      <c r="M1602" s="1" t="s">
        <v>1256</v>
      </c>
      <c r="N1602" s="1" t="str">
        <f>HYPERLINK("https://klocwork.india.ti.com:443/review/insight-review.html#issuedetails_goto:problemid=120416,project=MCU_PLUS_SDK_AM263X,searchquery=taxonomy:'C and C++' build:Build_Apr_13_2023_11_11_AM grouping:off ","KW Issue Link")</f>
        <v>KW Issue Link</v>
      </c>
      <c r="O1602" s="1" t="s">
        <v>291</v>
      </c>
    </row>
    <row r="1603" spans="1:15" ht="75" x14ac:dyDescent="0.25">
      <c r="A1603" s="1" t="s">
        <v>1266</v>
      </c>
      <c r="B1603" s="1"/>
      <c r="C1603" s="1" t="s">
        <v>536</v>
      </c>
      <c r="D1603" s="1">
        <v>120417</v>
      </c>
      <c r="E1603" s="1">
        <v>968</v>
      </c>
      <c r="F1603" s="1" t="s">
        <v>2413</v>
      </c>
      <c r="G1603" s="1" t="s">
        <v>2414</v>
      </c>
      <c r="H1603" s="1" t="s">
        <v>141</v>
      </c>
      <c r="I1603" s="1" t="s">
        <v>65</v>
      </c>
      <c r="J1603" s="1">
        <v>3</v>
      </c>
      <c r="K1603" s="1" t="s">
        <v>142</v>
      </c>
      <c r="L1603" s="1" t="s">
        <v>153</v>
      </c>
      <c r="M1603" s="1" t="s">
        <v>1256</v>
      </c>
      <c r="N1603" s="1" t="str">
        <f>HYPERLINK("https://klocwork.india.ti.com:443/review/insight-review.html#issuedetails_goto:problemid=120417,project=MCU_PLUS_SDK_AM263X,searchquery=taxonomy:'C and C++' build:Build_Apr_13_2023_11_11_AM grouping:off ","KW Issue Link")</f>
        <v>KW Issue Link</v>
      </c>
      <c r="O1603" s="1" t="s">
        <v>291</v>
      </c>
    </row>
    <row r="1604" spans="1:15" ht="75" x14ac:dyDescent="0.25">
      <c r="A1604" s="1" t="s">
        <v>1266</v>
      </c>
      <c r="B1604" s="1"/>
      <c r="C1604" s="1" t="s">
        <v>536</v>
      </c>
      <c r="D1604" s="1">
        <v>120418</v>
      </c>
      <c r="E1604" s="1">
        <v>1309</v>
      </c>
      <c r="F1604" s="1" t="s">
        <v>2415</v>
      </c>
      <c r="G1604" s="1" t="s">
        <v>538</v>
      </c>
      <c r="H1604" s="1" t="s">
        <v>141</v>
      </c>
      <c r="I1604" s="1" t="s">
        <v>65</v>
      </c>
      <c r="J1604" s="1">
        <v>3</v>
      </c>
      <c r="K1604" s="1" t="s">
        <v>142</v>
      </c>
      <c r="L1604" s="1" t="s">
        <v>153</v>
      </c>
      <c r="M1604" s="1" t="s">
        <v>1256</v>
      </c>
      <c r="N1604" s="1" t="str">
        <f>HYPERLINK("https://klocwork.india.ti.com:443/review/insight-review.html#issuedetails_goto:problemid=120418,project=MCU_PLUS_SDK_AM263X,searchquery=taxonomy:'C and C++' build:Build_Apr_13_2023_11_11_AM grouping:off ","KW Issue Link")</f>
        <v>KW Issue Link</v>
      </c>
      <c r="O1604" s="1" t="s">
        <v>291</v>
      </c>
    </row>
    <row r="1605" spans="1:15" ht="75" x14ac:dyDescent="0.25">
      <c r="A1605" s="1" t="s">
        <v>1266</v>
      </c>
      <c r="B1605" s="1"/>
      <c r="C1605" s="1" t="s">
        <v>536</v>
      </c>
      <c r="D1605" s="1">
        <v>120419</v>
      </c>
      <c r="E1605" s="1">
        <v>1562</v>
      </c>
      <c r="F1605" s="1" t="s">
        <v>2416</v>
      </c>
      <c r="G1605" s="1" t="s">
        <v>540</v>
      </c>
      <c r="H1605" s="1" t="s">
        <v>141</v>
      </c>
      <c r="I1605" s="1" t="s">
        <v>65</v>
      </c>
      <c r="J1605" s="1">
        <v>3</v>
      </c>
      <c r="K1605" s="1" t="s">
        <v>142</v>
      </c>
      <c r="L1605" s="1" t="s">
        <v>153</v>
      </c>
      <c r="M1605" s="1" t="s">
        <v>1256</v>
      </c>
      <c r="N1605" s="1" t="str">
        <f>HYPERLINK("https://klocwork.india.ti.com:443/review/insight-review.html#issuedetails_goto:problemid=120419,project=MCU_PLUS_SDK_AM263X,searchquery=taxonomy:'C and C++' build:Build_Apr_13_2023_11_11_AM grouping:off ","KW Issue Link")</f>
        <v>KW Issue Link</v>
      </c>
      <c r="O1605" s="1" t="s">
        <v>291</v>
      </c>
    </row>
    <row r="1606" spans="1:15" ht="75" x14ac:dyDescent="0.25">
      <c r="A1606" s="1" t="s">
        <v>1266</v>
      </c>
      <c r="B1606" s="1"/>
      <c r="C1606" s="1" t="s">
        <v>536</v>
      </c>
      <c r="D1606" s="1">
        <v>120420</v>
      </c>
      <c r="E1606" s="1">
        <v>1783</v>
      </c>
      <c r="F1606" s="1" t="s">
        <v>2417</v>
      </c>
      <c r="G1606" s="1" t="s">
        <v>542</v>
      </c>
      <c r="H1606" s="1" t="s">
        <v>141</v>
      </c>
      <c r="I1606" s="1" t="s">
        <v>65</v>
      </c>
      <c r="J1606" s="1">
        <v>3</v>
      </c>
      <c r="K1606" s="1" t="s">
        <v>142</v>
      </c>
      <c r="L1606" s="1" t="s">
        <v>153</v>
      </c>
      <c r="M1606" s="1" t="s">
        <v>1256</v>
      </c>
      <c r="N1606" s="1" t="str">
        <f>HYPERLINK("https://klocwork.india.ti.com:443/review/insight-review.html#issuedetails_goto:problemid=120420,project=MCU_PLUS_SDK_AM263X,searchquery=taxonomy:'C and C++' build:Build_Apr_13_2023_11_11_AM grouping:off ","KW Issue Link")</f>
        <v>KW Issue Link</v>
      </c>
      <c r="O1606" s="1" t="s">
        <v>291</v>
      </c>
    </row>
    <row r="1607" spans="1:15" ht="75" x14ac:dyDescent="0.25">
      <c r="A1607" s="1" t="s">
        <v>1266</v>
      </c>
      <c r="B1607" s="1"/>
      <c r="C1607" s="1" t="s">
        <v>536</v>
      </c>
      <c r="D1607" s="1">
        <v>120421</v>
      </c>
      <c r="E1607" s="1">
        <v>1853</v>
      </c>
      <c r="F1607" s="1" t="s">
        <v>2418</v>
      </c>
      <c r="G1607" s="1" t="s">
        <v>543</v>
      </c>
      <c r="H1607" s="1" t="s">
        <v>141</v>
      </c>
      <c r="I1607" s="1" t="s">
        <v>65</v>
      </c>
      <c r="J1607" s="1">
        <v>3</v>
      </c>
      <c r="K1607" s="1" t="s">
        <v>142</v>
      </c>
      <c r="L1607" s="1" t="s">
        <v>153</v>
      </c>
      <c r="M1607" s="1" t="s">
        <v>1256</v>
      </c>
      <c r="N1607" s="1" t="str">
        <f>HYPERLINK("https://klocwork.india.ti.com:443/review/insight-review.html#issuedetails_goto:problemid=120421,project=MCU_PLUS_SDK_AM263X,searchquery=taxonomy:'C and C++' build:Build_Apr_13_2023_11_11_AM grouping:off ","KW Issue Link")</f>
        <v>KW Issue Link</v>
      </c>
      <c r="O1607" s="1" t="s">
        <v>291</v>
      </c>
    </row>
    <row r="1608" spans="1:15" ht="75" x14ac:dyDescent="0.25">
      <c r="A1608" s="1" t="s">
        <v>1266</v>
      </c>
      <c r="B1608" s="1"/>
      <c r="C1608" s="1" t="s">
        <v>536</v>
      </c>
      <c r="D1608" s="1">
        <v>120422</v>
      </c>
      <c r="E1608" s="1">
        <v>2060</v>
      </c>
      <c r="F1608" s="1" t="s">
        <v>2419</v>
      </c>
      <c r="G1608" s="1" t="s">
        <v>2420</v>
      </c>
      <c r="H1608" s="1" t="s">
        <v>141</v>
      </c>
      <c r="I1608" s="1" t="s">
        <v>65</v>
      </c>
      <c r="J1608" s="1">
        <v>3</v>
      </c>
      <c r="K1608" s="1" t="s">
        <v>142</v>
      </c>
      <c r="L1608" s="1" t="s">
        <v>153</v>
      </c>
      <c r="M1608" s="1" t="s">
        <v>1256</v>
      </c>
      <c r="N1608" s="1" t="str">
        <f>HYPERLINK("https://klocwork.india.ti.com:443/review/insight-review.html#issuedetails_goto:problemid=120422,project=MCU_PLUS_SDK_AM263X,searchquery=taxonomy:'C and C++' build:Build_Apr_13_2023_11_11_AM grouping:off ","KW Issue Link")</f>
        <v>KW Issue Link</v>
      </c>
      <c r="O1608" s="1" t="s">
        <v>291</v>
      </c>
    </row>
    <row r="1609" spans="1:15" ht="75" x14ac:dyDescent="0.25">
      <c r="A1609" s="1" t="s">
        <v>1266</v>
      </c>
      <c r="B1609" s="1"/>
      <c r="C1609" s="1" t="s">
        <v>536</v>
      </c>
      <c r="D1609" s="1">
        <v>120424</v>
      </c>
      <c r="E1609" s="1">
        <v>2156</v>
      </c>
      <c r="F1609" s="1" t="s">
        <v>2421</v>
      </c>
      <c r="G1609" s="1" t="s">
        <v>2422</v>
      </c>
      <c r="H1609" s="1" t="s">
        <v>141</v>
      </c>
      <c r="I1609" s="1" t="s">
        <v>65</v>
      </c>
      <c r="J1609" s="1">
        <v>3</v>
      </c>
      <c r="K1609" s="1" t="s">
        <v>142</v>
      </c>
      <c r="L1609" s="1" t="s">
        <v>153</v>
      </c>
      <c r="M1609" s="1" t="s">
        <v>1256</v>
      </c>
      <c r="N1609" s="1" t="str">
        <f>HYPERLINK("https://klocwork.india.ti.com:443/review/insight-review.html#issuedetails_goto:problemid=120424,project=MCU_PLUS_SDK_AM263X,searchquery=taxonomy:'C and C++' build:Build_Apr_13_2023_11_11_AM grouping:off ","KW Issue Link")</f>
        <v>KW Issue Link</v>
      </c>
      <c r="O1609" s="1" t="s">
        <v>291</v>
      </c>
    </row>
    <row r="1610" spans="1:15" ht="75" x14ac:dyDescent="0.25">
      <c r="A1610" s="1" t="s">
        <v>1266</v>
      </c>
      <c r="B1610" s="1"/>
      <c r="C1610" s="1" t="s">
        <v>536</v>
      </c>
      <c r="D1610" s="1">
        <v>120425</v>
      </c>
      <c r="E1610" s="1">
        <v>2192</v>
      </c>
      <c r="F1610" s="1" t="s">
        <v>2423</v>
      </c>
      <c r="G1610" s="1" t="s">
        <v>546</v>
      </c>
      <c r="H1610" s="1" t="s">
        <v>141</v>
      </c>
      <c r="I1610" s="1" t="s">
        <v>65</v>
      </c>
      <c r="J1610" s="1">
        <v>3</v>
      </c>
      <c r="K1610" s="1" t="s">
        <v>142</v>
      </c>
      <c r="L1610" s="1" t="s">
        <v>153</v>
      </c>
      <c r="M1610" s="1" t="s">
        <v>1256</v>
      </c>
      <c r="N1610" s="1" t="str">
        <f>HYPERLINK("https://klocwork.india.ti.com:443/review/insight-review.html#issuedetails_goto:problemid=120425,project=MCU_PLUS_SDK_AM263X,searchquery=taxonomy:'C and C++' build:Build_Apr_13_2023_11_11_AM grouping:off ","KW Issue Link")</f>
        <v>KW Issue Link</v>
      </c>
      <c r="O1610" s="1" t="s">
        <v>291</v>
      </c>
    </row>
    <row r="1611" spans="1:15" ht="75" x14ac:dyDescent="0.25">
      <c r="A1611" s="1" t="s">
        <v>1266</v>
      </c>
      <c r="B1611" s="1"/>
      <c r="C1611" s="1" t="s">
        <v>536</v>
      </c>
      <c r="D1611" s="1">
        <v>120426</v>
      </c>
      <c r="E1611" s="1">
        <v>2242</v>
      </c>
      <c r="F1611" s="1" t="s">
        <v>2424</v>
      </c>
      <c r="G1611" s="1" t="s">
        <v>2425</v>
      </c>
      <c r="H1611" s="1" t="s">
        <v>141</v>
      </c>
      <c r="I1611" s="1" t="s">
        <v>65</v>
      </c>
      <c r="J1611" s="1">
        <v>3</v>
      </c>
      <c r="K1611" s="1" t="s">
        <v>142</v>
      </c>
      <c r="L1611" s="1" t="s">
        <v>153</v>
      </c>
      <c r="M1611" s="1" t="s">
        <v>1256</v>
      </c>
      <c r="N1611" s="1" t="str">
        <f>HYPERLINK("https://klocwork.india.ti.com:443/review/insight-review.html#issuedetails_goto:problemid=120426,project=MCU_PLUS_SDK_AM263X,searchquery=taxonomy:'C and C++' build:Build_Apr_13_2023_11_11_AM grouping:off ","KW Issue Link")</f>
        <v>KW Issue Link</v>
      </c>
      <c r="O1611" s="1" t="s">
        <v>291</v>
      </c>
    </row>
    <row r="1612" spans="1:15" ht="75" x14ac:dyDescent="0.25">
      <c r="A1612" s="1" t="s">
        <v>1266</v>
      </c>
      <c r="B1612" s="1"/>
      <c r="C1612" s="1" t="s">
        <v>536</v>
      </c>
      <c r="D1612" s="1">
        <v>120427</v>
      </c>
      <c r="E1612" s="1">
        <v>2267</v>
      </c>
      <c r="F1612" s="1" t="s">
        <v>2426</v>
      </c>
      <c r="G1612" s="1" t="s">
        <v>2427</v>
      </c>
      <c r="H1612" s="1" t="s">
        <v>141</v>
      </c>
      <c r="I1612" s="1" t="s">
        <v>65</v>
      </c>
      <c r="J1612" s="1">
        <v>3</v>
      </c>
      <c r="K1612" s="1" t="s">
        <v>142</v>
      </c>
      <c r="L1612" s="1" t="s">
        <v>153</v>
      </c>
      <c r="M1612" s="1" t="s">
        <v>1256</v>
      </c>
      <c r="N1612" s="1" t="str">
        <f>HYPERLINK("https://klocwork.india.ti.com:443/review/insight-review.html#issuedetails_goto:problemid=120427,project=MCU_PLUS_SDK_AM263X,searchquery=taxonomy:'C and C++' build:Build_Apr_13_2023_11_11_AM grouping:off ","KW Issue Link")</f>
        <v>KW Issue Link</v>
      </c>
      <c r="O1612" s="1" t="s">
        <v>291</v>
      </c>
    </row>
    <row r="1613" spans="1:15" ht="75" x14ac:dyDescent="0.25">
      <c r="A1613" s="1" t="s">
        <v>1268</v>
      </c>
      <c r="B1613" s="1"/>
      <c r="C1613" s="1" t="s">
        <v>536</v>
      </c>
      <c r="D1613" s="1">
        <v>120431</v>
      </c>
      <c r="E1613" s="1">
        <v>1309</v>
      </c>
      <c r="F1613" s="1" t="s">
        <v>2428</v>
      </c>
      <c r="G1613" s="1" t="s">
        <v>538</v>
      </c>
      <c r="H1613" s="1" t="s">
        <v>141</v>
      </c>
      <c r="I1613" s="1" t="s">
        <v>65</v>
      </c>
      <c r="J1613" s="1">
        <v>3</v>
      </c>
      <c r="K1613" s="1" t="s">
        <v>142</v>
      </c>
      <c r="L1613" s="1" t="s">
        <v>153</v>
      </c>
      <c r="M1613" s="1" t="s">
        <v>1256</v>
      </c>
      <c r="N1613" s="1" t="str">
        <f>HYPERLINK("https://klocwork.india.ti.com:443/review/insight-review.html#issuedetails_goto:problemid=120431,project=MCU_PLUS_SDK_AM263X,searchquery=taxonomy:'C and C++' build:Build_Apr_13_2023_11_11_AM grouping:off ","KW Issue Link")</f>
        <v>KW Issue Link</v>
      </c>
      <c r="O1613" s="1" t="s">
        <v>291</v>
      </c>
    </row>
    <row r="1614" spans="1:15" ht="75" x14ac:dyDescent="0.25">
      <c r="A1614" s="1" t="s">
        <v>1268</v>
      </c>
      <c r="B1614" s="1"/>
      <c r="C1614" s="1" t="s">
        <v>536</v>
      </c>
      <c r="D1614" s="1">
        <v>120432</v>
      </c>
      <c r="E1614" s="1">
        <v>1562</v>
      </c>
      <c r="F1614" s="1" t="s">
        <v>2429</v>
      </c>
      <c r="G1614" s="1" t="s">
        <v>540</v>
      </c>
      <c r="H1614" s="1" t="s">
        <v>141</v>
      </c>
      <c r="I1614" s="1" t="s">
        <v>65</v>
      </c>
      <c r="J1614" s="1">
        <v>3</v>
      </c>
      <c r="K1614" s="1" t="s">
        <v>142</v>
      </c>
      <c r="L1614" s="1" t="s">
        <v>153</v>
      </c>
      <c r="M1614" s="1" t="s">
        <v>1256</v>
      </c>
      <c r="N1614" s="1" t="str">
        <f>HYPERLINK("https://klocwork.india.ti.com:443/review/insight-review.html#issuedetails_goto:problemid=120432,project=MCU_PLUS_SDK_AM263X,searchquery=taxonomy:'C and C++' build:Build_Apr_13_2023_11_11_AM grouping:off ","KW Issue Link")</f>
        <v>KW Issue Link</v>
      </c>
      <c r="O1614" s="1" t="s">
        <v>291</v>
      </c>
    </row>
    <row r="1615" spans="1:15" ht="75" x14ac:dyDescent="0.25">
      <c r="A1615" s="1" t="s">
        <v>1268</v>
      </c>
      <c r="B1615" s="1"/>
      <c r="C1615" s="1" t="s">
        <v>536</v>
      </c>
      <c r="D1615" s="1">
        <v>120433</v>
      </c>
      <c r="E1615" s="1">
        <v>1783</v>
      </c>
      <c r="F1615" s="1" t="s">
        <v>2430</v>
      </c>
      <c r="G1615" s="1" t="s">
        <v>542</v>
      </c>
      <c r="H1615" s="1" t="s">
        <v>141</v>
      </c>
      <c r="I1615" s="1" t="s">
        <v>65</v>
      </c>
      <c r="J1615" s="1">
        <v>3</v>
      </c>
      <c r="K1615" s="1" t="s">
        <v>142</v>
      </c>
      <c r="L1615" s="1" t="s">
        <v>153</v>
      </c>
      <c r="M1615" s="1" t="s">
        <v>1256</v>
      </c>
      <c r="N1615" s="1" t="str">
        <f>HYPERLINK("https://klocwork.india.ti.com:443/review/insight-review.html#issuedetails_goto:problemid=120433,project=MCU_PLUS_SDK_AM263X,searchquery=taxonomy:'C and C++' build:Build_Apr_13_2023_11_11_AM grouping:off ","KW Issue Link")</f>
        <v>KW Issue Link</v>
      </c>
      <c r="O1615" s="1" t="s">
        <v>291</v>
      </c>
    </row>
    <row r="1616" spans="1:15" ht="75" x14ac:dyDescent="0.25">
      <c r="A1616" s="1" t="s">
        <v>1268</v>
      </c>
      <c r="B1616" s="1"/>
      <c r="C1616" s="1" t="s">
        <v>536</v>
      </c>
      <c r="D1616" s="1">
        <v>120434</v>
      </c>
      <c r="E1616" s="1">
        <v>1853</v>
      </c>
      <c r="F1616" s="1" t="s">
        <v>2431</v>
      </c>
      <c r="G1616" s="1" t="s">
        <v>543</v>
      </c>
      <c r="H1616" s="1" t="s">
        <v>141</v>
      </c>
      <c r="I1616" s="1" t="s">
        <v>65</v>
      </c>
      <c r="J1616" s="1">
        <v>3</v>
      </c>
      <c r="K1616" s="1" t="s">
        <v>142</v>
      </c>
      <c r="L1616" s="1" t="s">
        <v>153</v>
      </c>
      <c r="M1616" s="1" t="s">
        <v>1256</v>
      </c>
      <c r="N1616" s="1" t="str">
        <f>HYPERLINK("https://klocwork.india.ti.com:443/review/insight-review.html#issuedetails_goto:problemid=120434,project=MCU_PLUS_SDK_AM263X,searchquery=taxonomy:'C and C++' build:Build_Apr_13_2023_11_11_AM grouping:off ","KW Issue Link")</f>
        <v>KW Issue Link</v>
      </c>
      <c r="O1616" s="1" t="s">
        <v>291</v>
      </c>
    </row>
    <row r="1617" spans="1:15" ht="75" x14ac:dyDescent="0.25">
      <c r="A1617" s="1" t="s">
        <v>1268</v>
      </c>
      <c r="B1617" s="1"/>
      <c r="C1617" s="1" t="s">
        <v>536</v>
      </c>
      <c r="D1617" s="1">
        <v>120435</v>
      </c>
      <c r="E1617" s="1">
        <v>1948</v>
      </c>
      <c r="F1617" s="1" t="s">
        <v>2432</v>
      </c>
      <c r="G1617" s="1" t="s">
        <v>544</v>
      </c>
      <c r="H1617" s="1" t="s">
        <v>141</v>
      </c>
      <c r="I1617" s="1" t="s">
        <v>65</v>
      </c>
      <c r="J1617" s="1">
        <v>3</v>
      </c>
      <c r="K1617" s="1" t="s">
        <v>142</v>
      </c>
      <c r="L1617" s="1" t="s">
        <v>153</v>
      </c>
      <c r="M1617" s="1" t="s">
        <v>1256</v>
      </c>
      <c r="N1617" s="1" t="str">
        <f>HYPERLINK("https://klocwork.india.ti.com:443/review/insight-review.html#issuedetails_goto:problemid=120435,project=MCU_PLUS_SDK_AM263X,searchquery=taxonomy:'C and C++' build:Build_Apr_13_2023_11_11_AM grouping:off ","KW Issue Link")</f>
        <v>KW Issue Link</v>
      </c>
      <c r="O1617" s="1" t="s">
        <v>291</v>
      </c>
    </row>
    <row r="1618" spans="1:15" ht="75" x14ac:dyDescent="0.25">
      <c r="A1618" s="1" t="s">
        <v>1268</v>
      </c>
      <c r="B1618" s="1"/>
      <c r="C1618" s="1" t="s">
        <v>536</v>
      </c>
      <c r="D1618" s="1">
        <v>120436</v>
      </c>
      <c r="E1618" s="1">
        <v>2060</v>
      </c>
      <c r="F1618" s="1" t="s">
        <v>2433</v>
      </c>
      <c r="G1618" s="1" t="s">
        <v>2420</v>
      </c>
      <c r="H1618" s="1" t="s">
        <v>141</v>
      </c>
      <c r="I1618" s="1" t="s">
        <v>65</v>
      </c>
      <c r="J1618" s="1">
        <v>3</v>
      </c>
      <c r="K1618" s="1" t="s">
        <v>142</v>
      </c>
      <c r="L1618" s="1" t="s">
        <v>153</v>
      </c>
      <c r="M1618" s="1" t="s">
        <v>1256</v>
      </c>
      <c r="N1618" s="1" t="str">
        <f>HYPERLINK("https://klocwork.india.ti.com:443/review/insight-review.html#issuedetails_goto:problemid=120436,project=MCU_PLUS_SDK_AM263X,searchquery=taxonomy:'C and C++' build:Build_Apr_13_2023_11_11_AM grouping:off ","KW Issue Link")</f>
        <v>KW Issue Link</v>
      </c>
      <c r="O1618" s="1" t="s">
        <v>291</v>
      </c>
    </row>
    <row r="1619" spans="1:15" ht="75" x14ac:dyDescent="0.25">
      <c r="A1619" s="1" t="s">
        <v>1268</v>
      </c>
      <c r="B1619" s="1"/>
      <c r="C1619" s="1" t="s">
        <v>536</v>
      </c>
      <c r="D1619" s="1">
        <v>120438</v>
      </c>
      <c r="E1619" s="1">
        <v>2192</v>
      </c>
      <c r="F1619" s="1" t="s">
        <v>2434</v>
      </c>
      <c r="G1619" s="1" t="s">
        <v>546</v>
      </c>
      <c r="H1619" s="1" t="s">
        <v>141</v>
      </c>
      <c r="I1619" s="1" t="s">
        <v>65</v>
      </c>
      <c r="J1619" s="1">
        <v>3</v>
      </c>
      <c r="K1619" s="1" t="s">
        <v>142</v>
      </c>
      <c r="L1619" s="1" t="s">
        <v>153</v>
      </c>
      <c r="M1619" s="1" t="s">
        <v>1256</v>
      </c>
      <c r="N1619" s="1" t="str">
        <f>HYPERLINK("https://klocwork.india.ti.com:443/review/insight-review.html#issuedetails_goto:problemid=120438,project=MCU_PLUS_SDK_AM263X,searchquery=taxonomy:'C and C++' build:Build_Apr_13_2023_11_11_AM grouping:off ","KW Issue Link")</f>
        <v>KW Issue Link</v>
      </c>
      <c r="O1619" s="1" t="s">
        <v>291</v>
      </c>
    </row>
    <row r="1620" spans="1:15" ht="75" x14ac:dyDescent="0.25">
      <c r="A1620" s="1" t="s">
        <v>1268</v>
      </c>
      <c r="B1620" s="1"/>
      <c r="C1620" s="1" t="s">
        <v>536</v>
      </c>
      <c r="D1620" s="1">
        <v>120439</v>
      </c>
      <c r="E1620" s="1">
        <v>2242</v>
      </c>
      <c r="F1620" s="1" t="s">
        <v>2435</v>
      </c>
      <c r="G1620" s="1" t="s">
        <v>2425</v>
      </c>
      <c r="H1620" s="1" t="s">
        <v>141</v>
      </c>
      <c r="I1620" s="1" t="s">
        <v>65</v>
      </c>
      <c r="J1620" s="1">
        <v>3</v>
      </c>
      <c r="K1620" s="1" t="s">
        <v>142</v>
      </c>
      <c r="L1620" s="1" t="s">
        <v>153</v>
      </c>
      <c r="M1620" s="1" t="s">
        <v>1256</v>
      </c>
      <c r="N1620" s="1" t="str">
        <f>HYPERLINK("https://klocwork.india.ti.com:443/review/insight-review.html#issuedetails_goto:problemid=120439,project=MCU_PLUS_SDK_AM263X,searchquery=taxonomy:'C and C++' build:Build_Apr_13_2023_11_11_AM grouping:off ","KW Issue Link")</f>
        <v>KW Issue Link</v>
      </c>
      <c r="O1620" s="1" t="s">
        <v>291</v>
      </c>
    </row>
    <row r="1621" spans="1:15" ht="75" x14ac:dyDescent="0.25">
      <c r="A1621" s="1" t="s">
        <v>1268</v>
      </c>
      <c r="B1621" s="1"/>
      <c r="C1621" s="1" t="s">
        <v>536</v>
      </c>
      <c r="D1621" s="1">
        <v>120440</v>
      </c>
      <c r="E1621" s="1">
        <v>2267</v>
      </c>
      <c r="F1621" s="1" t="s">
        <v>2436</v>
      </c>
      <c r="G1621" s="1" t="s">
        <v>2427</v>
      </c>
      <c r="H1621" s="1" t="s">
        <v>141</v>
      </c>
      <c r="I1621" s="1" t="s">
        <v>65</v>
      </c>
      <c r="J1621" s="1">
        <v>3</v>
      </c>
      <c r="K1621" s="1" t="s">
        <v>142</v>
      </c>
      <c r="L1621" s="1" t="s">
        <v>153</v>
      </c>
      <c r="M1621" s="1" t="s">
        <v>1256</v>
      </c>
      <c r="N1621" s="1" t="str">
        <f>HYPERLINK("https://klocwork.india.ti.com:443/review/insight-review.html#issuedetails_goto:problemid=120440,project=MCU_PLUS_SDK_AM263X,searchquery=taxonomy:'C and C++' build:Build_Apr_13_2023_11_11_AM grouping:off ","KW Issue Link")</f>
        <v>KW Issue Link</v>
      </c>
      <c r="O1621" s="1" t="s">
        <v>291</v>
      </c>
    </row>
    <row r="1622" spans="1:15" ht="75" x14ac:dyDescent="0.25">
      <c r="A1622" s="1" t="s">
        <v>1252</v>
      </c>
      <c r="B1622" s="1"/>
      <c r="C1622" s="1" t="s">
        <v>536</v>
      </c>
      <c r="D1622" s="1">
        <v>120441</v>
      </c>
      <c r="E1622" s="1">
        <v>968</v>
      </c>
      <c r="F1622" s="1" t="s">
        <v>2437</v>
      </c>
      <c r="G1622" s="1" t="s">
        <v>2414</v>
      </c>
      <c r="H1622" s="1" t="s">
        <v>141</v>
      </c>
      <c r="I1622" s="1" t="s">
        <v>65</v>
      </c>
      <c r="J1622" s="1">
        <v>3</v>
      </c>
      <c r="K1622" s="1" t="s">
        <v>142</v>
      </c>
      <c r="L1622" s="1" t="s">
        <v>153</v>
      </c>
      <c r="M1622" s="1" t="s">
        <v>1256</v>
      </c>
      <c r="N1622" s="1" t="str">
        <f>HYPERLINK("https://klocwork.india.ti.com:443/review/insight-review.html#issuedetails_goto:problemid=120441,project=MCU_PLUS_SDK_AM263X,searchquery=taxonomy:'C and C++' build:Build_Apr_13_2023_11_11_AM grouping:off ","KW Issue Link")</f>
        <v>KW Issue Link</v>
      </c>
      <c r="O1622" s="1" t="s">
        <v>291</v>
      </c>
    </row>
    <row r="1623" spans="1:15" ht="75" x14ac:dyDescent="0.25">
      <c r="A1623" s="1" t="s">
        <v>1252</v>
      </c>
      <c r="B1623" s="1"/>
      <c r="C1623" s="1" t="s">
        <v>536</v>
      </c>
      <c r="D1623" s="1">
        <v>120442</v>
      </c>
      <c r="E1623" s="1">
        <v>2192</v>
      </c>
      <c r="F1623" s="1" t="s">
        <v>2438</v>
      </c>
      <c r="G1623" s="1" t="s">
        <v>546</v>
      </c>
      <c r="H1623" s="1" t="s">
        <v>141</v>
      </c>
      <c r="I1623" s="1" t="s">
        <v>65</v>
      </c>
      <c r="J1623" s="1">
        <v>3</v>
      </c>
      <c r="K1623" s="1" t="s">
        <v>142</v>
      </c>
      <c r="L1623" s="1" t="s">
        <v>153</v>
      </c>
      <c r="M1623" s="1" t="s">
        <v>1256</v>
      </c>
      <c r="N1623" s="1" t="str">
        <f>HYPERLINK("https://klocwork.india.ti.com:443/review/insight-review.html#issuedetails_goto:problemid=120442,project=MCU_PLUS_SDK_AM263X,searchquery=taxonomy:'C and C++' build:Build_Apr_13_2023_11_11_AM grouping:off ","KW Issue Link")</f>
        <v>KW Issue Link</v>
      </c>
      <c r="O1623" s="1" t="s">
        <v>291</v>
      </c>
    </row>
    <row r="1624" spans="1:15" ht="60" x14ac:dyDescent="0.25">
      <c r="A1624" s="1" t="s">
        <v>1257</v>
      </c>
      <c r="B1624" s="1"/>
      <c r="C1624" s="1" t="s">
        <v>552</v>
      </c>
      <c r="D1624" s="1">
        <v>120443</v>
      </c>
      <c r="E1624" s="1">
        <v>251</v>
      </c>
      <c r="F1624" s="1" t="s">
        <v>2439</v>
      </c>
      <c r="G1624" s="1" t="s">
        <v>2440</v>
      </c>
      <c r="H1624" s="1" t="s">
        <v>141</v>
      </c>
      <c r="I1624" s="1" t="s">
        <v>65</v>
      </c>
      <c r="J1624" s="1">
        <v>3</v>
      </c>
      <c r="K1624" s="1" t="s">
        <v>142</v>
      </c>
      <c r="L1624" s="1" t="s">
        <v>153</v>
      </c>
      <c r="M1624" s="1" t="s">
        <v>1256</v>
      </c>
      <c r="N1624" s="1" t="str">
        <f>HYPERLINK("https://klocwork.india.ti.com:443/review/insight-review.html#issuedetails_goto:problemid=120443,project=MCU_PLUS_SDK_AM263X,searchquery=taxonomy:'C and C++' build:Build_Apr_13_2023_11_11_AM grouping:off ","KW Issue Link")</f>
        <v>KW Issue Link</v>
      </c>
      <c r="O1624" s="1" t="s">
        <v>291</v>
      </c>
    </row>
    <row r="1625" spans="1:15" ht="60" x14ac:dyDescent="0.25">
      <c r="A1625" s="1" t="s">
        <v>1257</v>
      </c>
      <c r="B1625" s="1"/>
      <c r="C1625" s="1" t="s">
        <v>552</v>
      </c>
      <c r="D1625" s="1">
        <v>120445</v>
      </c>
      <c r="E1625" s="1">
        <v>999</v>
      </c>
      <c r="F1625" s="1" t="s">
        <v>2441</v>
      </c>
      <c r="G1625" s="1" t="s">
        <v>2442</v>
      </c>
      <c r="H1625" s="1" t="s">
        <v>141</v>
      </c>
      <c r="I1625" s="1" t="s">
        <v>65</v>
      </c>
      <c r="J1625" s="1">
        <v>3</v>
      </c>
      <c r="K1625" s="1" t="s">
        <v>142</v>
      </c>
      <c r="L1625" s="1" t="s">
        <v>153</v>
      </c>
      <c r="M1625" s="1" t="s">
        <v>1256</v>
      </c>
      <c r="N1625" s="1" t="str">
        <f>HYPERLINK("https://klocwork.india.ti.com:443/review/insight-review.html#issuedetails_goto:problemid=120445,project=MCU_PLUS_SDK_AM263X,searchquery=taxonomy:'C and C++' build:Build_Apr_13_2023_11_11_AM grouping:off ","KW Issue Link")</f>
        <v>KW Issue Link</v>
      </c>
      <c r="O1625" s="1" t="s">
        <v>291</v>
      </c>
    </row>
    <row r="1626" spans="1:15" ht="60" x14ac:dyDescent="0.25">
      <c r="A1626" s="1" t="s">
        <v>1266</v>
      </c>
      <c r="B1626" s="1"/>
      <c r="C1626" s="1" t="s">
        <v>552</v>
      </c>
      <c r="D1626" s="1">
        <v>120446</v>
      </c>
      <c r="E1626" s="1">
        <v>251</v>
      </c>
      <c r="F1626" s="1" t="s">
        <v>2443</v>
      </c>
      <c r="G1626" s="1" t="s">
        <v>2440</v>
      </c>
      <c r="H1626" s="1" t="s">
        <v>141</v>
      </c>
      <c r="I1626" s="1" t="s">
        <v>65</v>
      </c>
      <c r="J1626" s="1">
        <v>3</v>
      </c>
      <c r="K1626" s="1" t="s">
        <v>142</v>
      </c>
      <c r="L1626" s="1" t="s">
        <v>153</v>
      </c>
      <c r="M1626" s="1" t="s">
        <v>1256</v>
      </c>
      <c r="N1626" s="1" t="str">
        <f>HYPERLINK("https://klocwork.india.ti.com:443/review/insight-review.html#issuedetails_goto:problemid=120446,project=MCU_PLUS_SDK_AM263X,searchquery=taxonomy:'C and C++' build:Build_Apr_13_2023_11_11_AM grouping:off ","KW Issue Link")</f>
        <v>KW Issue Link</v>
      </c>
      <c r="O1626" s="1" t="s">
        <v>291</v>
      </c>
    </row>
    <row r="1627" spans="1:15" ht="60" x14ac:dyDescent="0.25">
      <c r="A1627" s="1" t="s">
        <v>1266</v>
      </c>
      <c r="B1627" s="1"/>
      <c r="C1627" s="1" t="s">
        <v>552</v>
      </c>
      <c r="D1627" s="1">
        <v>120447</v>
      </c>
      <c r="E1627" s="1">
        <v>308</v>
      </c>
      <c r="F1627" s="1" t="s">
        <v>2444</v>
      </c>
      <c r="G1627" s="1" t="s">
        <v>554</v>
      </c>
      <c r="H1627" s="1" t="s">
        <v>141</v>
      </c>
      <c r="I1627" s="1" t="s">
        <v>65</v>
      </c>
      <c r="J1627" s="1">
        <v>3</v>
      </c>
      <c r="K1627" s="1" t="s">
        <v>142</v>
      </c>
      <c r="L1627" s="1" t="s">
        <v>153</v>
      </c>
      <c r="M1627" s="1" t="s">
        <v>1256</v>
      </c>
      <c r="N1627" s="1" t="str">
        <f>HYPERLINK("https://klocwork.india.ti.com:443/review/insight-review.html#issuedetails_goto:problemid=120447,project=MCU_PLUS_SDK_AM263X,searchquery=taxonomy:'C and C++' build:Build_Apr_13_2023_11_11_AM grouping:off ","KW Issue Link")</f>
        <v>KW Issue Link</v>
      </c>
      <c r="O1627" s="1" t="s">
        <v>291</v>
      </c>
    </row>
    <row r="1628" spans="1:15" ht="60" x14ac:dyDescent="0.25">
      <c r="A1628" s="1" t="s">
        <v>1268</v>
      </c>
      <c r="B1628" s="1"/>
      <c r="C1628" s="1" t="s">
        <v>552</v>
      </c>
      <c r="D1628" s="1">
        <v>120448</v>
      </c>
      <c r="E1628" s="1">
        <v>308</v>
      </c>
      <c r="F1628" s="1" t="s">
        <v>2445</v>
      </c>
      <c r="G1628" s="1" t="s">
        <v>554</v>
      </c>
      <c r="H1628" s="1" t="s">
        <v>141</v>
      </c>
      <c r="I1628" s="1" t="s">
        <v>65</v>
      </c>
      <c r="J1628" s="1">
        <v>3</v>
      </c>
      <c r="K1628" s="1" t="s">
        <v>142</v>
      </c>
      <c r="L1628" s="1" t="s">
        <v>153</v>
      </c>
      <c r="M1628" s="1" t="s">
        <v>1256</v>
      </c>
      <c r="N1628" s="1" t="str">
        <f>HYPERLINK("https://klocwork.india.ti.com:443/review/insight-review.html#issuedetails_goto:problemid=120448,project=MCU_PLUS_SDK_AM263X,searchquery=taxonomy:'C and C++' build:Build_Apr_13_2023_11_11_AM grouping:off ","KW Issue Link")</f>
        <v>KW Issue Link</v>
      </c>
      <c r="O1628" s="1" t="s">
        <v>291</v>
      </c>
    </row>
    <row r="1629" spans="1:15" ht="60" x14ac:dyDescent="0.25">
      <c r="A1629" s="1" t="s">
        <v>1257</v>
      </c>
      <c r="B1629" s="1"/>
      <c r="C1629" s="1" t="s">
        <v>2446</v>
      </c>
      <c r="D1629" s="1">
        <v>120449</v>
      </c>
      <c r="E1629" s="1">
        <v>245</v>
      </c>
      <c r="F1629" s="1" t="s">
        <v>2447</v>
      </c>
      <c r="G1629" s="1" t="s">
        <v>2448</v>
      </c>
      <c r="H1629" s="1" t="s">
        <v>141</v>
      </c>
      <c r="I1629" s="1" t="s">
        <v>65</v>
      </c>
      <c r="J1629" s="1">
        <v>3</v>
      </c>
      <c r="K1629" s="1" t="s">
        <v>142</v>
      </c>
      <c r="L1629" s="1" t="s">
        <v>153</v>
      </c>
      <c r="M1629" s="1" t="s">
        <v>1256</v>
      </c>
      <c r="N1629" s="1" t="str">
        <f>HYPERLINK("https://klocwork.india.ti.com:443/review/insight-review.html#issuedetails_goto:problemid=120449,project=MCU_PLUS_SDK_AM263X,searchquery=taxonomy:'C and C++' build:Build_Apr_13_2023_11_11_AM grouping:off ","KW Issue Link")</f>
        <v>KW Issue Link</v>
      </c>
      <c r="O1629" s="1" t="s">
        <v>291</v>
      </c>
    </row>
    <row r="1630" spans="1:15" ht="60" x14ac:dyDescent="0.25">
      <c r="A1630" s="1" t="s">
        <v>1266</v>
      </c>
      <c r="B1630" s="1"/>
      <c r="C1630" s="1" t="s">
        <v>2446</v>
      </c>
      <c r="D1630" s="1">
        <v>120455</v>
      </c>
      <c r="E1630" s="1">
        <v>245</v>
      </c>
      <c r="F1630" s="1" t="s">
        <v>2449</v>
      </c>
      <c r="G1630" s="1" t="s">
        <v>2448</v>
      </c>
      <c r="H1630" s="1" t="s">
        <v>141</v>
      </c>
      <c r="I1630" s="1" t="s">
        <v>65</v>
      </c>
      <c r="J1630" s="1">
        <v>3</v>
      </c>
      <c r="K1630" s="1" t="s">
        <v>142</v>
      </c>
      <c r="L1630" s="1" t="s">
        <v>153</v>
      </c>
      <c r="M1630" s="1" t="s">
        <v>1256</v>
      </c>
      <c r="N1630" s="1" t="str">
        <f>HYPERLINK("https://klocwork.india.ti.com:443/review/insight-review.html#issuedetails_goto:problemid=120455,project=MCU_PLUS_SDK_AM263X,searchquery=taxonomy:'C and C++' build:Build_Apr_13_2023_11_11_AM grouping:off ","KW Issue Link")</f>
        <v>KW Issue Link</v>
      </c>
      <c r="O1630" s="1" t="s">
        <v>291</v>
      </c>
    </row>
    <row r="1631" spans="1:15" ht="60" x14ac:dyDescent="0.25">
      <c r="A1631" s="1" t="s">
        <v>1257</v>
      </c>
      <c r="B1631" s="1"/>
      <c r="C1631" s="1" t="s">
        <v>1233</v>
      </c>
      <c r="D1631" s="1">
        <v>120456</v>
      </c>
      <c r="E1631" s="1">
        <v>509</v>
      </c>
      <c r="F1631" s="1" t="s">
        <v>2450</v>
      </c>
      <c r="G1631" s="1" t="s">
        <v>2451</v>
      </c>
      <c r="H1631" s="1" t="s">
        <v>141</v>
      </c>
      <c r="I1631" s="1" t="s">
        <v>65</v>
      </c>
      <c r="J1631" s="1">
        <v>3</v>
      </c>
      <c r="K1631" s="1" t="s">
        <v>142</v>
      </c>
      <c r="L1631" s="1" t="s">
        <v>153</v>
      </c>
      <c r="M1631" s="1" t="s">
        <v>1256</v>
      </c>
      <c r="N1631" s="1" t="str">
        <f>HYPERLINK("https://klocwork.india.ti.com:443/review/insight-review.html#issuedetails_goto:problemid=120456,project=MCU_PLUS_SDK_AM263X,searchquery=taxonomy:'C and C++' build:Build_Apr_13_2023_11_11_AM grouping:off ","KW Issue Link")</f>
        <v>KW Issue Link</v>
      </c>
      <c r="O1631" s="1" t="s">
        <v>1235</v>
      </c>
    </row>
    <row r="1632" spans="1:15" ht="60" x14ac:dyDescent="0.25">
      <c r="A1632" s="1" t="s">
        <v>1257</v>
      </c>
      <c r="B1632" s="1"/>
      <c r="C1632" s="1" t="s">
        <v>1233</v>
      </c>
      <c r="D1632" s="1">
        <v>120457</v>
      </c>
      <c r="E1632" s="1">
        <v>801</v>
      </c>
      <c r="F1632" s="1" t="s">
        <v>2452</v>
      </c>
      <c r="G1632" s="1" t="s">
        <v>1237</v>
      </c>
      <c r="H1632" s="1" t="s">
        <v>141</v>
      </c>
      <c r="I1632" s="1" t="s">
        <v>65</v>
      </c>
      <c r="J1632" s="1">
        <v>3</v>
      </c>
      <c r="K1632" s="1" t="s">
        <v>142</v>
      </c>
      <c r="L1632" s="1" t="s">
        <v>153</v>
      </c>
      <c r="M1632" s="1" t="s">
        <v>1256</v>
      </c>
      <c r="N1632" s="1" t="str">
        <f>HYPERLINK("https://klocwork.india.ti.com:443/review/insight-review.html#issuedetails_goto:problemid=120457,project=MCU_PLUS_SDK_AM263X,searchquery=taxonomy:'C and C++' build:Build_Apr_13_2023_11_11_AM grouping:off ","KW Issue Link")</f>
        <v>KW Issue Link</v>
      </c>
      <c r="O1632" s="1" t="s">
        <v>1235</v>
      </c>
    </row>
    <row r="1633" spans="1:15" ht="60" x14ac:dyDescent="0.25">
      <c r="A1633" s="1" t="s">
        <v>1257</v>
      </c>
      <c r="B1633" s="1"/>
      <c r="C1633" s="1" t="s">
        <v>1233</v>
      </c>
      <c r="D1633" s="1">
        <v>120458</v>
      </c>
      <c r="E1633" s="1">
        <v>1324</v>
      </c>
      <c r="F1633" s="1" t="s">
        <v>2453</v>
      </c>
      <c r="G1633" s="1" t="s">
        <v>1238</v>
      </c>
      <c r="H1633" s="1" t="s">
        <v>141</v>
      </c>
      <c r="I1633" s="1" t="s">
        <v>65</v>
      </c>
      <c r="J1633" s="1">
        <v>3</v>
      </c>
      <c r="K1633" s="1" t="s">
        <v>142</v>
      </c>
      <c r="L1633" s="1" t="s">
        <v>153</v>
      </c>
      <c r="M1633" s="1" t="s">
        <v>1256</v>
      </c>
      <c r="N1633" s="1" t="str">
        <f>HYPERLINK("https://klocwork.india.ti.com:443/review/insight-review.html#issuedetails_goto:problemid=120458,project=MCU_PLUS_SDK_AM263X,searchquery=taxonomy:'C and C++' build:Build_Apr_13_2023_11_11_AM grouping:off ","KW Issue Link")</f>
        <v>KW Issue Link</v>
      </c>
      <c r="O1633" s="1" t="s">
        <v>1235</v>
      </c>
    </row>
    <row r="1634" spans="1:15" ht="60" x14ac:dyDescent="0.25">
      <c r="A1634" s="1" t="s">
        <v>1257</v>
      </c>
      <c r="B1634" s="1"/>
      <c r="C1634" s="1" t="s">
        <v>1233</v>
      </c>
      <c r="D1634" s="1">
        <v>120459</v>
      </c>
      <c r="E1634" s="1">
        <v>1671</v>
      </c>
      <c r="F1634" s="1" t="s">
        <v>2454</v>
      </c>
      <c r="G1634" s="1" t="s">
        <v>1240</v>
      </c>
      <c r="H1634" s="1" t="s">
        <v>141</v>
      </c>
      <c r="I1634" s="1" t="s">
        <v>65</v>
      </c>
      <c r="J1634" s="1">
        <v>3</v>
      </c>
      <c r="K1634" s="1" t="s">
        <v>142</v>
      </c>
      <c r="L1634" s="1" t="s">
        <v>153</v>
      </c>
      <c r="M1634" s="1" t="s">
        <v>1256</v>
      </c>
      <c r="N1634" s="1" t="str">
        <f>HYPERLINK("https://klocwork.india.ti.com:443/review/insight-review.html#issuedetails_goto:problemid=120459,project=MCU_PLUS_SDK_AM263X,searchquery=taxonomy:'C and C++' build:Build_Apr_13_2023_11_11_AM grouping:off ","KW Issue Link")</f>
        <v>KW Issue Link</v>
      </c>
      <c r="O1634" s="1" t="s">
        <v>1235</v>
      </c>
    </row>
    <row r="1635" spans="1:15" ht="60" x14ac:dyDescent="0.25">
      <c r="A1635" s="1" t="s">
        <v>1257</v>
      </c>
      <c r="B1635" s="1"/>
      <c r="C1635" s="1" t="s">
        <v>1233</v>
      </c>
      <c r="D1635" s="1">
        <v>120460</v>
      </c>
      <c r="E1635" s="1">
        <v>1989</v>
      </c>
      <c r="F1635" s="1" t="s">
        <v>2455</v>
      </c>
      <c r="G1635" s="1" t="s">
        <v>2456</v>
      </c>
      <c r="H1635" s="1" t="s">
        <v>141</v>
      </c>
      <c r="I1635" s="1" t="s">
        <v>65</v>
      </c>
      <c r="J1635" s="1">
        <v>3</v>
      </c>
      <c r="K1635" s="1" t="s">
        <v>142</v>
      </c>
      <c r="L1635" s="1" t="s">
        <v>153</v>
      </c>
      <c r="M1635" s="1" t="s">
        <v>1256</v>
      </c>
      <c r="N1635" s="1" t="str">
        <f>HYPERLINK("https://klocwork.india.ti.com:443/review/insight-review.html#issuedetails_goto:problemid=120460,project=MCU_PLUS_SDK_AM263X,searchquery=taxonomy:'C and C++' build:Build_Apr_13_2023_11_11_AM grouping:off ","KW Issue Link")</f>
        <v>KW Issue Link</v>
      </c>
      <c r="O1635" s="1" t="s">
        <v>1235</v>
      </c>
    </row>
    <row r="1636" spans="1:15" ht="60" x14ac:dyDescent="0.25">
      <c r="A1636" s="1" t="s">
        <v>1257</v>
      </c>
      <c r="B1636" s="1"/>
      <c r="C1636" s="1" t="s">
        <v>1233</v>
      </c>
      <c r="D1636" s="1">
        <v>120461</v>
      </c>
      <c r="E1636" s="1">
        <v>2094</v>
      </c>
      <c r="F1636" s="1" t="s">
        <v>2457</v>
      </c>
      <c r="G1636" s="1" t="s">
        <v>2458</v>
      </c>
      <c r="H1636" s="1" t="s">
        <v>141</v>
      </c>
      <c r="I1636" s="1" t="s">
        <v>65</v>
      </c>
      <c r="J1636" s="1">
        <v>3</v>
      </c>
      <c r="K1636" s="1" t="s">
        <v>142</v>
      </c>
      <c r="L1636" s="1" t="s">
        <v>153</v>
      </c>
      <c r="M1636" s="1" t="s">
        <v>1256</v>
      </c>
      <c r="N1636" s="1" t="str">
        <f>HYPERLINK("https://klocwork.india.ti.com:443/review/insight-review.html#issuedetails_goto:problemid=120461,project=MCU_PLUS_SDK_AM263X,searchquery=taxonomy:'C and C++' build:Build_Apr_13_2023_11_11_AM grouping:off ","KW Issue Link")</f>
        <v>KW Issue Link</v>
      </c>
      <c r="O1636" s="1" t="s">
        <v>1235</v>
      </c>
    </row>
    <row r="1637" spans="1:15" ht="60" x14ac:dyDescent="0.25">
      <c r="A1637" s="1" t="s">
        <v>1257</v>
      </c>
      <c r="B1637" s="1"/>
      <c r="C1637" s="1" t="s">
        <v>1233</v>
      </c>
      <c r="D1637" s="1">
        <v>120462</v>
      </c>
      <c r="E1637" s="1">
        <v>2326</v>
      </c>
      <c r="F1637" s="1" t="s">
        <v>2459</v>
      </c>
      <c r="G1637" s="1" t="s">
        <v>2460</v>
      </c>
      <c r="H1637" s="1" t="s">
        <v>141</v>
      </c>
      <c r="I1637" s="1" t="s">
        <v>65</v>
      </c>
      <c r="J1637" s="1">
        <v>3</v>
      </c>
      <c r="K1637" s="1" t="s">
        <v>142</v>
      </c>
      <c r="L1637" s="1" t="s">
        <v>153</v>
      </c>
      <c r="M1637" s="1" t="s">
        <v>1256</v>
      </c>
      <c r="N1637" s="1" t="str">
        <f>HYPERLINK("https://klocwork.india.ti.com:443/review/insight-review.html#issuedetails_goto:problemid=120462,project=MCU_PLUS_SDK_AM263X,searchquery=taxonomy:'C and C++' build:Build_Apr_13_2023_11_11_AM grouping:off ","KW Issue Link")</f>
        <v>KW Issue Link</v>
      </c>
      <c r="O1637" s="1" t="s">
        <v>1235</v>
      </c>
    </row>
    <row r="1638" spans="1:15" ht="60" x14ac:dyDescent="0.25">
      <c r="A1638" s="1" t="s">
        <v>1257</v>
      </c>
      <c r="B1638" s="1"/>
      <c r="C1638" s="1" t="s">
        <v>1233</v>
      </c>
      <c r="D1638" s="1">
        <v>120463</v>
      </c>
      <c r="E1638" s="1">
        <v>2369</v>
      </c>
      <c r="F1638" s="1" t="s">
        <v>2461</v>
      </c>
      <c r="G1638" s="1" t="s">
        <v>2462</v>
      </c>
      <c r="H1638" s="1" t="s">
        <v>141</v>
      </c>
      <c r="I1638" s="1" t="s">
        <v>65</v>
      </c>
      <c r="J1638" s="1">
        <v>3</v>
      </c>
      <c r="K1638" s="1" t="s">
        <v>142</v>
      </c>
      <c r="L1638" s="1" t="s">
        <v>153</v>
      </c>
      <c r="M1638" s="1" t="s">
        <v>1256</v>
      </c>
      <c r="N1638" s="1" t="str">
        <f>HYPERLINK("https://klocwork.india.ti.com:443/review/insight-review.html#issuedetails_goto:problemid=120463,project=MCU_PLUS_SDK_AM263X,searchquery=taxonomy:'C and C++' build:Build_Apr_13_2023_11_11_AM grouping:off ","KW Issue Link")</f>
        <v>KW Issue Link</v>
      </c>
      <c r="O1638" s="1" t="s">
        <v>1235</v>
      </c>
    </row>
    <row r="1639" spans="1:15" ht="60" x14ac:dyDescent="0.25">
      <c r="A1639" s="1" t="s">
        <v>1257</v>
      </c>
      <c r="B1639" s="1"/>
      <c r="C1639" s="1" t="s">
        <v>1233</v>
      </c>
      <c r="D1639" s="1">
        <v>120464</v>
      </c>
      <c r="E1639" s="1">
        <v>2855</v>
      </c>
      <c r="F1639" s="1" t="s">
        <v>2463</v>
      </c>
      <c r="G1639" s="1" t="s">
        <v>1250</v>
      </c>
      <c r="H1639" s="1" t="s">
        <v>141</v>
      </c>
      <c r="I1639" s="1" t="s">
        <v>65</v>
      </c>
      <c r="J1639" s="1">
        <v>3</v>
      </c>
      <c r="K1639" s="1" t="s">
        <v>142</v>
      </c>
      <c r="L1639" s="1" t="s">
        <v>153</v>
      </c>
      <c r="M1639" s="1" t="s">
        <v>1256</v>
      </c>
      <c r="N1639" s="1" t="str">
        <f>HYPERLINK("https://klocwork.india.ti.com:443/review/insight-review.html#issuedetails_goto:problemid=120464,project=MCU_PLUS_SDK_AM263X,searchquery=taxonomy:'C and C++' build:Build_Apr_13_2023_11_11_AM grouping:off ","KW Issue Link")</f>
        <v>KW Issue Link</v>
      </c>
      <c r="O1639" s="1" t="s">
        <v>1235</v>
      </c>
    </row>
    <row r="1640" spans="1:15" ht="60" x14ac:dyDescent="0.25">
      <c r="A1640" s="1" t="s">
        <v>1266</v>
      </c>
      <c r="B1640" s="1"/>
      <c r="C1640" s="1" t="s">
        <v>1233</v>
      </c>
      <c r="D1640" s="1">
        <v>120466</v>
      </c>
      <c r="E1640" s="1">
        <v>509</v>
      </c>
      <c r="F1640" s="1" t="s">
        <v>2464</v>
      </c>
      <c r="G1640" s="1" t="s">
        <v>2451</v>
      </c>
      <c r="H1640" s="1" t="s">
        <v>141</v>
      </c>
      <c r="I1640" s="1" t="s">
        <v>65</v>
      </c>
      <c r="J1640" s="1">
        <v>3</v>
      </c>
      <c r="K1640" s="1" t="s">
        <v>142</v>
      </c>
      <c r="L1640" s="1" t="s">
        <v>153</v>
      </c>
      <c r="M1640" s="1" t="s">
        <v>1256</v>
      </c>
      <c r="N1640" s="1" t="str">
        <f>HYPERLINK("https://klocwork.india.ti.com:443/review/insight-review.html#issuedetails_goto:problemid=120466,project=MCU_PLUS_SDK_AM263X,searchquery=taxonomy:'C and C++' build:Build_Apr_13_2023_11_11_AM grouping:off ","KW Issue Link")</f>
        <v>KW Issue Link</v>
      </c>
      <c r="O1640" s="1" t="s">
        <v>1235</v>
      </c>
    </row>
    <row r="1641" spans="1:15" ht="60" x14ac:dyDescent="0.25">
      <c r="A1641" s="1" t="s">
        <v>1266</v>
      </c>
      <c r="B1641" s="1"/>
      <c r="C1641" s="1" t="s">
        <v>1233</v>
      </c>
      <c r="D1641" s="1">
        <v>120467</v>
      </c>
      <c r="E1641" s="1">
        <v>801</v>
      </c>
      <c r="F1641" s="1" t="s">
        <v>2465</v>
      </c>
      <c r="G1641" s="1" t="s">
        <v>1237</v>
      </c>
      <c r="H1641" s="1" t="s">
        <v>141</v>
      </c>
      <c r="I1641" s="1" t="s">
        <v>65</v>
      </c>
      <c r="J1641" s="1">
        <v>3</v>
      </c>
      <c r="K1641" s="1" t="s">
        <v>142</v>
      </c>
      <c r="L1641" s="1" t="s">
        <v>153</v>
      </c>
      <c r="M1641" s="1" t="s">
        <v>1256</v>
      </c>
      <c r="N1641" s="1" t="str">
        <f>HYPERLINK("https://klocwork.india.ti.com:443/review/insight-review.html#issuedetails_goto:problemid=120467,project=MCU_PLUS_SDK_AM263X,searchquery=taxonomy:'C and C++' build:Build_Apr_13_2023_11_11_AM grouping:off ","KW Issue Link")</f>
        <v>KW Issue Link</v>
      </c>
      <c r="O1641" s="1" t="s">
        <v>1235</v>
      </c>
    </row>
    <row r="1642" spans="1:15" ht="60" x14ac:dyDescent="0.25">
      <c r="A1642" s="1" t="s">
        <v>1266</v>
      </c>
      <c r="B1642" s="1"/>
      <c r="C1642" s="1" t="s">
        <v>1233</v>
      </c>
      <c r="D1642" s="1">
        <v>120468</v>
      </c>
      <c r="E1642" s="1">
        <v>1324</v>
      </c>
      <c r="F1642" s="1" t="s">
        <v>2466</v>
      </c>
      <c r="G1642" s="1" t="s">
        <v>1238</v>
      </c>
      <c r="H1642" s="1" t="s">
        <v>141</v>
      </c>
      <c r="I1642" s="1" t="s">
        <v>65</v>
      </c>
      <c r="J1642" s="1">
        <v>3</v>
      </c>
      <c r="K1642" s="1" t="s">
        <v>142</v>
      </c>
      <c r="L1642" s="1" t="s">
        <v>153</v>
      </c>
      <c r="M1642" s="1" t="s">
        <v>1256</v>
      </c>
      <c r="N1642" s="1" t="str">
        <f>HYPERLINK("https://klocwork.india.ti.com:443/review/insight-review.html#issuedetails_goto:problemid=120468,project=MCU_PLUS_SDK_AM263X,searchquery=taxonomy:'C and C++' build:Build_Apr_13_2023_11_11_AM grouping:off ","KW Issue Link")</f>
        <v>KW Issue Link</v>
      </c>
      <c r="O1642" s="1" t="s">
        <v>1235</v>
      </c>
    </row>
    <row r="1643" spans="1:15" ht="60" x14ac:dyDescent="0.25">
      <c r="A1643" s="1" t="s">
        <v>1266</v>
      </c>
      <c r="B1643" s="1"/>
      <c r="C1643" s="1" t="s">
        <v>1233</v>
      </c>
      <c r="D1643" s="1">
        <v>120469</v>
      </c>
      <c r="E1643" s="1">
        <v>1671</v>
      </c>
      <c r="F1643" s="1" t="s">
        <v>2467</v>
      </c>
      <c r="G1643" s="1" t="s">
        <v>1240</v>
      </c>
      <c r="H1643" s="1" t="s">
        <v>141</v>
      </c>
      <c r="I1643" s="1" t="s">
        <v>65</v>
      </c>
      <c r="J1643" s="1">
        <v>3</v>
      </c>
      <c r="K1643" s="1" t="s">
        <v>142</v>
      </c>
      <c r="L1643" s="1" t="s">
        <v>153</v>
      </c>
      <c r="M1643" s="1" t="s">
        <v>1256</v>
      </c>
      <c r="N1643" s="1" t="str">
        <f>HYPERLINK("https://klocwork.india.ti.com:443/review/insight-review.html#issuedetails_goto:problemid=120469,project=MCU_PLUS_SDK_AM263X,searchquery=taxonomy:'C and C++' build:Build_Apr_13_2023_11_11_AM grouping:off ","KW Issue Link")</f>
        <v>KW Issue Link</v>
      </c>
      <c r="O1643" s="1" t="s">
        <v>1235</v>
      </c>
    </row>
    <row r="1644" spans="1:15" ht="60" x14ac:dyDescent="0.25">
      <c r="A1644" s="1" t="s">
        <v>1266</v>
      </c>
      <c r="B1644" s="1"/>
      <c r="C1644" s="1" t="s">
        <v>1233</v>
      </c>
      <c r="D1644" s="1">
        <v>120470</v>
      </c>
      <c r="E1644" s="1">
        <v>1989</v>
      </c>
      <c r="F1644" s="1" t="s">
        <v>2468</v>
      </c>
      <c r="G1644" s="1" t="s">
        <v>2456</v>
      </c>
      <c r="H1644" s="1" t="s">
        <v>141</v>
      </c>
      <c r="I1644" s="1" t="s">
        <v>65</v>
      </c>
      <c r="J1644" s="1">
        <v>3</v>
      </c>
      <c r="K1644" s="1" t="s">
        <v>142</v>
      </c>
      <c r="L1644" s="1" t="s">
        <v>153</v>
      </c>
      <c r="M1644" s="1" t="s">
        <v>1256</v>
      </c>
      <c r="N1644" s="1" t="str">
        <f>HYPERLINK("https://klocwork.india.ti.com:443/review/insight-review.html#issuedetails_goto:problemid=120470,project=MCU_PLUS_SDK_AM263X,searchquery=taxonomy:'C and C++' build:Build_Apr_13_2023_11_11_AM grouping:off ","KW Issue Link")</f>
        <v>KW Issue Link</v>
      </c>
      <c r="O1644" s="1" t="s">
        <v>1235</v>
      </c>
    </row>
    <row r="1645" spans="1:15" ht="60" x14ac:dyDescent="0.25">
      <c r="A1645" s="1" t="s">
        <v>1266</v>
      </c>
      <c r="B1645" s="1"/>
      <c r="C1645" s="1" t="s">
        <v>1233</v>
      </c>
      <c r="D1645" s="1">
        <v>120471</v>
      </c>
      <c r="E1645" s="1">
        <v>2369</v>
      </c>
      <c r="F1645" s="1" t="s">
        <v>2469</v>
      </c>
      <c r="G1645" s="1" t="s">
        <v>2462</v>
      </c>
      <c r="H1645" s="1" t="s">
        <v>141</v>
      </c>
      <c r="I1645" s="1" t="s">
        <v>65</v>
      </c>
      <c r="J1645" s="1">
        <v>3</v>
      </c>
      <c r="K1645" s="1" t="s">
        <v>142</v>
      </c>
      <c r="L1645" s="1" t="s">
        <v>153</v>
      </c>
      <c r="M1645" s="1" t="s">
        <v>1256</v>
      </c>
      <c r="N1645" s="1" t="str">
        <f>HYPERLINK("https://klocwork.india.ti.com:443/review/insight-review.html#issuedetails_goto:problemid=120471,project=MCU_PLUS_SDK_AM263X,searchquery=taxonomy:'C and C++' build:Build_Apr_13_2023_11_11_AM grouping:off ","KW Issue Link")</f>
        <v>KW Issue Link</v>
      </c>
      <c r="O1645" s="1" t="s">
        <v>1235</v>
      </c>
    </row>
    <row r="1646" spans="1:15" ht="60" x14ac:dyDescent="0.25">
      <c r="A1646" s="1" t="s">
        <v>1268</v>
      </c>
      <c r="B1646" s="1"/>
      <c r="C1646" s="1" t="s">
        <v>1233</v>
      </c>
      <c r="D1646" s="1">
        <v>120472</v>
      </c>
      <c r="E1646" s="1">
        <v>509</v>
      </c>
      <c r="F1646" s="1" t="s">
        <v>2470</v>
      </c>
      <c r="G1646" s="1" t="s">
        <v>2451</v>
      </c>
      <c r="H1646" s="1" t="s">
        <v>141</v>
      </c>
      <c r="I1646" s="1" t="s">
        <v>65</v>
      </c>
      <c r="J1646" s="1">
        <v>3</v>
      </c>
      <c r="K1646" s="1" t="s">
        <v>142</v>
      </c>
      <c r="L1646" s="1" t="s">
        <v>153</v>
      </c>
      <c r="M1646" s="1" t="s">
        <v>1256</v>
      </c>
      <c r="N1646" s="1" t="str">
        <f>HYPERLINK("https://klocwork.india.ti.com:443/review/insight-review.html#issuedetails_goto:problemid=120472,project=MCU_PLUS_SDK_AM263X,searchquery=taxonomy:'C and C++' build:Build_Apr_13_2023_11_11_AM grouping:off ","KW Issue Link")</f>
        <v>KW Issue Link</v>
      </c>
      <c r="O1646" s="1" t="s">
        <v>1235</v>
      </c>
    </row>
    <row r="1647" spans="1:15" ht="60" x14ac:dyDescent="0.25">
      <c r="A1647" s="1" t="s">
        <v>1268</v>
      </c>
      <c r="B1647" s="1"/>
      <c r="C1647" s="1" t="s">
        <v>1233</v>
      </c>
      <c r="D1647" s="1">
        <v>120473</v>
      </c>
      <c r="E1647" s="1">
        <v>801</v>
      </c>
      <c r="F1647" s="1" t="s">
        <v>2471</v>
      </c>
      <c r="G1647" s="1" t="s">
        <v>1237</v>
      </c>
      <c r="H1647" s="1" t="s">
        <v>141</v>
      </c>
      <c r="I1647" s="1" t="s">
        <v>65</v>
      </c>
      <c r="J1647" s="1">
        <v>3</v>
      </c>
      <c r="K1647" s="1" t="s">
        <v>142</v>
      </c>
      <c r="L1647" s="1" t="s">
        <v>153</v>
      </c>
      <c r="M1647" s="1" t="s">
        <v>1256</v>
      </c>
      <c r="N1647" s="1" t="str">
        <f>HYPERLINK("https://klocwork.india.ti.com:443/review/insight-review.html#issuedetails_goto:problemid=120473,project=MCU_PLUS_SDK_AM263X,searchquery=taxonomy:'C and C++' build:Build_Apr_13_2023_11_11_AM grouping:off ","KW Issue Link")</f>
        <v>KW Issue Link</v>
      </c>
      <c r="O1647" s="1" t="s">
        <v>1235</v>
      </c>
    </row>
    <row r="1648" spans="1:15" ht="60" x14ac:dyDescent="0.25">
      <c r="A1648" s="1" t="s">
        <v>1268</v>
      </c>
      <c r="B1648" s="1"/>
      <c r="C1648" s="1" t="s">
        <v>1233</v>
      </c>
      <c r="D1648" s="1">
        <v>120474</v>
      </c>
      <c r="E1648" s="1">
        <v>1324</v>
      </c>
      <c r="F1648" s="1" t="s">
        <v>2472</v>
      </c>
      <c r="G1648" s="1" t="s">
        <v>1238</v>
      </c>
      <c r="H1648" s="1" t="s">
        <v>141</v>
      </c>
      <c r="I1648" s="1" t="s">
        <v>65</v>
      </c>
      <c r="J1648" s="1">
        <v>3</v>
      </c>
      <c r="K1648" s="1" t="s">
        <v>142</v>
      </c>
      <c r="L1648" s="1" t="s">
        <v>153</v>
      </c>
      <c r="M1648" s="1" t="s">
        <v>1256</v>
      </c>
      <c r="N1648" s="1" t="str">
        <f>HYPERLINK("https://klocwork.india.ti.com:443/review/insight-review.html#issuedetails_goto:problemid=120474,project=MCU_PLUS_SDK_AM263X,searchquery=taxonomy:'C and C++' build:Build_Apr_13_2023_11_11_AM grouping:off ","KW Issue Link")</f>
        <v>KW Issue Link</v>
      </c>
      <c r="O1648" s="1" t="s">
        <v>1235</v>
      </c>
    </row>
    <row r="1649" spans="1:15" ht="60" x14ac:dyDescent="0.25">
      <c r="A1649" s="1" t="s">
        <v>1268</v>
      </c>
      <c r="B1649" s="1"/>
      <c r="C1649" s="1" t="s">
        <v>1233</v>
      </c>
      <c r="D1649" s="1">
        <v>120475</v>
      </c>
      <c r="E1649" s="1">
        <v>1671</v>
      </c>
      <c r="F1649" s="1" t="s">
        <v>2473</v>
      </c>
      <c r="G1649" s="1" t="s">
        <v>1240</v>
      </c>
      <c r="H1649" s="1" t="s">
        <v>141</v>
      </c>
      <c r="I1649" s="1" t="s">
        <v>65</v>
      </c>
      <c r="J1649" s="1">
        <v>3</v>
      </c>
      <c r="K1649" s="1" t="s">
        <v>142</v>
      </c>
      <c r="L1649" s="1" t="s">
        <v>153</v>
      </c>
      <c r="M1649" s="1" t="s">
        <v>1256</v>
      </c>
      <c r="N1649" s="1" t="str">
        <f>HYPERLINK("https://klocwork.india.ti.com:443/review/insight-review.html#issuedetails_goto:problemid=120475,project=MCU_PLUS_SDK_AM263X,searchquery=taxonomy:'C and C++' build:Build_Apr_13_2023_11_11_AM grouping:off ","KW Issue Link")</f>
        <v>KW Issue Link</v>
      </c>
      <c r="O1649" s="1" t="s">
        <v>1235</v>
      </c>
    </row>
    <row r="1650" spans="1:15" ht="60" x14ac:dyDescent="0.25">
      <c r="A1650" s="1" t="s">
        <v>1268</v>
      </c>
      <c r="B1650" s="1"/>
      <c r="C1650" s="1" t="s">
        <v>1233</v>
      </c>
      <c r="D1650" s="1">
        <v>120476</v>
      </c>
      <c r="E1650" s="1">
        <v>1989</v>
      </c>
      <c r="F1650" s="1" t="s">
        <v>2474</v>
      </c>
      <c r="G1650" s="1" t="s">
        <v>2456</v>
      </c>
      <c r="H1650" s="1" t="s">
        <v>141</v>
      </c>
      <c r="I1650" s="1" t="s">
        <v>65</v>
      </c>
      <c r="J1650" s="1">
        <v>3</v>
      </c>
      <c r="K1650" s="1" t="s">
        <v>142</v>
      </c>
      <c r="L1650" s="1" t="s">
        <v>153</v>
      </c>
      <c r="M1650" s="1" t="s">
        <v>1256</v>
      </c>
      <c r="N1650" s="1" t="str">
        <f>HYPERLINK("https://klocwork.india.ti.com:443/review/insight-review.html#issuedetails_goto:problemid=120476,project=MCU_PLUS_SDK_AM263X,searchquery=taxonomy:'C and C++' build:Build_Apr_13_2023_11_11_AM grouping:off ","KW Issue Link")</f>
        <v>KW Issue Link</v>
      </c>
      <c r="O1650" s="1" t="s">
        <v>1235</v>
      </c>
    </row>
    <row r="1651" spans="1:15" ht="60" x14ac:dyDescent="0.25">
      <c r="A1651" s="1" t="s">
        <v>1268</v>
      </c>
      <c r="B1651" s="1"/>
      <c r="C1651" s="1" t="s">
        <v>1233</v>
      </c>
      <c r="D1651" s="1">
        <v>120477</v>
      </c>
      <c r="E1651" s="1">
        <v>2369</v>
      </c>
      <c r="F1651" s="1" t="s">
        <v>2475</v>
      </c>
      <c r="G1651" s="1" t="s">
        <v>2462</v>
      </c>
      <c r="H1651" s="1" t="s">
        <v>141</v>
      </c>
      <c r="I1651" s="1" t="s">
        <v>65</v>
      </c>
      <c r="J1651" s="1">
        <v>3</v>
      </c>
      <c r="K1651" s="1" t="s">
        <v>142</v>
      </c>
      <c r="L1651" s="1" t="s">
        <v>153</v>
      </c>
      <c r="M1651" s="1" t="s">
        <v>1256</v>
      </c>
      <c r="N1651" s="1" t="str">
        <f>HYPERLINK("https://klocwork.india.ti.com:443/review/insight-review.html#issuedetails_goto:problemid=120477,project=MCU_PLUS_SDK_AM263X,searchquery=taxonomy:'C and C++' build:Build_Apr_13_2023_11_11_AM grouping:off ","KW Issue Link")</f>
        <v>KW Issue Link</v>
      </c>
      <c r="O1651" s="1" t="s">
        <v>1235</v>
      </c>
    </row>
    <row r="1652" spans="1:15" ht="75" x14ac:dyDescent="0.25">
      <c r="A1652" s="1" t="s">
        <v>1257</v>
      </c>
      <c r="B1652" s="1"/>
      <c r="C1652" s="1" t="s">
        <v>555</v>
      </c>
      <c r="D1652" s="1">
        <v>120479</v>
      </c>
      <c r="E1652" s="1">
        <v>234</v>
      </c>
      <c r="F1652" s="1" t="s">
        <v>2476</v>
      </c>
      <c r="G1652" s="1" t="s">
        <v>2477</v>
      </c>
      <c r="H1652" s="1" t="s">
        <v>141</v>
      </c>
      <c r="I1652" s="1" t="s">
        <v>65</v>
      </c>
      <c r="J1652" s="1">
        <v>3</v>
      </c>
      <c r="K1652" s="1" t="s">
        <v>142</v>
      </c>
      <c r="L1652" s="1" t="s">
        <v>153</v>
      </c>
      <c r="M1652" s="1" t="s">
        <v>1256</v>
      </c>
      <c r="N1652" s="1" t="str">
        <f>HYPERLINK("https://klocwork.india.ti.com:443/review/insight-review.html#issuedetails_goto:problemid=120479,project=MCU_PLUS_SDK_AM263X,searchquery=taxonomy:'C and C++' build:Build_Apr_13_2023_11_11_AM grouping:off ","KW Issue Link")</f>
        <v>KW Issue Link</v>
      </c>
      <c r="O1652" s="1" t="s">
        <v>291</v>
      </c>
    </row>
    <row r="1653" spans="1:15" ht="75" x14ac:dyDescent="0.25">
      <c r="A1653" s="1" t="s">
        <v>1257</v>
      </c>
      <c r="B1653" s="1"/>
      <c r="C1653" s="1" t="s">
        <v>555</v>
      </c>
      <c r="D1653" s="1">
        <v>120487</v>
      </c>
      <c r="E1653" s="1">
        <v>537</v>
      </c>
      <c r="F1653" s="1" t="s">
        <v>2478</v>
      </c>
      <c r="G1653" s="1" t="s">
        <v>573</v>
      </c>
      <c r="H1653" s="1" t="s">
        <v>141</v>
      </c>
      <c r="I1653" s="1" t="s">
        <v>65</v>
      </c>
      <c r="J1653" s="1">
        <v>3</v>
      </c>
      <c r="K1653" s="1" t="s">
        <v>142</v>
      </c>
      <c r="L1653" s="1" t="s">
        <v>153</v>
      </c>
      <c r="M1653" s="1" t="s">
        <v>1256</v>
      </c>
      <c r="N1653" s="1" t="str">
        <f>HYPERLINK("https://klocwork.india.ti.com:443/review/insight-review.html#issuedetails_goto:problemid=120487,project=MCU_PLUS_SDK_AM263X,searchquery=taxonomy:'C and C++' build:Build_Apr_13_2023_11_11_AM grouping:off ","KW Issue Link")</f>
        <v>KW Issue Link</v>
      </c>
      <c r="O1653" s="1" t="s">
        <v>291</v>
      </c>
    </row>
    <row r="1654" spans="1:15" ht="75" x14ac:dyDescent="0.25">
      <c r="A1654" s="1" t="s">
        <v>1257</v>
      </c>
      <c r="B1654" s="1"/>
      <c r="C1654" s="1" t="s">
        <v>555</v>
      </c>
      <c r="D1654" s="1">
        <v>120488</v>
      </c>
      <c r="E1654" s="1">
        <v>576</v>
      </c>
      <c r="F1654" s="1" t="s">
        <v>2479</v>
      </c>
      <c r="G1654" s="1" t="s">
        <v>575</v>
      </c>
      <c r="H1654" s="1" t="s">
        <v>141</v>
      </c>
      <c r="I1654" s="1" t="s">
        <v>65</v>
      </c>
      <c r="J1654" s="1">
        <v>3</v>
      </c>
      <c r="K1654" s="1" t="s">
        <v>142</v>
      </c>
      <c r="L1654" s="1" t="s">
        <v>153</v>
      </c>
      <c r="M1654" s="1" t="s">
        <v>1256</v>
      </c>
      <c r="N1654" s="1" t="str">
        <f>HYPERLINK("https://klocwork.india.ti.com:443/review/insight-review.html#issuedetails_goto:problemid=120488,project=MCU_PLUS_SDK_AM263X,searchquery=taxonomy:'C and C++' build:Build_Apr_13_2023_11_11_AM grouping:off ","KW Issue Link")</f>
        <v>KW Issue Link</v>
      </c>
      <c r="O1654" s="1" t="s">
        <v>291</v>
      </c>
    </row>
    <row r="1655" spans="1:15" ht="75" x14ac:dyDescent="0.25">
      <c r="A1655" s="1" t="s">
        <v>1257</v>
      </c>
      <c r="B1655" s="1"/>
      <c r="C1655" s="1" t="s">
        <v>555</v>
      </c>
      <c r="D1655" s="1">
        <v>120489</v>
      </c>
      <c r="E1655" s="1">
        <v>635</v>
      </c>
      <c r="F1655" s="1" t="s">
        <v>2480</v>
      </c>
      <c r="G1655" s="1" t="s">
        <v>2481</v>
      </c>
      <c r="H1655" s="1" t="s">
        <v>141</v>
      </c>
      <c r="I1655" s="1" t="s">
        <v>65</v>
      </c>
      <c r="J1655" s="1">
        <v>3</v>
      </c>
      <c r="K1655" s="1" t="s">
        <v>142</v>
      </c>
      <c r="L1655" s="1" t="s">
        <v>153</v>
      </c>
      <c r="M1655" s="1" t="s">
        <v>1256</v>
      </c>
      <c r="N1655" s="1" t="str">
        <f>HYPERLINK("https://klocwork.india.ti.com:443/review/insight-review.html#issuedetails_goto:problemid=120489,project=MCU_PLUS_SDK_AM263X,searchquery=taxonomy:'C and C++' build:Build_Apr_13_2023_11_11_AM grouping:off ","KW Issue Link")</f>
        <v>KW Issue Link</v>
      </c>
      <c r="O1655" s="1" t="s">
        <v>291</v>
      </c>
    </row>
    <row r="1656" spans="1:15" ht="75" x14ac:dyDescent="0.25">
      <c r="A1656" s="1" t="s">
        <v>1257</v>
      </c>
      <c r="B1656" s="1"/>
      <c r="C1656" s="1" t="s">
        <v>555</v>
      </c>
      <c r="D1656" s="1">
        <v>120490</v>
      </c>
      <c r="E1656" s="1">
        <v>672</v>
      </c>
      <c r="F1656" s="1" t="s">
        <v>2482</v>
      </c>
      <c r="G1656" s="1" t="s">
        <v>2483</v>
      </c>
      <c r="H1656" s="1" t="s">
        <v>141</v>
      </c>
      <c r="I1656" s="1" t="s">
        <v>65</v>
      </c>
      <c r="J1656" s="1">
        <v>3</v>
      </c>
      <c r="K1656" s="1" t="s">
        <v>142</v>
      </c>
      <c r="L1656" s="1" t="s">
        <v>153</v>
      </c>
      <c r="M1656" s="1" t="s">
        <v>1256</v>
      </c>
      <c r="N1656" s="1" t="str">
        <f>HYPERLINK("https://klocwork.india.ti.com:443/review/insight-review.html#issuedetails_goto:problemid=120490,project=MCU_PLUS_SDK_AM263X,searchquery=taxonomy:'C and C++' build:Build_Apr_13_2023_11_11_AM grouping:off ","KW Issue Link")</f>
        <v>KW Issue Link</v>
      </c>
      <c r="O1656" s="1" t="s">
        <v>291</v>
      </c>
    </row>
    <row r="1657" spans="1:15" ht="75" x14ac:dyDescent="0.25">
      <c r="A1657" s="1" t="s">
        <v>1257</v>
      </c>
      <c r="B1657" s="1"/>
      <c r="C1657" s="1" t="s">
        <v>555</v>
      </c>
      <c r="D1657" s="1">
        <v>120491</v>
      </c>
      <c r="E1657" s="1">
        <v>839</v>
      </c>
      <c r="F1657" s="1" t="s">
        <v>2484</v>
      </c>
      <c r="G1657" s="1" t="s">
        <v>2485</v>
      </c>
      <c r="H1657" s="1" t="s">
        <v>141</v>
      </c>
      <c r="I1657" s="1" t="s">
        <v>65</v>
      </c>
      <c r="J1657" s="1">
        <v>3</v>
      </c>
      <c r="K1657" s="1" t="s">
        <v>142</v>
      </c>
      <c r="L1657" s="1" t="s">
        <v>153</v>
      </c>
      <c r="M1657" s="1" t="s">
        <v>1256</v>
      </c>
      <c r="N1657" s="1" t="str">
        <f>HYPERLINK("https://klocwork.india.ti.com:443/review/insight-review.html#issuedetails_goto:problemid=120491,project=MCU_PLUS_SDK_AM263X,searchquery=taxonomy:'C and C++' build:Build_Apr_13_2023_11_11_AM grouping:off ","KW Issue Link")</f>
        <v>KW Issue Link</v>
      </c>
      <c r="O1657" s="1" t="s">
        <v>291</v>
      </c>
    </row>
    <row r="1658" spans="1:15" ht="75" x14ac:dyDescent="0.25">
      <c r="A1658" s="1" t="s">
        <v>1257</v>
      </c>
      <c r="B1658" s="1"/>
      <c r="C1658" s="1" t="s">
        <v>555</v>
      </c>
      <c r="D1658" s="1">
        <v>120492</v>
      </c>
      <c r="E1658" s="1">
        <v>932</v>
      </c>
      <c r="F1658" s="1" t="s">
        <v>2486</v>
      </c>
      <c r="G1658" s="1" t="s">
        <v>577</v>
      </c>
      <c r="H1658" s="1" t="s">
        <v>141</v>
      </c>
      <c r="I1658" s="1" t="s">
        <v>65</v>
      </c>
      <c r="J1658" s="1">
        <v>3</v>
      </c>
      <c r="K1658" s="1" t="s">
        <v>142</v>
      </c>
      <c r="L1658" s="1" t="s">
        <v>153</v>
      </c>
      <c r="M1658" s="1" t="s">
        <v>1256</v>
      </c>
      <c r="N1658" s="1" t="str">
        <f>HYPERLINK("https://klocwork.india.ti.com:443/review/insight-review.html#issuedetails_goto:problemid=120492,project=MCU_PLUS_SDK_AM263X,searchquery=taxonomy:'C and C++' build:Build_Apr_13_2023_11_11_AM grouping:off ","KW Issue Link")</f>
        <v>KW Issue Link</v>
      </c>
      <c r="O1658" s="1" t="s">
        <v>291</v>
      </c>
    </row>
    <row r="1659" spans="1:15" ht="75" x14ac:dyDescent="0.25">
      <c r="A1659" s="1" t="s">
        <v>1257</v>
      </c>
      <c r="B1659" s="1"/>
      <c r="C1659" s="1" t="s">
        <v>555</v>
      </c>
      <c r="D1659" s="1">
        <v>120493</v>
      </c>
      <c r="E1659" s="1">
        <v>976</v>
      </c>
      <c r="F1659" s="1" t="s">
        <v>2487</v>
      </c>
      <c r="G1659" s="1" t="s">
        <v>2488</v>
      </c>
      <c r="H1659" s="1" t="s">
        <v>141</v>
      </c>
      <c r="I1659" s="1" t="s">
        <v>65</v>
      </c>
      <c r="J1659" s="1">
        <v>3</v>
      </c>
      <c r="K1659" s="1" t="s">
        <v>142</v>
      </c>
      <c r="L1659" s="1" t="s">
        <v>153</v>
      </c>
      <c r="M1659" s="1" t="s">
        <v>1256</v>
      </c>
      <c r="N1659" s="1" t="str">
        <f>HYPERLINK("https://klocwork.india.ti.com:443/review/insight-review.html#issuedetails_goto:problemid=120493,project=MCU_PLUS_SDK_AM263X,searchquery=taxonomy:'C and C++' build:Build_Apr_13_2023_11_11_AM grouping:off ","KW Issue Link")</f>
        <v>KW Issue Link</v>
      </c>
      <c r="O1659" s="1" t="s">
        <v>291</v>
      </c>
    </row>
    <row r="1660" spans="1:15" ht="75" x14ac:dyDescent="0.25">
      <c r="A1660" s="1" t="s">
        <v>1257</v>
      </c>
      <c r="B1660" s="1"/>
      <c r="C1660" s="1" t="s">
        <v>555</v>
      </c>
      <c r="D1660" s="1">
        <v>120494</v>
      </c>
      <c r="E1660" s="1">
        <v>1009</v>
      </c>
      <c r="F1660" s="1" t="s">
        <v>2489</v>
      </c>
      <c r="G1660" s="1" t="s">
        <v>579</v>
      </c>
      <c r="H1660" s="1" t="s">
        <v>141</v>
      </c>
      <c r="I1660" s="1" t="s">
        <v>65</v>
      </c>
      <c r="J1660" s="1">
        <v>3</v>
      </c>
      <c r="K1660" s="1" t="s">
        <v>142</v>
      </c>
      <c r="L1660" s="1" t="s">
        <v>153</v>
      </c>
      <c r="M1660" s="1" t="s">
        <v>1256</v>
      </c>
      <c r="N1660" s="1" t="str">
        <f>HYPERLINK("https://klocwork.india.ti.com:443/review/insight-review.html#issuedetails_goto:problemid=120494,project=MCU_PLUS_SDK_AM263X,searchquery=taxonomy:'C and C++' build:Build_Apr_13_2023_11_11_AM grouping:off ","KW Issue Link")</f>
        <v>KW Issue Link</v>
      </c>
      <c r="O1660" s="1" t="s">
        <v>291</v>
      </c>
    </row>
    <row r="1661" spans="1:15" ht="75" x14ac:dyDescent="0.25">
      <c r="A1661" s="1" t="s">
        <v>1257</v>
      </c>
      <c r="B1661" s="1"/>
      <c r="C1661" s="1" t="s">
        <v>555</v>
      </c>
      <c r="D1661" s="1">
        <v>120495</v>
      </c>
      <c r="E1661" s="1">
        <v>1044</v>
      </c>
      <c r="F1661" s="1" t="s">
        <v>2490</v>
      </c>
      <c r="G1661" s="1" t="s">
        <v>2491</v>
      </c>
      <c r="H1661" s="1" t="s">
        <v>141</v>
      </c>
      <c r="I1661" s="1" t="s">
        <v>65</v>
      </c>
      <c r="J1661" s="1">
        <v>3</v>
      </c>
      <c r="K1661" s="1" t="s">
        <v>142</v>
      </c>
      <c r="L1661" s="1" t="s">
        <v>153</v>
      </c>
      <c r="M1661" s="1" t="s">
        <v>1256</v>
      </c>
      <c r="N1661" s="1" t="str">
        <f>HYPERLINK("https://klocwork.india.ti.com:443/review/insight-review.html#issuedetails_goto:problemid=120495,project=MCU_PLUS_SDK_AM263X,searchquery=taxonomy:'C and C++' build:Build_Apr_13_2023_11_11_AM grouping:off ","KW Issue Link")</f>
        <v>KW Issue Link</v>
      </c>
      <c r="O1661" s="1" t="s">
        <v>291</v>
      </c>
    </row>
    <row r="1662" spans="1:15" ht="75" x14ac:dyDescent="0.25">
      <c r="A1662" s="1" t="s">
        <v>1257</v>
      </c>
      <c r="B1662" s="1"/>
      <c r="C1662" s="1" t="s">
        <v>555</v>
      </c>
      <c r="D1662" s="1">
        <v>120496</v>
      </c>
      <c r="E1662" s="1">
        <v>1097</v>
      </c>
      <c r="F1662" s="1" t="s">
        <v>2492</v>
      </c>
      <c r="G1662" s="1" t="s">
        <v>2493</v>
      </c>
      <c r="H1662" s="1" t="s">
        <v>141</v>
      </c>
      <c r="I1662" s="1" t="s">
        <v>65</v>
      </c>
      <c r="J1662" s="1">
        <v>3</v>
      </c>
      <c r="K1662" s="1" t="s">
        <v>142</v>
      </c>
      <c r="L1662" s="1" t="s">
        <v>153</v>
      </c>
      <c r="M1662" s="1" t="s">
        <v>1256</v>
      </c>
      <c r="N1662" s="1" t="str">
        <f>HYPERLINK("https://klocwork.india.ti.com:443/review/insight-review.html#issuedetails_goto:problemid=120496,project=MCU_PLUS_SDK_AM263X,searchquery=taxonomy:'C and C++' build:Build_Apr_13_2023_11_11_AM grouping:off ","KW Issue Link")</f>
        <v>KW Issue Link</v>
      </c>
      <c r="O1662" s="1" t="s">
        <v>291</v>
      </c>
    </row>
    <row r="1663" spans="1:15" ht="75" x14ac:dyDescent="0.25">
      <c r="A1663" s="1" t="s">
        <v>1257</v>
      </c>
      <c r="B1663" s="1"/>
      <c r="C1663" s="1" t="s">
        <v>555</v>
      </c>
      <c r="D1663" s="1">
        <v>120497</v>
      </c>
      <c r="E1663" s="1">
        <v>1173</v>
      </c>
      <c r="F1663" s="1" t="s">
        <v>2494</v>
      </c>
      <c r="G1663" s="1" t="s">
        <v>2495</v>
      </c>
      <c r="H1663" s="1" t="s">
        <v>141</v>
      </c>
      <c r="I1663" s="1" t="s">
        <v>65</v>
      </c>
      <c r="J1663" s="1">
        <v>3</v>
      </c>
      <c r="K1663" s="1" t="s">
        <v>142</v>
      </c>
      <c r="L1663" s="1" t="s">
        <v>153</v>
      </c>
      <c r="M1663" s="1" t="s">
        <v>1256</v>
      </c>
      <c r="N1663" s="1" t="str">
        <f>HYPERLINK("https://klocwork.india.ti.com:443/review/insight-review.html#issuedetails_goto:problemid=120497,project=MCU_PLUS_SDK_AM263X,searchquery=taxonomy:'C and C++' build:Build_Apr_13_2023_11_11_AM grouping:off ","KW Issue Link")</f>
        <v>KW Issue Link</v>
      </c>
      <c r="O1663" s="1" t="s">
        <v>291</v>
      </c>
    </row>
    <row r="1664" spans="1:15" ht="75" x14ac:dyDescent="0.25">
      <c r="A1664" s="1" t="s">
        <v>1257</v>
      </c>
      <c r="B1664" s="1"/>
      <c r="C1664" s="1" t="s">
        <v>555</v>
      </c>
      <c r="D1664" s="1">
        <v>120499</v>
      </c>
      <c r="E1664" s="1">
        <v>1283</v>
      </c>
      <c r="F1664" s="1" t="s">
        <v>2496</v>
      </c>
      <c r="G1664" s="1" t="s">
        <v>561</v>
      </c>
      <c r="H1664" s="1" t="s">
        <v>141</v>
      </c>
      <c r="I1664" s="1" t="s">
        <v>65</v>
      </c>
      <c r="J1664" s="1">
        <v>3</v>
      </c>
      <c r="K1664" s="1" t="s">
        <v>142</v>
      </c>
      <c r="L1664" s="1" t="s">
        <v>153</v>
      </c>
      <c r="M1664" s="1" t="s">
        <v>1256</v>
      </c>
      <c r="N1664" s="1" t="str">
        <f>HYPERLINK("https://klocwork.india.ti.com:443/review/insight-review.html#issuedetails_goto:problemid=120499,project=MCU_PLUS_SDK_AM263X,searchquery=taxonomy:'C and C++' build:Build_Apr_13_2023_11_11_AM grouping:off ","KW Issue Link")</f>
        <v>KW Issue Link</v>
      </c>
      <c r="O1664" s="1" t="s">
        <v>291</v>
      </c>
    </row>
    <row r="1665" spans="1:15" ht="75" x14ac:dyDescent="0.25">
      <c r="A1665" s="1" t="s">
        <v>1266</v>
      </c>
      <c r="B1665" s="1"/>
      <c r="C1665" s="1" t="s">
        <v>555</v>
      </c>
      <c r="D1665" s="1">
        <v>120502</v>
      </c>
      <c r="E1665" s="1">
        <v>234</v>
      </c>
      <c r="F1665" s="1" t="s">
        <v>2497</v>
      </c>
      <c r="G1665" s="1" t="s">
        <v>2477</v>
      </c>
      <c r="H1665" s="1" t="s">
        <v>141</v>
      </c>
      <c r="I1665" s="1" t="s">
        <v>65</v>
      </c>
      <c r="J1665" s="1">
        <v>3</v>
      </c>
      <c r="K1665" s="1" t="s">
        <v>142</v>
      </c>
      <c r="L1665" s="1" t="s">
        <v>153</v>
      </c>
      <c r="M1665" s="1" t="s">
        <v>1256</v>
      </c>
      <c r="N1665" s="1" t="str">
        <f>HYPERLINK("https://klocwork.india.ti.com:443/review/insight-review.html#issuedetails_goto:problemid=120502,project=MCU_PLUS_SDK_AM263X,searchquery=taxonomy:'C and C++' build:Build_Apr_13_2023_11_11_AM grouping:off ","KW Issue Link")</f>
        <v>KW Issue Link</v>
      </c>
      <c r="O1665" s="1" t="s">
        <v>291</v>
      </c>
    </row>
    <row r="1666" spans="1:15" ht="75" x14ac:dyDescent="0.25">
      <c r="A1666" s="1" t="s">
        <v>1266</v>
      </c>
      <c r="B1666" s="1"/>
      <c r="C1666" s="1" t="s">
        <v>555</v>
      </c>
      <c r="D1666" s="1">
        <v>120505</v>
      </c>
      <c r="E1666" s="1">
        <v>537</v>
      </c>
      <c r="F1666" s="1" t="s">
        <v>2498</v>
      </c>
      <c r="G1666" s="1" t="s">
        <v>573</v>
      </c>
      <c r="H1666" s="1" t="s">
        <v>141</v>
      </c>
      <c r="I1666" s="1" t="s">
        <v>65</v>
      </c>
      <c r="J1666" s="1">
        <v>3</v>
      </c>
      <c r="K1666" s="1" t="s">
        <v>142</v>
      </c>
      <c r="L1666" s="1" t="s">
        <v>153</v>
      </c>
      <c r="M1666" s="1" t="s">
        <v>1256</v>
      </c>
      <c r="N1666" s="1" t="str">
        <f>HYPERLINK("https://klocwork.india.ti.com:443/review/insight-review.html#issuedetails_goto:problemid=120505,project=MCU_PLUS_SDK_AM263X,searchquery=taxonomy:'C and C++' build:Build_Apr_13_2023_11_11_AM grouping:off ","KW Issue Link")</f>
        <v>KW Issue Link</v>
      </c>
      <c r="O1666" s="1" t="s">
        <v>291</v>
      </c>
    </row>
    <row r="1667" spans="1:15" ht="75" x14ac:dyDescent="0.25">
      <c r="A1667" s="1" t="s">
        <v>1266</v>
      </c>
      <c r="B1667" s="1"/>
      <c r="C1667" s="1" t="s">
        <v>555</v>
      </c>
      <c r="D1667" s="1">
        <v>120506</v>
      </c>
      <c r="E1667" s="1">
        <v>576</v>
      </c>
      <c r="F1667" s="1" t="s">
        <v>2499</v>
      </c>
      <c r="G1667" s="1" t="s">
        <v>575</v>
      </c>
      <c r="H1667" s="1" t="s">
        <v>141</v>
      </c>
      <c r="I1667" s="1" t="s">
        <v>65</v>
      </c>
      <c r="J1667" s="1">
        <v>3</v>
      </c>
      <c r="K1667" s="1" t="s">
        <v>142</v>
      </c>
      <c r="L1667" s="1" t="s">
        <v>153</v>
      </c>
      <c r="M1667" s="1" t="s">
        <v>1256</v>
      </c>
      <c r="N1667" s="1" t="str">
        <f>HYPERLINK("https://klocwork.india.ti.com:443/review/insight-review.html#issuedetails_goto:problemid=120506,project=MCU_PLUS_SDK_AM263X,searchquery=taxonomy:'C and C++' build:Build_Apr_13_2023_11_11_AM grouping:off ","KW Issue Link")</f>
        <v>KW Issue Link</v>
      </c>
      <c r="O1667" s="1" t="s">
        <v>291</v>
      </c>
    </row>
    <row r="1668" spans="1:15" ht="75" x14ac:dyDescent="0.25">
      <c r="A1668" s="1" t="s">
        <v>1266</v>
      </c>
      <c r="B1668" s="1"/>
      <c r="C1668" s="1" t="s">
        <v>555</v>
      </c>
      <c r="D1668" s="1">
        <v>120507</v>
      </c>
      <c r="E1668" s="1">
        <v>672</v>
      </c>
      <c r="F1668" s="1" t="s">
        <v>2500</v>
      </c>
      <c r="G1668" s="1" t="s">
        <v>2483</v>
      </c>
      <c r="H1668" s="1" t="s">
        <v>141</v>
      </c>
      <c r="I1668" s="1" t="s">
        <v>65</v>
      </c>
      <c r="J1668" s="1">
        <v>3</v>
      </c>
      <c r="K1668" s="1" t="s">
        <v>142</v>
      </c>
      <c r="L1668" s="1" t="s">
        <v>153</v>
      </c>
      <c r="M1668" s="1" t="s">
        <v>1256</v>
      </c>
      <c r="N1668" s="1" t="str">
        <f>HYPERLINK("https://klocwork.india.ti.com:443/review/insight-review.html#issuedetails_goto:problemid=120507,project=MCU_PLUS_SDK_AM263X,searchquery=taxonomy:'C and C++' build:Build_Apr_13_2023_11_11_AM grouping:off ","KW Issue Link")</f>
        <v>KW Issue Link</v>
      </c>
      <c r="O1668" s="1" t="s">
        <v>291</v>
      </c>
    </row>
    <row r="1669" spans="1:15" ht="75" x14ac:dyDescent="0.25">
      <c r="A1669" s="1" t="s">
        <v>1266</v>
      </c>
      <c r="B1669" s="1"/>
      <c r="C1669" s="1" t="s">
        <v>555</v>
      </c>
      <c r="D1669" s="1">
        <v>120508</v>
      </c>
      <c r="E1669" s="1">
        <v>839</v>
      </c>
      <c r="F1669" s="1" t="s">
        <v>2501</v>
      </c>
      <c r="G1669" s="1" t="s">
        <v>2485</v>
      </c>
      <c r="H1669" s="1" t="s">
        <v>141</v>
      </c>
      <c r="I1669" s="1" t="s">
        <v>65</v>
      </c>
      <c r="J1669" s="1">
        <v>3</v>
      </c>
      <c r="K1669" s="1" t="s">
        <v>142</v>
      </c>
      <c r="L1669" s="1" t="s">
        <v>153</v>
      </c>
      <c r="M1669" s="1" t="s">
        <v>1256</v>
      </c>
      <c r="N1669" s="1" t="str">
        <f>HYPERLINK("https://klocwork.india.ti.com:443/review/insight-review.html#issuedetails_goto:problemid=120508,project=MCU_PLUS_SDK_AM263X,searchquery=taxonomy:'C and C++' build:Build_Apr_13_2023_11_11_AM grouping:off ","KW Issue Link")</f>
        <v>KW Issue Link</v>
      </c>
      <c r="O1669" s="1" t="s">
        <v>291</v>
      </c>
    </row>
    <row r="1670" spans="1:15" ht="75" x14ac:dyDescent="0.25">
      <c r="A1670" s="1" t="s">
        <v>1266</v>
      </c>
      <c r="B1670" s="1"/>
      <c r="C1670" s="1" t="s">
        <v>555</v>
      </c>
      <c r="D1670" s="1">
        <v>120509</v>
      </c>
      <c r="E1670" s="1">
        <v>932</v>
      </c>
      <c r="F1670" s="1" t="s">
        <v>2502</v>
      </c>
      <c r="G1670" s="1" t="s">
        <v>577</v>
      </c>
      <c r="H1670" s="1" t="s">
        <v>141</v>
      </c>
      <c r="I1670" s="1" t="s">
        <v>65</v>
      </c>
      <c r="J1670" s="1">
        <v>3</v>
      </c>
      <c r="K1670" s="1" t="s">
        <v>142</v>
      </c>
      <c r="L1670" s="1" t="s">
        <v>153</v>
      </c>
      <c r="M1670" s="1" t="s">
        <v>1256</v>
      </c>
      <c r="N1670" s="1" t="str">
        <f>HYPERLINK("https://klocwork.india.ti.com:443/review/insight-review.html#issuedetails_goto:problemid=120509,project=MCU_PLUS_SDK_AM263X,searchquery=taxonomy:'C and C++' build:Build_Apr_13_2023_11_11_AM grouping:off ","KW Issue Link")</f>
        <v>KW Issue Link</v>
      </c>
      <c r="O1670" s="1" t="s">
        <v>291</v>
      </c>
    </row>
    <row r="1671" spans="1:15" ht="75" x14ac:dyDescent="0.25">
      <c r="A1671" s="1" t="s">
        <v>1266</v>
      </c>
      <c r="B1671" s="1"/>
      <c r="C1671" s="1" t="s">
        <v>555</v>
      </c>
      <c r="D1671" s="1">
        <v>120511</v>
      </c>
      <c r="E1671" s="1">
        <v>1044</v>
      </c>
      <c r="F1671" s="1" t="s">
        <v>2503</v>
      </c>
      <c r="G1671" s="1" t="s">
        <v>2491</v>
      </c>
      <c r="H1671" s="1" t="s">
        <v>141</v>
      </c>
      <c r="I1671" s="1" t="s">
        <v>65</v>
      </c>
      <c r="J1671" s="1">
        <v>3</v>
      </c>
      <c r="K1671" s="1" t="s">
        <v>142</v>
      </c>
      <c r="L1671" s="1" t="s">
        <v>153</v>
      </c>
      <c r="M1671" s="1" t="s">
        <v>1256</v>
      </c>
      <c r="N1671" s="1" t="str">
        <f>HYPERLINK("https://klocwork.india.ti.com:443/review/insight-review.html#issuedetails_goto:problemid=120511,project=MCU_PLUS_SDK_AM263X,searchquery=taxonomy:'C and C++' build:Build_Apr_13_2023_11_11_AM grouping:off ","KW Issue Link")</f>
        <v>KW Issue Link</v>
      </c>
      <c r="O1671" s="1" t="s">
        <v>291</v>
      </c>
    </row>
    <row r="1672" spans="1:15" ht="75" x14ac:dyDescent="0.25">
      <c r="A1672" s="1" t="s">
        <v>1266</v>
      </c>
      <c r="B1672" s="1"/>
      <c r="C1672" s="1" t="s">
        <v>555</v>
      </c>
      <c r="D1672" s="1">
        <v>120512</v>
      </c>
      <c r="E1672" s="1">
        <v>1097</v>
      </c>
      <c r="F1672" s="1" t="s">
        <v>2504</v>
      </c>
      <c r="G1672" s="1" t="s">
        <v>2493</v>
      </c>
      <c r="H1672" s="1" t="s">
        <v>141</v>
      </c>
      <c r="I1672" s="1" t="s">
        <v>65</v>
      </c>
      <c r="J1672" s="1">
        <v>3</v>
      </c>
      <c r="K1672" s="1" t="s">
        <v>142</v>
      </c>
      <c r="L1672" s="1" t="s">
        <v>153</v>
      </c>
      <c r="M1672" s="1" t="s">
        <v>1256</v>
      </c>
      <c r="N1672" s="1" t="str">
        <f>HYPERLINK("https://klocwork.india.ti.com:443/review/insight-review.html#issuedetails_goto:problemid=120512,project=MCU_PLUS_SDK_AM263X,searchquery=taxonomy:'C and C++' build:Build_Apr_13_2023_11_11_AM grouping:off ","KW Issue Link")</f>
        <v>KW Issue Link</v>
      </c>
      <c r="O1672" s="1" t="s">
        <v>291</v>
      </c>
    </row>
    <row r="1673" spans="1:15" ht="75" x14ac:dyDescent="0.25">
      <c r="A1673" s="1" t="s">
        <v>1266</v>
      </c>
      <c r="B1673" s="1"/>
      <c r="C1673" s="1" t="s">
        <v>555</v>
      </c>
      <c r="D1673" s="1">
        <v>120513</v>
      </c>
      <c r="E1673" s="1">
        <v>1173</v>
      </c>
      <c r="F1673" s="1" t="s">
        <v>2505</v>
      </c>
      <c r="G1673" s="1" t="s">
        <v>2495</v>
      </c>
      <c r="H1673" s="1" t="s">
        <v>141</v>
      </c>
      <c r="I1673" s="1" t="s">
        <v>65</v>
      </c>
      <c r="J1673" s="1">
        <v>3</v>
      </c>
      <c r="K1673" s="1" t="s">
        <v>142</v>
      </c>
      <c r="L1673" s="1" t="s">
        <v>153</v>
      </c>
      <c r="M1673" s="1" t="s">
        <v>1256</v>
      </c>
      <c r="N1673" s="1" t="str">
        <f>HYPERLINK("https://klocwork.india.ti.com:443/review/insight-review.html#issuedetails_goto:problemid=120513,project=MCU_PLUS_SDK_AM263X,searchquery=taxonomy:'C and C++' build:Build_Apr_13_2023_11_11_AM grouping:off ","KW Issue Link")</f>
        <v>KW Issue Link</v>
      </c>
      <c r="O1673" s="1" t="s">
        <v>291</v>
      </c>
    </row>
    <row r="1674" spans="1:15" ht="75" x14ac:dyDescent="0.25">
      <c r="A1674" s="1" t="s">
        <v>1266</v>
      </c>
      <c r="B1674" s="1"/>
      <c r="C1674" s="1" t="s">
        <v>555</v>
      </c>
      <c r="D1674" s="1">
        <v>120514</v>
      </c>
      <c r="E1674" s="1">
        <v>1283</v>
      </c>
      <c r="F1674" s="1" t="s">
        <v>2506</v>
      </c>
      <c r="G1674" s="1" t="s">
        <v>561</v>
      </c>
      <c r="H1674" s="1" t="s">
        <v>141</v>
      </c>
      <c r="I1674" s="1" t="s">
        <v>65</v>
      </c>
      <c r="J1674" s="1">
        <v>3</v>
      </c>
      <c r="K1674" s="1" t="s">
        <v>142</v>
      </c>
      <c r="L1674" s="1" t="s">
        <v>153</v>
      </c>
      <c r="M1674" s="1" t="s">
        <v>1256</v>
      </c>
      <c r="N1674" s="1" t="str">
        <f>HYPERLINK("https://klocwork.india.ti.com:443/review/insight-review.html#issuedetails_goto:problemid=120514,project=MCU_PLUS_SDK_AM263X,searchquery=taxonomy:'C and C++' build:Build_Apr_13_2023_11_11_AM grouping:off ","KW Issue Link")</f>
        <v>KW Issue Link</v>
      </c>
      <c r="O1674" s="1" t="s">
        <v>291</v>
      </c>
    </row>
    <row r="1675" spans="1:15" ht="75" x14ac:dyDescent="0.25">
      <c r="A1675" s="1" t="s">
        <v>1268</v>
      </c>
      <c r="B1675" s="1"/>
      <c r="C1675" s="1" t="s">
        <v>555</v>
      </c>
      <c r="D1675" s="1">
        <v>120515</v>
      </c>
      <c r="E1675" s="1">
        <v>234</v>
      </c>
      <c r="F1675" s="1" t="s">
        <v>2507</v>
      </c>
      <c r="G1675" s="1" t="s">
        <v>2477</v>
      </c>
      <c r="H1675" s="1" t="s">
        <v>141</v>
      </c>
      <c r="I1675" s="1" t="s">
        <v>65</v>
      </c>
      <c r="J1675" s="1">
        <v>3</v>
      </c>
      <c r="K1675" s="1" t="s">
        <v>142</v>
      </c>
      <c r="L1675" s="1" t="s">
        <v>153</v>
      </c>
      <c r="M1675" s="1" t="s">
        <v>1256</v>
      </c>
      <c r="N1675" s="1" t="str">
        <f>HYPERLINK("https://klocwork.india.ti.com:443/review/insight-review.html#issuedetails_goto:problemid=120515,project=MCU_PLUS_SDK_AM263X,searchquery=taxonomy:'C and C++' build:Build_Apr_13_2023_11_11_AM grouping:off ","KW Issue Link")</f>
        <v>KW Issue Link</v>
      </c>
      <c r="O1675" s="1" t="s">
        <v>291</v>
      </c>
    </row>
    <row r="1676" spans="1:15" ht="75" x14ac:dyDescent="0.25">
      <c r="A1676" s="1" t="s">
        <v>1268</v>
      </c>
      <c r="B1676" s="1"/>
      <c r="C1676" s="1" t="s">
        <v>555</v>
      </c>
      <c r="D1676" s="1">
        <v>120518</v>
      </c>
      <c r="E1676" s="1">
        <v>537</v>
      </c>
      <c r="F1676" s="1" t="s">
        <v>2508</v>
      </c>
      <c r="G1676" s="1" t="s">
        <v>573</v>
      </c>
      <c r="H1676" s="1" t="s">
        <v>141</v>
      </c>
      <c r="I1676" s="1" t="s">
        <v>65</v>
      </c>
      <c r="J1676" s="1">
        <v>3</v>
      </c>
      <c r="K1676" s="1" t="s">
        <v>142</v>
      </c>
      <c r="L1676" s="1" t="s">
        <v>153</v>
      </c>
      <c r="M1676" s="1" t="s">
        <v>1256</v>
      </c>
      <c r="N1676" s="1" t="str">
        <f>HYPERLINK("https://klocwork.india.ti.com:443/review/insight-review.html#issuedetails_goto:problemid=120518,project=MCU_PLUS_SDK_AM263X,searchquery=taxonomy:'C and C++' build:Build_Apr_13_2023_11_11_AM grouping:off ","KW Issue Link")</f>
        <v>KW Issue Link</v>
      </c>
      <c r="O1676" s="1" t="s">
        <v>291</v>
      </c>
    </row>
    <row r="1677" spans="1:15" ht="75" x14ac:dyDescent="0.25">
      <c r="A1677" s="1" t="s">
        <v>1268</v>
      </c>
      <c r="B1677" s="1"/>
      <c r="C1677" s="1" t="s">
        <v>555</v>
      </c>
      <c r="D1677" s="1">
        <v>120519</v>
      </c>
      <c r="E1677" s="1">
        <v>576</v>
      </c>
      <c r="F1677" s="1" t="s">
        <v>2509</v>
      </c>
      <c r="G1677" s="1" t="s">
        <v>575</v>
      </c>
      <c r="H1677" s="1" t="s">
        <v>141</v>
      </c>
      <c r="I1677" s="1" t="s">
        <v>65</v>
      </c>
      <c r="J1677" s="1">
        <v>3</v>
      </c>
      <c r="K1677" s="1" t="s">
        <v>142</v>
      </c>
      <c r="L1677" s="1" t="s">
        <v>153</v>
      </c>
      <c r="M1677" s="1" t="s">
        <v>1256</v>
      </c>
      <c r="N1677" s="1" t="str">
        <f>HYPERLINK("https://klocwork.india.ti.com:443/review/insight-review.html#issuedetails_goto:problemid=120519,project=MCU_PLUS_SDK_AM263X,searchquery=taxonomy:'C and C++' build:Build_Apr_13_2023_11_11_AM grouping:off ","KW Issue Link")</f>
        <v>KW Issue Link</v>
      </c>
      <c r="O1677" s="1" t="s">
        <v>291</v>
      </c>
    </row>
    <row r="1678" spans="1:15" ht="75" x14ac:dyDescent="0.25">
      <c r="A1678" s="1" t="s">
        <v>1268</v>
      </c>
      <c r="B1678" s="1"/>
      <c r="C1678" s="1" t="s">
        <v>555</v>
      </c>
      <c r="D1678" s="1">
        <v>120520</v>
      </c>
      <c r="E1678" s="1">
        <v>672</v>
      </c>
      <c r="F1678" s="1" t="s">
        <v>2510</v>
      </c>
      <c r="G1678" s="1" t="s">
        <v>2483</v>
      </c>
      <c r="H1678" s="1" t="s">
        <v>141</v>
      </c>
      <c r="I1678" s="1" t="s">
        <v>65</v>
      </c>
      <c r="J1678" s="1">
        <v>3</v>
      </c>
      <c r="K1678" s="1" t="s">
        <v>142</v>
      </c>
      <c r="L1678" s="1" t="s">
        <v>153</v>
      </c>
      <c r="M1678" s="1" t="s">
        <v>1256</v>
      </c>
      <c r="N1678" s="1" t="str">
        <f>HYPERLINK("https://klocwork.india.ti.com:443/review/insight-review.html#issuedetails_goto:problemid=120520,project=MCU_PLUS_SDK_AM263X,searchquery=taxonomy:'C and C++' build:Build_Apr_13_2023_11_11_AM grouping:off ","KW Issue Link")</f>
        <v>KW Issue Link</v>
      </c>
      <c r="O1678" s="1" t="s">
        <v>291</v>
      </c>
    </row>
    <row r="1679" spans="1:15" ht="75" x14ac:dyDescent="0.25">
      <c r="A1679" s="1" t="s">
        <v>1268</v>
      </c>
      <c r="B1679" s="1"/>
      <c r="C1679" s="1" t="s">
        <v>555</v>
      </c>
      <c r="D1679" s="1">
        <v>120521</v>
      </c>
      <c r="E1679" s="1">
        <v>839</v>
      </c>
      <c r="F1679" s="1" t="s">
        <v>2511</v>
      </c>
      <c r="G1679" s="1" t="s">
        <v>2485</v>
      </c>
      <c r="H1679" s="1" t="s">
        <v>141</v>
      </c>
      <c r="I1679" s="1" t="s">
        <v>65</v>
      </c>
      <c r="J1679" s="1">
        <v>3</v>
      </c>
      <c r="K1679" s="1" t="s">
        <v>142</v>
      </c>
      <c r="L1679" s="1" t="s">
        <v>153</v>
      </c>
      <c r="M1679" s="1" t="s">
        <v>1256</v>
      </c>
      <c r="N1679" s="1" t="str">
        <f>HYPERLINK("https://klocwork.india.ti.com:443/review/insight-review.html#issuedetails_goto:problemid=120521,project=MCU_PLUS_SDK_AM263X,searchquery=taxonomy:'C and C++' build:Build_Apr_13_2023_11_11_AM grouping:off ","KW Issue Link")</f>
        <v>KW Issue Link</v>
      </c>
      <c r="O1679" s="1" t="s">
        <v>291</v>
      </c>
    </row>
    <row r="1680" spans="1:15" ht="75" x14ac:dyDescent="0.25">
      <c r="A1680" s="1" t="s">
        <v>1268</v>
      </c>
      <c r="B1680" s="1"/>
      <c r="C1680" s="1" t="s">
        <v>555</v>
      </c>
      <c r="D1680" s="1">
        <v>120522</v>
      </c>
      <c r="E1680" s="1">
        <v>932</v>
      </c>
      <c r="F1680" s="1" t="s">
        <v>2512</v>
      </c>
      <c r="G1680" s="1" t="s">
        <v>577</v>
      </c>
      <c r="H1680" s="1" t="s">
        <v>141</v>
      </c>
      <c r="I1680" s="1" t="s">
        <v>65</v>
      </c>
      <c r="J1680" s="1">
        <v>3</v>
      </c>
      <c r="K1680" s="1" t="s">
        <v>142</v>
      </c>
      <c r="L1680" s="1" t="s">
        <v>153</v>
      </c>
      <c r="M1680" s="1" t="s">
        <v>1256</v>
      </c>
      <c r="N1680" s="1" t="str">
        <f>HYPERLINK("https://klocwork.india.ti.com:443/review/insight-review.html#issuedetails_goto:problemid=120522,project=MCU_PLUS_SDK_AM263X,searchquery=taxonomy:'C and C++' build:Build_Apr_13_2023_11_11_AM grouping:off ","KW Issue Link")</f>
        <v>KW Issue Link</v>
      </c>
      <c r="O1680" s="1" t="s">
        <v>291</v>
      </c>
    </row>
    <row r="1681" spans="1:15" ht="75" x14ac:dyDescent="0.25">
      <c r="A1681" s="1" t="s">
        <v>1268</v>
      </c>
      <c r="B1681" s="1"/>
      <c r="C1681" s="1" t="s">
        <v>555</v>
      </c>
      <c r="D1681" s="1">
        <v>120523</v>
      </c>
      <c r="E1681" s="1">
        <v>1097</v>
      </c>
      <c r="F1681" s="1" t="s">
        <v>2513</v>
      </c>
      <c r="G1681" s="1" t="s">
        <v>2493</v>
      </c>
      <c r="H1681" s="1" t="s">
        <v>141</v>
      </c>
      <c r="I1681" s="1" t="s">
        <v>65</v>
      </c>
      <c r="J1681" s="1">
        <v>3</v>
      </c>
      <c r="K1681" s="1" t="s">
        <v>142</v>
      </c>
      <c r="L1681" s="1" t="s">
        <v>153</v>
      </c>
      <c r="M1681" s="1" t="s">
        <v>1256</v>
      </c>
      <c r="N1681" s="1" t="str">
        <f>HYPERLINK("https://klocwork.india.ti.com:443/review/insight-review.html#issuedetails_goto:problemid=120523,project=MCU_PLUS_SDK_AM263X,searchquery=taxonomy:'C and C++' build:Build_Apr_13_2023_11_11_AM grouping:off ","KW Issue Link")</f>
        <v>KW Issue Link</v>
      </c>
      <c r="O1681" s="1" t="s">
        <v>291</v>
      </c>
    </row>
    <row r="1682" spans="1:15" ht="75" x14ac:dyDescent="0.25">
      <c r="A1682" s="1" t="s">
        <v>1268</v>
      </c>
      <c r="B1682" s="1"/>
      <c r="C1682" s="1" t="s">
        <v>555</v>
      </c>
      <c r="D1682" s="1">
        <v>120524</v>
      </c>
      <c r="E1682" s="1">
        <v>1173</v>
      </c>
      <c r="F1682" s="1" t="s">
        <v>2514</v>
      </c>
      <c r="G1682" s="1" t="s">
        <v>2495</v>
      </c>
      <c r="H1682" s="1" t="s">
        <v>141</v>
      </c>
      <c r="I1682" s="1" t="s">
        <v>65</v>
      </c>
      <c r="J1682" s="1">
        <v>3</v>
      </c>
      <c r="K1682" s="1" t="s">
        <v>142</v>
      </c>
      <c r="L1682" s="1" t="s">
        <v>153</v>
      </c>
      <c r="M1682" s="1" t="s">
        <v>1256</v>
      </c>
      <c r="N1682" s="1" t="str">
        <f>HYPERLINK("https://klocwork.india.ti.com:443/review/insight-review.html#issuedetails_goto:problemid=120524,project=MCU_PLUS_SDK_AM263X,searchquery=taxonomy:'C and C++' build:Build_Apr_13_2023_11_11_AM grouping:off ","KW Issue Link")</f>
        <v>KW Issue Link</v>
      </c>
      <c r="O1682" s="1" t="s">
        <v>291</v>
      </c>
    </row>
    <row r="1683" spans="1:15" ht="75" x14ac:dyDescent="0.25">
      <c r="A1683" s="1" t="s">
        <v>1268</v>
      </c>
      <c r="B1683" s="1"/>
      <c r="C1683" s="1" t="s">
        <v>555</v>
      </c>
      <c r="D1683" s="1">
        <v>120525</v>
      </c>
      <c r="E1683" s="1">
        <v>1283</v>
      </c>
      <c r="F1683" s="1" t="s">
        <v>2515</v>
      </c>
      <c r="G1683" s="1" t="s">
        <v>561</v>
      </c>
      <c r="H1683" s="1" t="s">
        <v>141</v>
      </c>
      <c r="I1683" s="1" t="s">
        <v>65</v>
      </c>
      <c r="J1683" s="1">
        <v>3</v>
      </c>
      <c r="K1683" s="1" t="s">
        <v>142</v>
      </c>
      <c r="L1683" s="1" t="s">
        <v>153</v>
      </c>
      <c r="M1683" s="1" t="s">
        <v>1256</v>
      </c>
      <c r="N1683" s="1" t="str">
        <f>HYPERLINK("https://klocwork.india.ti.com:443/review/insight-review.html#issuedetails_goto:problemid=120525,project=MCU_PLUS_SDK_AM263X,searchquery=taxonomy:'C and C++' build:Build_Apr_13_2023_11_11_AM grouping:off ","KW Issue Link")</f>
        <v>KW Issue Link</v>
      </c>
      <c r="O1683" s="1" t="s">
        <v>291</v>
      </c>
    </row>
    <row r="1684" spans="1:15" ht="75" x14ac:dyDescent="0.25">
      <c r="A1684" s="1" t="s">
        <v>1252</v>
      </c>
      <c r="B1684" s="1"/>
      <c r="C1684" s="1" t="s">
        <v>555</v>
      </c>
      <c r="D1684" s="1">
        <v>120526</v>
      </c>
      <c r="E1684" s="1">
        <v>494</v>
      </c>
      <c r="F1684" s="1" t="s">
        <v>2516</v>
      </c>
      <c r="G1684" s="1" t="s">
        <v>2517</v>
      </c>
      <c r="H1684" s="1" t="s">
        <v>141</v>
      </c>
      <c r="I1684" s="1" t="s">
        <v>65</v>
      </c>
      <c r="J1684" s="1">
        <v>3</v>
      </c>
      <c r="K1684" s="1" t="s">
        <v>142</v>
      </c>
      <c r="L1684" s="1" t="s">
        <v>153</v>
      </c>
      <c r="M1684" s="1" t="s">
        <v>1256</v>
      </c>
      <c r="N1684" s="1" t="str">
        <f>HYPERLINK("https://klocwork.india.ti.com:443/review/insight-review.html#issuedetails_goto:problemid=120526,project=MCU_PLUS_SDK_AM263X,searchquery=taxonomy:'C and C++' build:Build_Apr_13_2023_11_11_AM grouping:off ","KW Issue Link")</f>
        <v>KW Issue Link</v>
      </c>
      <c r="O1684" s="1" t="s">
        <v>291</v>
      </c>
    </row>
    <row r="1685" spans="1:15" ht="75" x14ac:dyDescent="0.25">
      <c r="A1685" s="1" t="s">
        <v>1252</v>
      </c>
      <c r="B1685" s="1"/>
      <c r="C1685" s="1" t="s">
        <v>555</v>
      </c>
      <c r="D1685" s="1">
        <v>120527</v>
      </c>
      <c r="E1685" s="1">
        <v>1097</v>
      </c>
      <c r="F1685" s="1" t="s">
        <v>2518</v>
      </c>
      <c r="G1685" s="1" t="s">
        <v>2493</v>
      </c>
      <c r="H1685" s="1" t="s">
        <v>141</v>
      </c>
      <c r="I1685" s="1" t="s">
        <v>65</v>
      </c>
      <c r="J1685" s="1">
        <v>3</v>
      </c>
      <c r="K1685" s="1" t="s">
        <v>142</v>
      </c>
      <c r="L1685" s="1" t="s">
        <v>153</v>
      </c>
      <c r="M1685" s="1" t="s">
        <v>1256</v>
      </c>
      <c r="N1685" s="1" t="str">
        <f>HYPERLINK("https://klocwork.india.ti.com:443/review/insight-review.html#issuedetails_goto:problemid=120527,project=MCU_PLUS_SDK_AM263X,searchquery=taxonomy:'C and C++' build:Build_Apr_13_2023_11_11_AM grouping:off ","KW Issue Link")</f>
        <v>KW Issue Link</v>
      </c>
      <c r="O1685" s="1" t="s">
        <v>291</v>
      </c>
    </row>
    <row r="1686" spans="1:15" ht="75" x14ac:dyDescent="0.25">
      <c r="A1686" s="1" t="s">
        <v>1252</v>
      </c>
      <c r="B1686" s="1"/>
      <c r="C1686" s="1" t="s">
        <v>555</v>
      </c>
      <c r="D1686" s="1">
        <v>120528</v>
      </c>
      <c r="E1686" s="1">
        <v>1173</v>
      </c>
      <c r="F1686" s="1" t="s">
        <v>2519</v>
      </c>
      <c r="G1686" s="1" t="s">
        <v>2495</v>
      </c>
      <c r="H1686" s="1" t="s">
        <v>141</v>
      </c>
      <c r="I1686" s="1" t="s">
        <v>65</v>
      </c>
      <c r="J1686" s="1">
        <v>3</v>
      </c>
      <c r="K1686" s="1" t="s">
        <v>142</v>
      </c>
      <c r="L1686" s="1" t="s">
        <v>153</v>
      </c>
      <c r="M1686" s="1" t="s">
        <v>1256</v>
      </c>
      <c r="N1686" s="1" t="str">
        <f>HYPERLINK("https://klocwork.india.ti.com:443/review/insight-review.html#issuedetails_goto:problemid=120528,project=MCU_PLUS_SDK_AM263X,searchquery=taxonomy:'C and C++' build:Build_Apr_13_2023_11_11_AM grouping:off ","KW Issue Link")</f>
        <v>KW Issue Link</v>
      </c>
      <c r="O1686" s="1" t="s">
        <v>291</v>
      </c>
    </row>
    <row r="1687" spans="1:15" ht="75" x14ac:dyDescent="0.25">
      <c r="A1687" s="1" t="s">
        <v>1252</v>
      </c>
      <c r="B1687" s="1"/>
      <c r="C1687" s="1" t="s">
        <v>555</v>
      </c>
      <c r="D1687" s="1">
        <v>120529</v>
      </c>
      <c r="E1687" s="1">
        <v>1283</v>
      </c>
      <c r="F1687" s="1" t="s">
        <v>2520</v>
      </c>
      <c r="G1687" s="1" t="s">
        <v>561</v>
      </c>
      <c r="H1687" s="1" t="s">
        <v>141</v>
      </c>
      <c r="I1687" s="1" t="s">
        <v>65</v>
      </c>
      <c r="J1687" s="1">
        <v>3</v>
      </c>
      <c r="K1687" s="1" t="s">
        <v>142</v>
      </c>
      <c r="L1687" s="1" t="s">
        <v>153</v>
      </c>
      <c r="M1687" s="1" t="s">
        <v>1256</v>
      </c>
      <c r="N1687" s="1" t="str">
        <f>HYPERLINK("https://klocwork.india.ti.com:443/review/insight-review.html#issuedetails_goto:problemid=120529,project=MCU_PLUS_SDK_AM263X,searchquery=taxonomy:'C and C++' build:Build_Apr_13_2023_11_11_AM grouping:off ","KW Issue Link")</f>
        <v>KW Issue Link</v>
      </c>
      <c r="O1687" s="1" t="s">
        <v>291</v>
      </c>
    </row>
    <row r="1688" spans="1:15" ht="75" x14ac:dyDescent="0.25">
      <c r="A1688" s="1" t="s">
        <v>1257</v>
      </c>
      <c r="B1688" s="1"/>
      <c r="C1688" s="1" t="s">
        <v>2521</v>
      </c>
      <c r="D1688" s="1">
        <v>120530</v>
      </c>
      <c r="E1688" s="1">
        <v>347</v>
      </c>
      <c r="F1688" s="1" t="s">
        <v>2522</v>
      </c>
      <c r="G1688" s="1" t="s">
        <v>2523</v>
      </c>
      <c r="H1688" s="1" t="s">
        <v>141</v>
      </c>
      <c r="I1688" s="1" t="s">
        <v>65</v>
      </c>
      <c r="J1688" s="1">
        <v>3</v>
      </c>
      <c r="K1688" s="1" t="s">
        <v>142</v>
      </c>
      <c r="L1688" s="1" t="s">
        <v>153</v>
      </c>
      <c r="M1688" s="1" t="s">
        <v>1256</v>
      </c>
      <c r="N1688" s="1" t="str">
        <f>HYPERLINK("https://klocwork.india.ti.com:443/review/insight-review.html#issuedetails_goto:problemid=120530,project=MCU_PLUS_SDK_AM263X,searchquery=taxonomy:'C and C++' build:Build_Apr_13_2023_11_11_AM grouping:off ","KW Issue Link")</f>
        <v>KW Issue Link</v>
      </c>
      <c r="O1688" s="1" t="s">
        <v>291</v>
      </c>
    </row>
    <row r="1689" spans="1:15" ht="75" x14ac:dyDescent="0.25">
      <c r="A1689" s="1" t="s">
        <v>1266</v>
      </c>
      <c r="B1689" s="1"/>
      <c r="C1689" s="1" t="s">
        <v>2521</v>
      </c>
      <c r="D1689" s="1">
        <v>120532</v>
      </c>
      <c r="E1689" s="1">
        <v>347</v>
      </c>
      <c r="F1689" s="1" t="s">
        <v>2524</v>
      </c>
      <c r="G1689" s="1" t="s">
        <v>2523</v>
      </c>
      <c r="H1689" s="1" t="s">
        <v>141</v>
      </c>
      <c r="I1689" s="1" t="s">
        <v>65</v>
      </c>
      <c r="J1689" s="1">
        <v>3</v>
      </c>
      <c r="K1689" s="1" t="s">
        <v>142</v>
      </c>
      <c r="L1689" s="1" t="s">
        <v>153</v>
      </c>
      <c r="M1689" s="1" t="s">
        <v>1256</v>
      </c>
      <c r="N1689" s="1" t="str">
        <f>HYPERLINK("https://klocwork.india.ti.com:443/review/insight-review.html#issuedetails_goto:problemid=120532,project=MCU_PLUS_SDK_AM263X,searchquery=taxonomy:'C and C++' build:Build_Apr_13_2023_11_11_AM grouping:off ","KW Issue Link")</f>
        <v>KW Issue Link</v>
      </c>
      <c r="O1689" s="1" t="s">
        <v>291</v>
      </c>
    </row>
    <row r="1690" spans="1:15" ht="60" x14ac:dyDescent="0.25">
      <c r="A1690" s="1" t="s">
        <v>1266</v>
      </c>
      <c r="B1690" s="1"/>
      <c r="C1690" s="1" t="s">
        <v>2525</v>
      </c>
      <c r="D1690" s="1">
        <v>120542</v>
      </c>
      <c r="E1690" s="1">
        <v>196</v>
      </c>
      <c r="F1690" s="1" t="s">
        <v>2526</v>
      </c>
      <c r="G1690" s="1" t="s">
        <v>2527</v>
      </c>
      <c r="H1690" s="1" t="s">
        <v>141</v>
      </c>
      <c r="I1690" s="1" t="s">
        <v>65</v>
      </c>
      <c r="J1690" s="1">
        <v>3</v>
      </c>
      <c r="K1690" s="1" t="s">
        <v>142</v>
      </c>
      <c r="L1690" s="1" t="s">
        <v>153</v>
      </c>
      <c r="M1690" s="1" t="s">
        <v>1256</v>
      </c>
      <c r="N1690" s="1" t="str">
        <f>HYPERLINK("https://klocwork.india.ti.com:443/review/insight-review.html#issuedetails_goto:problemid=120542,project=MCU_PLUS_SDK_AM263X,searchquery=taxonomy:'C and C++' build:Build_Apr_13_2023_11_11_AM grouping:off ","KW Issue Link")</f>
        <v>KW Issue Link</v>
      </c>
      <c r="O1690" s="1" t="s">
        <v>291</v>
      </c>
    </row>
    <row r="1691" spans="1:15" ht="60" x14ac:dyDescent="0.25">
      <c r="A1691" s="1" t="s">
        <v>1257</v>
      </c>
      <c r="B1691" s="1"/>
      <c r="C1691" s="1" t="s">
        <v>587</v>
      </c>
      <c r="D1691" s="1">
        <v>120543</v>
      </c>
      <c r="E1691" s="1">
        <v>87</v>
      </c>
      <c r="F1691" s="1" t="s">
        <v>2528</v>
      </c>
      <c r="G1691" s="1" t="s">
        <v>2529</v>
      </c>
      <c r="H1691" s="1" t="s">
        <v>141</v>
      </c>
      <c r="I1691" s="1" t="s">
        <v>65</v>
      </c>
      <c r="J1691" s="1">
        <v>3</v>
      </c>
      <c r="K1691" s="1" t="s">
        <v>142</v>
      </c>
      <c r="L1691" s="1" t="s">
        <v>153</v>
      </c>
      <c r="M1691" s="1" t="s">
        <v>1256</v>
      </c>
      <c r="N1691" s="1" t="str">
        <f>HYPERLINK("https://klocwork.india.ti.com:443/review/insight-review.html#issuedetails_goto:problemid=120543,project=MCU_PLUS_SDK_AM263X,searchquery=taxonomy:'C and C++' build:Build_Apr_13_2023_11_11_AM grouping:off ","KW Issue Link")</f>
        <v>KW Issue Link</v>
      </c>
      <c r="O1691" s="1" t="s">
        <v>291</v>
      </c>
    </row>
    <row r="1692" spans="1:15" ht="60" x14ac:dyDescent="0.25">
      <c r="A1692" s="1" t="s">
        <v>1257</v>
      </c>
      <c r="B1692" s="1"/>
      <c r="C1692" s="1" t="s">
        <v>587</v>
      </c>
      <c r="D1692" s="1">
        <v>120544</v>
      </c>
      <c r="E1692" s="1">
        <v>162</v>
      </c>
      <c r="F1692" s="1" t="s">
        <v>2530</v>
      </c>
      <c r="G1692" s="1" t="s">
        <v>2531</v>
      </c>
      <c r="H1692" s="1" t="s">
        <v>141</v>
      </c>
      <c r="I1692" s="1" t="s">
        <v>65</v>
      </c>
      <c r="J1692" s="1">
        <v>3</v>
      </c>
      <c r="K1692" s="1" t="s">
        <v>142</v>
      </c>
      <c r="L1692" s="1" t="s">
        <v>153</v>
      </c>
      <c r="M1692" s="1" t="s">
        <v>1256</v>
      </c>
      <c r="N1692" s="1" t="str">
        <f>HYPERLINK("https://klocwork.india.ti.com:443/review/insight-review.html#issuedetails_goto:problemid=120544,project=MCU_PLUS_SDK_AM263X,searchquery=taxonomy:'C and C++' build:Build_Apr_13_2023_11_11_AM grouping:off ","KW Issue Link")</f>
        <v>KW Issue Link</v>
      </c>
      <c r="O1692" s="1" t="s">
        <v>291</v>
      </c>
    </row>
    <row r="1693" spans="1:15" ht="60" x14ac:dyDescent="0.25">
      <c r="A1693" s="1" t="s">
        <v>1252</v>
      </c>
      <c r="B1693" s="1"/>
      <c r="C1693" s="1" t="s">
        <v>587</v>
      </c>
      <c r="D1693" s="1">
        <v>120546</v>
      </c>
      <c r="E1693" s="1">
        <v>162</v>
      </c>
      <c r="F1693" s="1" t="s">
        <v>2532</v>
      </c>
      <c r="G1693" s="1" t="s">
        <v>2531</v>
      </c>
      <c r="H1693" s="1" t="s">
        <v>141</v>
      </c>
      <c r="I1693" s="1" t="s">
        <v>65</v>
      </c>
      <c r="J1693" s="1">
        <v>3</v>
      </c>
      <c r="K1693" s="1" t="s">
        <v>142</v>
      </c>
      <c r="L1693" s="1" t="s">
        <v>153</v>
      </c>
      <c r="M1693" s="1" t="s">
        <v>1256</v>
      </c>
      <c r="N1693" s="1" t="str">
        <f>HYPERLINK("https://klocwork.india.ti.com:443/review/insight-review.html#issuedetails_goto:problemid=120546,project=MCU_PLUS_SDK_AM263X,searchquery=taxonomy:'C and C++' build:Build_Apr_13_2023_11_11_AM grouping:off ","KW Issue Link")</f>
        <v>KW Issue Link</v>
      </c>
      <c r="O1693" s="1" t="s">
        <v>291</v>
      </c>
    </row>
    <row r="1694" spans="1:15" ht="60" x14ac:dyDescent="0.25">
      <c r="A1694" s="1" t="s">
        <v>1266</v>
      </c>
      <c r="B1694" s="1"/>
      <c r="C1694" s="1" t="s">
        <v>587</v>
      </c>
      <c r="D1694" s="1">
        <v>120547</v>
      </c>
      <c r="E1694" s="1">
        <v>162</v>
      </c>
      <c r="F1694" s="1" t="s">
        <v>2533</v>
      </c>
      <c r="G1694" s="1" t="s">
        <v>2531</v>
      </c>
      <c r="H1694" s="1" t="s">
        <v>141</v>
      </c>
      <c r="I1694" s="1" t="s">
        <v>65</v>
      </c>
      <c r="J1694" s="1">
        <v>3</v>
      </c>
      <c r="K1694" s="1" t="s">
        <v>142</v>
      </c>
      <c r="L1694" s="1" t="s">
        <v>153</v>
      </c>
      <c r="M1694" s="1" t="s">
        <v>1256</v>
      </c>
      <c r="N1694" s="1" t="str">
        <f>HYPERLINK("https://klocwork.india.ti.com:443/review/insight-review.html#issuedetails_goto:problemid=120547,project=MCU_PLUS_SDK_AM263X,searchquery=taxonomy:'C and C++' build:Build_Apr_13_2023_11_11_AM grouping:off ","KW Issue Link")</f>
        <v>KW Issue Link</v>
      </c>
      <c r="O1694" s="1" t="s">
        <v>291</v>
      </c>
    </row>
    <row r="1695" spans="1:15" ht="60" x14ac:dyDescent="0.25">
      <c r="A1695" s="1" t="s">
        <v>1266</v>
      </c>
      <c r="B1695" s="1"/>
      <c r="C1695" s="1" t="s">
        <v>587</v>
      </c>
      <c r="D1695" s="1">
        <v>120548</v>
      </c>
      <c r="E1695" s="1">
        <v>269</v>
      </c>
      <c r="F1695" s="1" t="s">
        <v>2534</v>
      </c>
      <c r="G1695" s="1" t="s">
        <v>589</v>
      </c>
      <c r="H1695" s="1" t="s">
        <v>141</v>
      </c>
      <c r="I1695" s="1" t="s">
        <v>65</v>
      </c>
      <c r="J1695" s="1">
        <v>3</v>
      </c>
      <c r="K1695" s="1" t="s">
        <v>142</v>
      </c>
      <c r="L1695" s="1" t="s">
        <v>153</v>
      </c>
      <c r="M1695" s="1" t="s">
        <v>1256</v>
      </c>
      <c r="N1695" s="1" t="str">
        <f>HYPERLINK("https://klocwork.india.ti.com:443/review/insight-review.html#issuedetails_goto:problemid=120548,project=MCU_PLUS_SDK_AM263X,searchquery=taxonomy:'C and C++' build:Build_Apr_13_2023_11_11_AM grouping:off ","KW Issue Link")</f>
        <v>KW Issue Link</v>
      </c>
      <c r="O1695" s="1" t="s">
        <v>291</v>
      </c>
    </row>
    <row r="1696" spans="1:15" ht="60" x14ac:dyDescent="0.25">
      <c r="A1696" s="1" t="s">
        <v>1268</v>
      </c>
      <c r="B1696" s="1"/>
      <c r="C1696" s="1" t="s">
        <v>587</v>
      </c>
      <c r="D1696" s="1">
        <v>120549</v>
      </c>
      <c r="E1696" s="1">
        <v>269</v>
      </c>
      <c r="F1696" s="1" t="s">
        <v>2535</v>
      </c>
      <c r="G1696" s="1" t="s">
        <v>589</v>
      </c>
      <c r="H1696" s="1" t="s">
        <v>141</v>
      </c>
      <c r="I1696" s="1" t="s">
        <v>65</v>
      </c>
      <c r="J1696" s="1">
        <v>3</v>
      </c>
      <c r="K1696" s="1" t="s">
        <v>142</v>
      </c>
      <c r="L1696" s="1" t="s">
        <v>153</v>
      </c>
      <c r="M1696" s="1" t="s">
        <v>1256</v>
      </c>
      <c r="N1696" s="1" t="str">
        <f>HYPERLINK("https://klocwork.india.ti.com:443/review/insight-review.html#issuedetails_goto:problemid=120549,project=MCU_PLUS_SDK_AM263X,searchquery=taxonomy:'C and C++' build:Build_Apr_13_2023_11_11_AM grouping:off ","KW Issue Link")</f>
        <v>KW Issue Link</v>
      </c>
      <c r="O1696" s="1" t="s">
        <v>291</v>
      </c>
    </row>
    <row r="1697" spans="1:15" ht="60" x14ac:dyDescent="0.25">
      <c r="A1697" s="1" t="s">
        <v>1257</v>
      </c>
      <c r="B1697" s="1"/>
      <c r="C1697" s="1" t="s">
        <v>590</v>
      </c>
      <c r="D1697" s="1">
        <v>120551</v>
      </c>
      <c r="E1697" s="1">
        <v>276</v>
      </c>
      <c r="F1697" s="1" t="s">
        <v>2536</v>
      </c>
      <c r="G1697" s="1" t="s">
        <v>2537</v>
      </c>
      <c r="H1697" s="1" t="s">
        <v>141</v>
      </c>
      <c r="I1697" s="1" t="s">
        <v>65</v>
      </c>
      <c r="J1697" s="1">
        <v>3</v>
      </c>
      <c r="K1697" s="1" t="s">
        <v>142</v>
      </c>
      <c r="L1697" s="1" t="s">
        <v>153</v>
      </c>
      <c r="M1697" s="1" t="s">
        <v>1256</v>
      </c>
      <c r="N1697" s="1" t="str">
        <f>HYPERLINK("https://klocwork.india.ti.com:443/review/insight-review.html#issuedetails_goto:problemid=120551,project=MCU_PLUS_SDK_AM263X,searchquery=taxonomy:'C and C++' build:Build_Apr_13_2023_11_11_AM grouping:off ","KW Issue Link")</f>
        <v>KW Issue Link</v>
      </c>
      <c r="O1697" s="1" t="s">
        <v>291</v>
      </c>
    </row>
    <row r="1698" spans="1:15" ht="60" x14ac:dyDescent="0.25">
      <c r="A1698" s="1" t="s">
        <v>1257</v>
      </c>
      <c r="B1698" s="1"/>
      <c r="C1698" s="1" t="s">
        <v>590</v>
      </c>
      <c r="D1698" s="1">
        <v>120552</v>
      </c>
      <c r="E1698" s="1">
        <v>457</v>
      </c>
      <c r="F1698" s="1" t="s">
        <v>2538</v>
      </c>
      <c r="G1698" s="1" t="s">
        <v>596</v>
      </c>
      <c r="H1698" s="1" t="s">
        <v>141</v>
      </c>
      <c r="I1698" s="1" t="s">
        <v>65</v>
      </c>
      <c r="J1698" s="1">
        <v>3</v>
      </c>
      <c r="K1698" s="1" t="s">
        <v>142</v>
      </c>
      <c r="L1698" s="1" t="s">
        <v>153</v>
      </c>
      <c r="M1698" s="1" t="s">
        <v>1256</v>
      </c>
      <c r="N1698" s="1" t="str">
        <f>HYPERLINK("https://klocwork.india.ti.com:443/review/insight-review.html#issuedetails_goto:problemid=120552,project=MCU_PLUS_SDK_AM263X,searchquery=taxonomy:'C and C++' build:Build_Apr_13_2023_11_11_AM grouping:off ","KW Issue Link")</f>
        <v>KW Issue Link</v>
      </c>
      <c r="O1698" s="1" t="s">
        <v>291</v>
      </c>
    </row>
    <row r="1699" spans="1:15" ht="60" x14ac:dyDescent="0.25">
      <c r="A1699" s="1" t="s">
        <v>1257</v>
      </c>
      <c r="B1699" s="1"/>
      <c r="C1699" s="1" t="s">
        <v>590</v>
      </c>
      <c r="D1699" s="1">
        <v>120554</v>
      </c>
      <c r="E1699" s="1">
        <v>523</v>
      </c>
      <c r="F1699" s="1" t="s">
        <v>2539</v>
      </c>
      <c r="G1699" s="1" t="s">
        <v>598</v>
      </c>
      <c r="H1699" s="1" t="s">
        <v>141</v>
      </c>
      <c r="I1699" s="1" t="s">
        <v>65</v>
      </c>
      <c r="J1699" s="1">
        <v>3</v>
      </c>
      <c r="K1699" s="1" t="s">
        <v>142</v>
      </c>
      <c r="L1699" s="1" t="s">
        <v>153</v>
      </c>
      <c r="M1699" s="1" t="s">
        <v>1256</v>
      </c>
      <c r="N1699" s="1" t="str">
        <f>HYPERLINK("https://klocwork.india.ti.com:443/review/insight-review.html#issuedetails_goto:problemid=120554,project=MCU_PLUS_SDK_AM263X,searchquery=taxonomy:'C and C++' build:Build_Apr_13_2023_11_11_AM grouping:off ","KW Issue Link")</f>
        <v>KW Issue Link</v>
      </c>
      <c r="O1699" s="1" t="s">
        <v>291</v>
      </c>
    </row>
    <row r="1700" spans="1:15" ht="60" x14ac:dyDescent="0.25">
      <c r="A1700" s="1" t="s">
        <v>1257</v>
      </c>
      <c r="B1700" s="1"/>
      <c r="C1700" s="1" t="s">
        <v>590</v>
      </c>
      <c r="D1700" s="1">
        <v>120556</v>
      </c>
      <c r="E1700" s="1">
        <v>587</v>
      </c>
      <c r="F1700" s="1" t="s">
        <v>2540</v>
      </c>
      <c r="G1700" s="1" t="s">
        <v>600</v>
      </c>
      <c r="H1700" s="1" t="s">
        <v>141</v>
      </c>
      <c r="I1700" s="1" t="s">
        <v>65</v>
      </c>
      <c r="J1700" s="1">
        <v>3</v>
      </c>
      <c r="K1700" s="1" t="s">
        <v>142</v>
      </c>
      <c r="L1700" s="1" t="s">
        <v>153</v>
      </c>
      <c r="M1700" s="1" t="s">
        <v>1256</v>
      </c>
      <c r="N1700" s="1" t="str">
        <f>HYPERLINK("https://klocwork.india.ti.com:443/review/insight-review.html#issuedetails_goto:problemid=120556,project=MCU_PLUS_SDK_AM263X,searchquery=taxonomy:'C and C++' build:Build_Apr_13_2023_11_11_AM grouping:off ","KW Issue Link")</f>
        <v>KW Issue Link</v>
      </c>
      <c r="O1700" s="1" t="s">
        <v>291</v>
      </c>
    </row>
    <row r="1701" spans="1:15" ht="60" x14ac:dyDescent="0.25">
      <c r="A1701" s="1" t="s">
        <v>1257</v>
      </c>
      <c r="B1701" s="1"/>
      <c r="C1701" s="1" t="s">
        <v>590</v>
      </c>
      <c r="D1701" s="1">
        <v>120558</v>
      </c>
      <c r="E1701" s="1">
        <v>737</v>
      </c>
      <c r="F1701" s="1" t="s">
        <v>2541</v>
      </c>
      <c r="G1701" s="1" t="s">
        <v>2542</v>
      </c>
      <c r="H1701" s="1" t="s">
        <v>141</v>
      </c>
      <c r="I1701" s="1" t="s">
        <v>65</v>
      </c>
      <c r="J1701" s="1">
        <v>3</v>
      </c>
      <c r="K1701" s="1" t="s">
        <v>142</v>
      </c>
      <c r="L1701" s="1" t="s">
        <v>153</v>
      </c>
      <c r="M1701" s="1" t="s">
        <v>1256</v>
      </c>
      <c r="N1701" s="1" t="str">
        <f>HYPERLINK("https://klocwork.india.ti.com:443/review/insight-review.html#issuedetails_goto:problemid=120558,project=MCU_PLUS_SDK_AM263X,searchquery=taxonomy:'C and C++' build:Build_Apr_13_2023_11_11_AM grouping:off ","KW Issue Link")</f>
        <v>KW Issue Link</v>
      </c>
      <c r="O1701" s="1" t="s">
        <v>291</v>
      </c>
    </row>
    <row r="1702" spans="1:15" ht="60" x14ac:dyDescent="0.25">
      <c r="A1702" s="1" t="s">
        <v>1257</v>
      </c>
      <c r="B1702" s="1"/>
      <c r="C1702" s="1" t="s">
        <v>590</v>
      </c>
      <c r="D1702" s="1">
        <v>120559</v>
      </c>
      <c r="E1702" s="1">
        <v>822</v>
      </c>
      <c r="F1702" s="1" t="s">
        <v>2543</v>
      </c>
      <c r="G1702" s="1" t="s">
        <v>606</v>
      </c>
      <c r="H1702" s="1" t="s">
        <v>141</v>
      </c>
      <c r="I1702" s="1" t="s">
        <v>65</v>
      </c>
      <c r="J1702" s="1">
        <v>3</v>
      </c>
      <c r="K1702" s="1" t="s">
        <v>142</v>
      </c>
      <c r="L1702" s="1" t="s">
        <v>153</v>
      </c>
      <c r="M1702" s="1" t="s">
        <v>1256</v>
      </c>
      <c r="N1702" s="1" t="str">
        <f>HYPERLINK("https://klocwork.india.ti.com:443/review/insight-review.html#issuedetails_goto:problemid=120559,project=MCU_PLUS_SDK_AM263X,searchquery=taxonomy:'C and C++' build:Build_Apr_13_2023_11_11_AM grouping:off ","KW Issue Link")</f>
        <v>KW Issue Link</v>
      </c>
      <c r="O1702" s="1" t="s">
        <v>291</v>
      </c>
    </row>
    <row r="1703" spans="1:15" ht="60" x14ac:dyDescent="0.25">
      <c r="A1703" s="1" t="s">
        <v>1257</v>
      </c>
      <c r="B1703" s="1"/>
      <c r="C1703" s="1" t="s">
        <v>590</v>
      </c>
      <c r="D1703" s="1">
        <v>120566</v>
      </c>
      <c r="E1703" s="1">
        <v>1701</v>
      </c>
      <c r="F1703" s="1" t="s">
        <v>2544</v>
      </c>
      <c r="G1703" s="1" t="s">
        <v>2545</v>
      </c>
      <c r="H1703" s="1" t="s">
        <v>141</v>
      </c>
      <c r="I1703" s="1" t="s">
        <v>65</v>
      </c>
      <c r="J1703" s="1">
        <v>3</v>
      </c>
      <c r="K1703" s="1" t="s">
        <v>142</v>
      </c>
      <c r="L1703" s="1" t="s">
        <v>153</v>
      </c>
      <c r="M1703" s="1" t="s">
        <v>1256</v>
      </c>
      <c r="N1703" s="1" t="str">
        <f>HYPERLINK("https://klocwork.india.ti.com:443/review/insight-review.html#issuedetails_goto:problemid=120566,project=MCU_PLUS_SDK_AM263X,searchquery=taxonomy:'C and C++' build:Build_Apr_13_2023_11_11_AM grouping:off ","KW Issue Link")</f>
        <v>KW Issue Link</v>
      </c>
      <c r="O1703" s="1" t="s">
        <v>291</v>
      </c>
    </row>
    <row r="1704" spans="1:15" ht="60" x14ac:dyDescent="0.25">
      <c r="A1704" s="1" t="s">
        <v>1257</v>
      </c>
      <c r="B1704" s="1"/>
      <c r="C1704" s="1" t="s">
        <v>590</v>
      </c>
      <c r="D1704" s="1">
        <v>120568</v>
      </c>
      <c r="E1704" s="1">
        <v>1751</v>
      </c>
      <c r="F1704" s="1" t="s">
        <v>2546</v>
      </c>
      <c r="G1704" s="1" t="s">
        <v>2547</v>
      </c>
      <c r="H1704" s="1" t="s">
        <v>141</v>
      </c>
      <c r="I1704" s="1" t="s">
        <v>65</v>
      </c>
      <c r="J1704" s="1">
        <v>3</v>
      </c>
      <c r="K1704" s="1" t="s">
        <v>142</v>
      </c>
      <c r="L1704" s="1" t="s">
        <v>153</v>
      </c>
      <c r="M1704" s="1" t="s">
        <v>1256</v>
      </c>
      <c r="N1704" s="1" t="str">
        <f>HYPERLINK("https://klocwork.india.ti.com:443/review/insight-review.html#issuedetails_goto:problemid=120568,project=MCU_PLUS_SDK_AM263X,searchquery=taxonomy:'C and C++' build:Build_Apr_13_2023_11_11_AM grouping:off ","KW Issue Link")</f>
        <v>KW Issue Link</v>
      </c>
      <c r="O1704" s="1" t="s">
        <v>291</v>
      </c>
    </row>
    <row r="1705" spans="1:15" ht="60" x14ac:dyDescent="0.25">
      <c r="A1705" s="1" t="s">
        <v>1266</v>
      </c>
      <c r="B1705" s="1"/>
      <c r="C1705" s="1" t="s">
        <v>590</v>
      </c>
      <c r="D1705" s="1">
        <v>120571</v>
      </c>
      <c r="E1705" s="1">
        <v>276</v>
      </c>
      <c r="F1705" s="1" t="s">
        <v>2548</v>
      </c>
      <c r="G1705" s="1" t="s">
        <v>2537</v>
      </c>
      <c r="H1705" s="1" t="s">
        <v>141</v>
      </c>
      <c r="I1705" s="1" t="s">
        <v>65</v>
      </c>
      <c r="J1705" s="1">
        <v>3</v>
      </c>
      <c r="K1705" s="1" t="s">
        <v>142</v>
      </c>
      <c r="L1705" s="1" t="s">
        <v>153</v>
      </c>
      <c r="M1705" s="1" t="s">
        <v>1256</v>
      </c>
      <c r="N1705" s="1" t="str">
        <f>HYPERLINK("https://klocwork.india.ti.com:443/review/insight-review.html#issuedetails_goto:problemid=120571,project=MCU_PLUS_SDK_AM263X,searchquery=taxonomy:'C and C++' build:Build_Apr_13_2023_11_11_AM grouping:off ","KW Issue Link")</f>
        <v>KW Issue Link</v>
      </c>
      <c r="O1705" s="1" t="s">
        <v>291</v>
      </c>
    </row>
    <row r="1706" spans="1:15" ht="60" x14ac:dyDescent="0.25">
      <c r="A1706" s="1" t="s">
        <v>1266</v>
      </c>
      <c r="B1706" s="1"/>
      <c r="C1706" s="1" t="s">
        <v>590</v>
      </c>
      <c r="D1706" s="1">
        <v>120572</v>
      </c>
      <c r="E1706" s="1">
        <v>457</v>
      </c>
      <c r="F1706" s="1" t="s">
        <v>2549</v>
      </c>
      <c r="G1706" s="1" t="s">
        <v>596</v>
      </c>
      <c r="H1706" s="1" t="s">
        <v>141</v>
      </c>
      <c r="I1706" s="1" t="s">
        <v>65</v>
      </c>
      <c r="J1706" s="1">
        <v>3</v>
      </c>
      <c r="K1706" s="1" t="s">
        <v>142</v>
      </c>
      <c r="L1706" s="1" t="s">
        <v>153</v>
      </c>
      <c r="M1706" s="1" t="s">
        <v>1256</v>
      </c>
      <c r="N1706" s="1" t="str">
        <f>HYPERLINK("https://klocwork.india.ti.com:443/review/insight-review.html#issuedetails_goto:problemid=120572,project=MCU_PLUS_SDK_AM263X,searchquery=taxonomy:'C and C++' build:Build_Apr_13_2023_11_11_AM grouping:off ","KW Issue Link")</f>
        <v>KW Issue Link</v>
      </c>
      <c r="O1706" s="1" t="s">
        <v>291</v>
      </c>
    </row>
    <row r="1707" spans="1:15" ht="60" x14ac:dyDescent="0.25">
      <c r="A1707" s="1" t="s">
        <v>1266</v>
      </c>
      <c r="B1707" s="1"/>
      <c r="C1707" s="1" t="s">
        <v>590</v>
      </c>
      <c r="D1707" s="1">
        <v>120573</v>
      </c>
      <c r="E1707" s="1">
        <v>523</v>
      </c>
      <c r="F1707" s="1" t="s">
        <v>2550</v>
      </c>
      <c r="G1707" s="1" t="s">
        <v>598</v>
      </c>
      <c r="H1707" s="1" t="s">
        <v>141</v>
      </c>
      <c r="I1707" s="1" t="s">
        <v>65</v>
      </c>
      <c r="J1707" s="1">
        <v>3</v>
      </c>
      <c r="K1707" s="1" t="s">
        <v>142</v>
      </c>
      <c r="L1707" s="1" t="s">
        <v>153</v>
      </c>
      <c r="M1707" s="1" t="s">
        <v>1256</v>
      </c>
      <c r="N1707" s="1" t="str">
        <f>HYPERLINK("https://klocwork.india.ti.com:443/review/insight-review.html#issuedetails_goto:problemid=120573,project=MCU_PLUS_SDK_AM263X,searchquery=taxonomy:'C and C++' build:Build_Apr_13_2023_11_11_AM grouping:off ","KW Issue Link")</f>
        <v>KW Issue Link</v>
      </c>
      <c r="O1707" s="1" t="s">
        <v>291</v>
      </c>
    </row>
    <row r="1708" spans="1:15" ht="60" x14ac:dyDescent="0.25">
      <c r="A1708" s="1" t="s">
        <v>1266</v>
      </c>
      <c r="B1708" s="1"/>
      <c r="C1708" s="1" t="s">
        <v>590</v>
      </c>
      <c r="D1708" s="1">
        <v>120574</v>
      </c>
      <c r="E1708" s="1">
        <v>587</v>
      </c>
      <c r="F1708" s="1" t="s">
        <v>2551</v>
      </c>
      <c r="G1708" s="1" t="s">
        <v>600</v>
      </c>
      <c r="H1708" s="1" t="s">
        <v>141</v>
      </c>
      <c r="I1708" s="1" t="s">
        <v>65</v>
      </c>
      <c r="J1708" s="1">
        <v>3</v>
      </c>
      <c r="K1708" s="1" t="s">
        <v>142</v>
      </c>
      <c r="L1708" s="1" t="s">
        <v>153</v>
      </c>
      <c r="M1708" s="1" t="s">
        <v>1256</v>
      </c>
      <c r="N1708" s="1" t="str">
        <f>HYPERLINK("https://klocwork.india.ti.com:443/review/insight-review.html#issuedetails_goto:problemid=120574,project=MCU_PLUS_SDK_AM263X,searchquery=taxonomy:'C and C++' build:Build_Apr_13_2023_11_11_AM grouping:off ","KW Issue Link")</f>
        <v>KW Issue Link</v>
      </c>
      <c r="O1708" s="1" t="s">
        <v>291</v>
      </c>
    </row>
    <row r="1709" spans="1:15" ht="60" x14ac:dyDescent="0.25">
      <c r="A1709" s="1" t="s">
        <v>1266</v>
      </c>
      <c r="B1709" s="1"/>
      <c r="C1709" s="1" t="s">
        <v>590</v>
      </c>
      <c r="D1709" s="1">
        <v>120575</v>
      </c>
      <c r="E1709" s="1">
        <v>658</v>
      </c>
      <c r="F1709" s="1" t="s">
        <v>2552</v>
      </c>
      <c r="G1709" s="1" t="s">
        <v>2553</v>
      </c>
      <c r="H1709" s="1" t="s">
        <v>141</v>
      </c>
      <c r="I1709" s="1" t="s">
        <v>65</v>
      </c>
      <c r="J1709" s="1">
        <v>3</v>
      </c>
      <c r="K1709" s="1" t="s">
        <v>142</v>
      </c>
      <c r="L1709" s="1" t="s">
        <v>153</v>
      </c>
      <c r="M1709" s="1" t="s">
        <v>1256</v>
      </c>
      <c r="N1709" s="1" t="str">
        <f>HYPERLINK("https://klocwork.india.ti.com:443/review/insight-review.html#issuedetails_goto:problemid=120575,project=MCU_PLUS_SDK_AM263X,searchquery=taxonomy:'C and C++' build:Build_Apr_13_2023_11_11_AM grouping:off ","KW Issue Link")</f>
        <v>KW Issue Link</v>
      </c>
      <c r="O1709" s="1" t="s">
        <v>291</v>
      </c>
    </row>
    <row r="1710" spans="1:15" ht="60" x14ac:dyDescent="0.25">
      <c r="A1710" s="1" t="s">
        <v>1266</v>
      </c>
      <c r="B1710" s="1"/>
      <c r="C1710" s="1" t="s">
        <v>590</v>
      </c>
      <c r="D1710" s="1">
        <v>120576</v>
      </c>
      <c r="E1710" s="1">
        <v>737</v>
      </c>
      <c r="F1710" s="1" t="s">
        <v>2554</v>
      </c>
      <c r="G1710" s="1" t="s">
        <v>2542</v>
      </c>
      <c r="H1710" s="1" t="s">
        <v>141</v>
      </c>
      <c r="I1710" s="1" t="s">
        <v>65</v>
      </c>
      <c r="J1710" s="1">
        <v>3</v>
      </c>
      <c r="K1710" s="1" t="s">
        <v>142</v>
      </c>
      <c r="L1710" s="1" t="s">
        <v>153</v>
      </c>
      <c r="M1710" s="1" t="s">
        <v>1256</v>
      </c>
      <c r="N1710" s="1" t="str">
        <f>HYPERLINK("https://klocwork.india.ti.com:443/review/insight-review.html#issuedetails_goto:problemid=120576,project=MCU_PLUS_SDK_AM263X,searchquery=taxonomy:'C and C++' build:Build_Apr_13_2023_11_11_AM grouping:off ","KW Issue Link")</f>
        <v>KW Issue Link</v>
      </c>
      <c r="O1710" s="1" t="s">
        <v>291</v>
      </c>
    </row>
    <row r="1711" spans="1:15" ht="60" x14ac:dyDescent="0.25">
      <c r="A1711" s="1" t="s">
        <v>1266</v>
      </c>
      <c r="B1711" s="1"/>
      <c r="C1711" s="1" t="s">
        <v>590</v>
      </c>
      <c r="D1711" s="1">
        <v>120578</v>
      </c>
      <c r="E1711" s="1">
        <v>1701</v>
      </c>
      <c r="F1711" s="1" t="s">
        <v>2555</v>
      </c>
      <c r="G1711" s="1" t="s">
        <v>2545</v>
      </c>
      <c r="H1711" s="1" t="s">
        <v>141</v>
      </c>
      <c r="I1711" s="1" t="s">
        <v>65</v>
      </c>
      <c r="J1711" s="1">
        <v>3</v>
      </c>
      <c r="K1711" s="1" t="s">
        <v>142</v>
      </c>
      <c r="L1711" s="1" t="s">
        <v>153</v>
      </c>
      <c r="M1711" s="1" t="s">
        <v>1256</v>
      </c>
      <c r="N1711" s="1" t="str">
        <f>HYPERLINK("https://klocwork.india.ti.com:443/review/insight-review.html#issuedetails_goto:problemid=120578,project=MCU_PLUS_SDK_AM263X,searchquery=taxonomy:'C and C++' build:Build_Apr_13_2023_11_11_AM grouping:off ","KW Issue Link")</f>
        <v>KW Issue Link</v>
      </c>
      <c r="O1711" s="1" t="s">
        <v>291</v>
      </c>
    </row>
    <row r="1712" spans="1:15" ht="60" x14ac:dyDescent="0.25">
      <c r="A1712" s="1" t="s">
        <v>1266</v>
      </c>
      <c r="B1712" s="1"/>
      <c r="C1712" s="1" t="s">
        <v>590</v>
      </c>
      <c r="D1712" s="1">
        <v>120580</v>
      </c>
      <c r="E1712" s="1">
        <v>1751</v>
      </c>
      <c r="F1712" s="1" t="s">
        <v>2556</v>
      </c>
      <c r="G1712" s="1" t="s">
        <v>2547</v>
      </c>
      <c r="H1712" s="1" t="s">
        <v>141</v>
      </c>
      <c r="I1712" s="1" t="s">
        <v>65</v>
      </c>
      <c r="J1712" s="1">
        <v>3</v>
      </c>
      <c r="K1712" s="1" t="s">
        <v>142</v>
      </c>
      <c r="L1712" s="1" t="s">
        <v>153</v>
      </c>
      <c r="M1712" s="1" t="s">
        <v>1256</v>
      </c>
      <c r="N1712" s="1" t="str">
        <f>HYPERLINK("https://klocwork.india.ti.com:443/review/insight-review.html#issuedetails_goto:problemid=120580,project=MCU_PLUS_SDK_AM263X,searchquery=taxonomy:'C and C++' build:Build_Apr_13_2023_11_11_AM grouping:off ","KW Issue Link")</f>
        <v>KW Issue Link</v>
      </c>
      <c r="O1712" s="1" t="s">
        <v>291</v>
      </c>
    </row>
    <row r="1713" spans="1:15" ht="60" x14ac:dyDescent="0.25">
      <c r="A1713" s="1" t="s">
        <v>1268</v>
      </c>
      <c r="B1713" s="1"/>
      <c r="C1713" s="1" t="s">
        <v>590</v>
      </c>
      <c r="D1713" s="1">
        <v>120582</v>
      </c>
      <c r="E1713" s="1">
        <v>276</v>
      </c>
      <c r="F1713" s="1" t="s">
        <v>2557</v>
      </c>
      <c r="G1713" s="1" t="s">
        <v>2537</v>
      </c>
      <c r="H1713" s="1" t="s">
        <v>141</v>
      </c>
      <c r="I1713" s="1" t="s">
        <v>65</v>
      </c>
      <c r="J1713" s="1">
        <v>3</v>
      </c>
      <c r="K1713" s="1" t="s">
        <v>142</v>
      </c>
      <c r="L1713" s="1" t="s">
        <v>153</v>
      </c>
      <c r="M1713" s="1" t="s">
        <v>1256</v>
      </c>
      <c r="N1713" s="1" t="str">
        <f>HYPERLINK("https://klocwork.india.ti.com:443/review/insight-review.html#issuedetails_goto:problemid=120582,project=MCU_PLUS_SDK_AM263X,searchquery=taxonomy:'C and C++' build:Build_Apr_13_2023_11_11_AM grouping:off ","KW Issue Link")</f>
        <v>KW Issue Link</v>
      </c>
      <c r="O1713" s="1" t="s">
        <v>291</v>
      </c>
    </row>
    <row r="1714" spans="1:15" ht="60" x14ac:dyDescent="0.25">
      <c r="A1714" s="1" t="s">
        <v>1268</v>
      </c>
      <c r="B1714" s="1"/>
      <c r="C1714" s="1" t="s">
        <v>590</v>
      </c>
      <c r="D1714" s="1">
        <v>120583</v>
      </c>
      <c r="E1714" s="1">
        <v>457</v>
      </c>
      <c r="F1714" s="1" t="s">
        <v>2558</v>
      </c>
      <c r="G1714" s="1" t="s">
        <v>596</v>
      </c>
      <c r="H1714" s="1" t="s">
        <v>141</v>
      </c>
      <c r="I1714" s="1" t="s">
        <v>65</v>
      </c>
      <c r="J1714" s="1">
        <v>3</v>
      </c>
      <c r="K1714" s="1" t="s">
        <v>142</v>
      </c>
      <c r="L1714" s="1" t="s">
        <v>153</v>
      </c>
      <c r="M1714" s="1" t="s">
        <v>1256</v>
      </c>
      <c r="N1714" s="1" t="str">
        <f>HYPERLINK("https://klocwork.india.ti.com:443/review/insight-review.html#issuedetails_goto:problemid=120583,project=MCU_PLUS_SDK_AM263X,searchquery=taxonomy:'C and C++' build:Build_Apr_13_2023_11_11_AM grouping:off ","KW Issue Link")</f>
        <v>KW Issue Link</v>
      </c>
      <c r="O1714" s="1" t="s">
        <v>291</v>
      </c>
    </row>
    <row r="1715" spans="1:15" ht="60" x14ac:dyDescent="0.25">
      <c r="A1715" s="1" t="s">
        <v>1268</v>
      </c>
      <c r="B1715" s="1"/>
      <c r="C1715" s="1" t="s">
        <v>590</v>
      </c>
      <c r="D1715" s="1">
        <v>120584</v>
      </c>
      <c r="E1715" s="1">
        <v>658</v>
      </c>
      <c r="F1715" s="1" t="s">
        <v>2559</v>
      </c>
      <c r="G1715" s="1" t="s">
        <v>2553</v>
      </c>
      <c r="H1715" s="1" t="s">
        <v>141</v>
      </c>
      <c r="I1715" s="1" t="s">
        <v>65</v>
      </c>
      <c r="J1715" s="1">
        <v>3</v>
      </c>
      <c r="K1715" s="1" t="s">
        <v>142</v>
      </c>
      <c r="L1715" s="1" t="s">
        <v>153</v>
      </c>
      <c r="M1715" s="1" t="s">
        <v>1256</v>
      </c>
      <c r="N1715" s="1" t="str">
        <f>HYPERLINK("https://klocwork.india.ti.com:443/review/insight-review.html#issuedetails_goto:problemid=120584,project=MCU_PLUS_SDK_AM263X,searchquery=taxonomy:'C and C++' build:Build_Apr_13_2023_11_11_AM grouping:off ","KW Issue Link")</f>
        <v>KW Issue Link</v>
      </c>
      <c r="O1715" s="1" t="s">
        <v>291</v>
      </c>
    </row>
    <row r="1716" spans="1:15" ht="60" x14ac:dyDescent="0.25">
      <c r="A1716" s="1" t="s">
        <v>1268</v>
      </c>
      <c r="B1716" s="1"/>
      <c r="C1716" s="1" t="s">
        <v>590</v>
      </c>
      <c r="D1716" s="1">
        <v>120585</v>
      </c>
      <c r="E1716" s="1">
        <v>737</v>
      </c>
      <c r="F1716" s="1" t="s">
        <v>2560</v>
      </c>
      <c r="G1716" s="1" t="s">
        <v>2542</v>
      </c>
      <c r="H1716" s="1" t="s">
        <v>141</v>
      </c>
      <c r="I1716" s="1" t="s">
        <v>65</v>
      </c>
      <c r="J1716" s="1">
        <v>3</v>
      </c>
      <c r="K1716" s="1" t="s">
        <v>142</v>
      </c>
      <c r="L1716" s="1" t="s">
        <v>153</v>
      </c>
      <c r="M1716" s="1" t="s">
        <v>1256</v>
      </c>
      <c r="N1716" s="1" t="str">
        <f>HYPERLINK("https://klocwork.india.ti.com:443/review/insight-review.html#issuedetails_goto:problemid=120585,project=MCU_PLUS_SDK_AM263X,searchquery=taxonomy:'C and C++' build:Build_Apr_13_2023_11_11_AM grouping:off ","KW Issue Link")</f>
        <v>KW Issue Link</v>
      </c>
      <c r="O1716" s="1" t="s">
        <v>291</v>
      </c>
    </row>
    <row r="1717" spans="1:15" ht="60" x14ac:dyDescent="0.25">
      <c r="A1717" s="1" t="s">
        <v>1252</v>
      </c>
      <c r="B1717" s="1"/>
      <c r="C1717" s="1" t="s">
        <v>590</v>
      </c>
      <c r="D1717" s="1">
        <v>120586</v>
      </c>
      <c r="E1717" s="1">
        <v>276</v>
      </c>
      <c r="F1717" s="1" t="s">
        <v>2561</v>
      </c>
      <c r="G1717" s="1" t="s">
        <v>2537</v>
      </c>
      <c r="H1717" s="1" t="s">
        <v>141</v>
      </c>
      <c r="I1717" s="1" t="s">
        <v>65</v>
      </c>
      <c r="J1717" s="1">
        <v>3</v>
      </c>
      <c r="K1717" s="1" t="s">
        <v>142</v>
      </c>
      <c r="L1717" s="1" t="s">
        <v>153</v>
      </c>
      <c r="M1717" s="1" t="s">
        <v>1256</v>
      </c>
      <c r="N1717" s="1" t="str">
        <f>HYPERLINK("https://klocwork.india.ti.com:443/review/insight-review.html#issuedetails_goto:problemid=120586,project=MCU_PLUS_SDK_AM263X,searchquery=taxonomy:'C and C++' build:Build_Apr_13_2023_11_11_AM grouping:off ","KW Issue Link")</f>
        <v>KW Issue Link</v>
      </c>
      <c r="O1717" s="1" t="s">
        <v>291</v>
      </c>
    </row>
    <row r="1718" spans="1:15" ht="60" x14ac:dyDescent="0.25">
      <c r="A1718" s="1" t="s">
        <v>1252</v>
      </c>
      <c r="B1718" s="1"/>
      <c r="C1718" s="1" t="s">
        <v>2562</v>
      </c>
      <c r="D1718" s="1">
        <v>120587</v>
      </c>
      <c r="E1718" s="1">
        <v>222</v>
      </c>
      <c r="F1718" s="1" t="s">
        <v>2563</v>
      </c>
      <c r="G1718" s="1" t="s">
        <v>2564</v>
      </c>
      <c r="H1718" s="1" t="s">
        <v>141</v>
      </c>
      <c r="I1718" s="1" t="s">
        <v>65</v>
      </c>
      <c r="J1718" s="1">
        <v>3</v>
      </c>
      <c r="K1718" s="1" t="s">
        <v>142</v>
      </c>
      <c r="L1718" s="1" t="s">
        <v>153</v>
      </c>
      <c r="M1718" s="1" t="s">
        <v>1256</v>
      </c>
      <c r="N1718" s="1" t="str">
        <f>HYPERLINK("https://klocwork.india.ti.com:443/review/insight-review.html#issuedetails_goto:problemid=120587,project=MCU_PLUS_SDK_AM263X,searchquery=taxonomy:'C and C++' build:Build_Apr_13_2023_11_11_AM grouping:off ","KW Issue Link")</f>
        <v>KW Issue Link</v>
      </c>
      <c r="O1718" s="1" t="s">
        <v>291</v>
      </c>
    </row>
    <row r="1719" spans="1:15" ht="60" x14ac:dyDescent="0.25">
      <c r="A1719" s="1" t="s">
        <v>1257</v>
      </c>
      <c r="B1719" s="1"/>
      <c r="C1719" s="1" t="s">
        <v>2565</v>
      </c>
      <c r="D1719" s="1">
        <v>120588</v>
      </c>
      <c r="E1719" s="1">
        <v>152</v>
      </c>
      <c r="F1719" s="1" t="s">
        <v>2566</v>
      </c>
      <c r="G1719" s="1" t="s">
        <v>2567</v>
      </c>
      <c r="H1719" s="1" t="s">
        <v>141</v>
      </c>
      <c r="I1719" s="1" t="s">
        <v>65</v>
      </c>
      <c r="J1719" s="1">
        <v>3</v>
      </c>
      <c r="K1719" s="1" t="s">
        <v>142</v>
      </c>
      <c r="L1719" s="1" t="s">
        <v>153</v>
      </c>
      <c r="M1719" s="1" t="s">
        <v>1256</v>
      </c>
      <c r="N1719" s="1" t="str">
        <f>HYPERLINK("https://klocwork.india.ti.com:443/review/insight-review.html#issuedetails_goto:problemid=120588,project=MCU_PLUS_SDK_AM263X,searchquery=taxonomy:'C and C++' build:Build_Apr_13_2023_11_11_AM grouping:off ","KW Issue Link")</f>
        <v>KW Issue Link</v>
      </c>
      <c r="O1719" s="1" t="s">
        <v>271</v>
      </c>
    </row>
    <row r="1720" spans="1:15" ht="60" x14ac:dyDescent="0.25">
      <c r="A1720" s="1" t="s">
        <v>1266</v>
      </c>
      <c r="B1720" s="1"/>
      <c r="C1720" s="1" t="s">
        <v>2565</v>
      </c>
      <c r="D1720" s="1">
        <v>120589</v>
      </c>
      <c r="E1720" s="1">
        <v>152</v>
      </c>
      <c r="F1720" s="1" t="s">
        <v>2568</v>
      </c>
      <c r="G1720" s="1" t="s">
        <v>2567</v>
      </c>
      <c r="H1720" s="1" t="s">
        <v>141</v>
      </c>
      <c r="I1720" s="1" t="s">
        <v>65</v>
      </c>
      <c r="J1720" s="1">
        <v>3</v>
      </c>
      <c r="K1720" s="1" t="s">
        <v>142</v>
      </c>
      <c r="L1720" s="1" t="s">
        <v>153</v>
      </c>
      <c r="M1720" s="1" t="s">
        <v>1256</v>
      </c>
      <c r="N1720" s="1" t="str">
        <f>HYPERLINK("https://klocwork.india.ti.com:443/review/insight-review.html#issuedetails_goto:problemid=120589,project=MCU_PLUS_SDK_AM263X,searchquery=taxonomy:'C and C++' build:Build_Apr_13_2023_11_11_AM grouping:off ","KW Issue Link")</f>
        <v>KW Issue Link</v>
      </c>
      <c r="O1720" s="1" t="s">
        <v>271</v>
      </c>
    </row>
    <row r="1721" spans="1:15" ht="60" x14ac:dyDescent="0.25">
      <c r="A1721" s="1" t="s">
        <v>1266</v>
      </c>
      <c r="B1721" s="1"/>
      <c r="C1721" s="1" t="s">
        <v>2565</v>
      </c>
      <c r="D1721" s="1">
        <v>120590</v>
      </c>
      <c r="E1721" s="1">
        <v>406</v>
      </c>
      <c r="F1721" s="1" t="s">
        <v>2569</v>
      </c>
      <c r="G1721" s="1" t="s">
        <v>2570</v>
      </c>
      <c r="H1721" s="1" t="s">
        <v>141</v>
      </c>
      <c r="I1721" s="1" t="s">
        <v>65</v>
      </c>
      <c r="J1721" s="1">
        <v>3</v>
      </c>
      <c r="K1721" s="1" t="s">
        <v>142</v>
      </c>
      <c r="L1721" s="1" t="s">
        <v>153</v>
      </c>
      <c r="M1721" s="1" t="s">
        <v>1256</v>
      </c>
      <c r="N1721" s="1" t="str">
        <f>HYPERLINK("https://klocwork.india.ti.com:443/review/insight-review.html#issuedetails_goto:problemid=120590,project=MCU_PLUS_SDK_AM263X,searchquery=taxonomy:'C and C++' build:Build_Apr_13_2023_11_11_AM grouping:off ","KW Issue Link")</f>
        <v>KW Issue Link</v>
      </c>
      <c r="O1721" s="1" t="s">
        <v>271</v>
      </c>
    </row>
    <row r="1722" spans="1:15" ht="60" x14ac:dyDescent="0.25">
      <c r="A1722" s="1" t="s">
        <v>1268</v>
      </c>
      <c r="B1722" s="1"/>
      <c r="C1722" s="1" t="s">
        <v>2565</v>
      </c>
      <c r="D1722" s="1">
        <v>120591</v>
      </c>
      <c r="E1722" s="1">
        <v>152</v>
      </c>
      <c r="F1722" s="1" t="s">
        <v>2571</v>
      </c>
      <c r="G1722" s="1" t="s">
        <v>2567</v>
      </c>
      <c r="H1722" s="1" t="s">
        <v>141</v>
      </c>
      <c r="I1722" s="1" t="s">
        <v>65</v>
      </c>
      <c r="J1722" s="1">
        <v>3</v>
      </c>
      <c r="K1722" s="1" t="s">
        <v>142</v>
      </c>
      <c r="L1722" s="1" t="s">
        <v>153</v>
      </c>
      <c r="M1722" s="1" t="s">
        <v>1256</v>
      </c>
      <c r="N1722" s="1" t="str">
        <f>HYPERLINK("https://klocwork.india.ti.com:443/review/insight-review.html#issuedetails_goto:problemid=120591,project=MCU_PLUS_SDK_AM263X,searchquery=taxonomy:'C and C++' build:Build_Apr_13_2023_11_11_AM grouping:off ","KW Issue Link")</f>
        <v>KW Issue Link</v>
      </c>
      <c r="O1722" s="1" t="s">
        <v>271</v>
      </c>
    </row>
    <row r="1723" spans="1:15" ht="60" x14ac:dyDescent="0.25">
      <c r="A1723" s="1" t="s">
        <v>1268</v>
      </c>
      <c r="B1723" s="1"/>
      <c r="C1723" s="1" t="s">
        <v>2565</v>
      </c>
      <c r="D1723" s="1">
        <v>120592</v>
      </c>
      <c r="E1723" s="1">
        <v>406</v>
      </c>
      <c r="F1723" s="1" t="s">
        <v>2572</v>
      </c>
      <c r="G1723" s="1" t="s">
        <v>2570</v>
      </c>
      <c r="H1723" s="1" t="s">
        <v>141</v>
      </c>
      <c r="I1723" s="1" t="s">
        <v>65</v>
      </c>
      <c r="J1723" s="1">
        <v>3</v>
      </c>
      <c r="K1723" s="1" t="s">
        <v>142</v>
      </c>
      <c r="L1723" s="1" t="s">
        <v>153</v>
      </c>
      <c r="M1723" s="1" t="s">
        <v>1256</v>
      </c>
      <c r="N1723" s="1" t="str">
        <f>HYPERLINK("https://klocwork.india.ti.com:443/review/insight-review.html#issuedetails_goto:problemid=120592,project=MCU_PLUS_SDK_AM263X,searchquery=taxonomy:'C and C++' build:Build_Apr_13_2023_11_11_AM grouping:off ","KW Issue Link")</f>
        <v>KW Issue Link</v>
      </c>
      <c r="O1723" s="1" t="s">
        <v>271</v>
      </c>
    </row>
    <row r="1724" spans="1:15" ht="60" x14ac:dyDescent="0.25">
      <c r="A1724" s="1" t="s">
        <v>1268</v>
      </c>
      <c r="B1724" s="1"/>
      <c r="C1724" s="1" t="s">
        <v>2565</v>
      </c>
      <c r="D1724" s="1">
        <v>120593</v>
      </c>
      <c r="E1724" s="1">
        <v>669</v>
      </c>
      <c r="F1724" s="1" t="s">
        <v>2573</v>
      </c>
      <c r="G1724" s="1" t="s">
        <v>2574</v>
      </c>
      <c r="H1724" s="1" t="s">
        <v>141</v>
      </c>
      <c r="I1724" s="1" t="s">
        <v>65</v>
      </c>
      <c r="J1724" s="1">
        <v>3</v>
      </c>
      <c r="K1724" s="1" t="s">
        <v>142</v>
      </c>
      <c r="L1724" s="1" t="s">
        <v>153</v>
      </c>
      <c r="M1724" s="1" t="s">
        <v>1256</v>
      </c>
      <c r="N1724" s="1" t="str">
        <f>HYPERLINK("https://klocwork.india.ti.com:443/review/insight-review.html#issuedetails_goto:problemid=120593,project=MCU_PLUS_SDK_AM263X,searchquery=taxonomy:'C and C++' build:Build_Apr_13_2023_11_11_AM grouping:off ","KW Issue Link")</f>
        <v>KW Issue Link</v>
      </c>
      <c r="O1724" s="1" t="s">
        <v>271</v>
      </c>
    </row>
    <row r="1725" spans="1:15" ht="60" x14ac:dyDescent="0.25">
      <c r="A1725" s="1" t="s">
        <v>1257</v>
      </c>
      <c r="B1725" s="1"/>
      <c r="C1725" s="1" t="s">
        <v>607</v>
      </c>
      <c r="D1725" s="1">
        <v>120595</v>
      </c>
      <c r="E1725" s="1">
        <v>128</v>
      </c>
      <c r="F1725" s="1" t="s">
        <v>2575</v>
      </c>
      <c r="G1725" s="1" t="s">
        <v>2576</v>
      </c>
      <c r="H1725" s="1" t="s">
        <v>141</v>
      </c>
      <c r="I1725" s="1" t="s">
        <v>65</v>
      </c>
      <c r="J1725" s="1">
        <v>3</v>
      </c>
      <c r="K1725" s="1" t="s">
        <v>142</v>
      </c>
      <c r="L1725" s="1" t="s">
        <v>153</v>
      </c>
      <c r="M1725" s="1" t="s">
        <v>1256</v>
      </c>
      <c r="N1725" s="1" t="str">
        <f>HYPERLINK("https://klocwork.india.ti.com:443/review/insight-review.html#issuedetails_goto:problemid=120595,project=MCU_PLUS_SDK_AM263X,searchquery=taxonomy:'C and C++' build:Build_Apr_13_2023_11_11_AM grouping:off ","KW Issue Link")</f>
        <v>KW Issue Link</v>
      </c>
      <c r="O1725" s="1" t="s">
        <v>291</v>
      </c>
    </row>
    <row r="1726" spans="1:15" ht="60" x14ac:dyDescent="0.25">
      <c r="A1726" s="1" t="s">
        <v>1257</v>
      </c>
      <c r="B1726" s="1"/>
      <c r="C1726" s="1" t="s">
        <v>607</v>
      </c>
      <c r="D1726" s="1">
        <v>120596</v>
      </c>
      <c r="E1726" s="1">
        <v>128</v>
      </c>
      <c r="F1726" s="1" t="s">
        <v>2575</v>
      </c>
      <c r="G1726" s="1" t="s">
        <v>2576</v>
      </c>
      <c r="H1726" s="1" t="s">
        <v>141</v>
      </c>
      <c r="I1726" s="1" t="s">
        <v>65</v>
      </c>
      <c r="J1726" s="1">
        <v>3</v>
      </c>
      <c r="K1726" s="1" t="s">
        <v>142</v>
      </c>
      <c r="L1726" s="1" t="s">
        <v>153</v>
      </c>
      <c r="M1726" s="1" t="s">
        <v>1256</v>
      </c>
      <c r="N1726" s="1" t="str">
        <f>HYPERLINK("https://klocwork.india.ti.com:443/review/insight-review.html#issuedetails_goto:problemid=120596,project=MCU_PLUS_SDK_AM263X,searchquery=taxonomy:'C and C++' build:Build_Apr_13_2023_11_11_AM grouping:off ","KW Issue Link")</f>
        <v>KW Issue Link</v>
      </c>
      <c r="O1726" s="1" t="s">
        <v>291</v>
      </c>
    </row>
    <row r="1727" spans="1:15" ht="60" x14ac:dyDescent="0.25">
      <c r="A1727" s="1" t="s">
        <v>1257</v>
      </c>
      <c r="B1727" s="1"/>
      <c r="C1727" s="1" t="s">
        <v>607</v>
      </c>
      <c r="D1727" s="1">
        <v>120597</v>
      </c>
      <c r="E1727" s="1">
        <v>224</v>
      </c>
      <c r="F1727" s="1" t="s">
        <v>2577</v>
      </c>
      <c r="G1727" s="1" t="s">
        <v>608</v>
      </c>
      <c r="H1727" s="1" t="s">
        <v>141</v>
      </c>
      <c r="I1727" s="1" t="s">
        <v>65</v>
      </c>
      <c r="J1727" s="1">
        <v>3</v>
      </c>
      <c r="K1727" s="1" t="s">
        <v>142</v>
      </c>
      <c r="L1727" s="1" t="s">
        <v>153</v>
      </c>
      <c r="M1727" s="1" t="s">
        <v>1256</v>
      </c>
      <c r="N1727" s="1" t="str">
        <f>HYPERLINK("https://klocwork.india.ti.com:443/review/insight-review.html#issuedetails_goto:problemid=120597,project=MCU_PLUS_SDK_AM263X,searchquery=taxonomy:'C and C++' build:Build_Apr_13_2023_11_11_AM grouping:off ","KW Issue Link")</f>
        <v>KW Issue Link</v>
      </c>
      <c r="O1727" s="1" t="s">
        <v>291</v>
      </c>
    </row>
    <row r="1728" spans="1:15" ht="60" x14ac:dyDescent="0.25">
      <c r="A1728" s="1" t="s">
        <v>1257</v>
      </c>
      <c r="B1728" s="1"/>
      <c r="C1728" s="1" t="s">
        <v>607</v>
      </c>
      <c r="D1728" s="1">
        <v>120598</v>
      </c>
      <c r="E1728" s="1">
        <v>327</v>
      </c>
      <c r="F1728" s="1" t="s">
        <v>2578</v>
      </c>
      <c r="G1728" s="1" t="s">
        <v>609</v>
      </c>
      <c r="H1728" s="1" t="s">
        <v>141</v>
      </c>
      <c r="I1728" s="1" t="s">
        <v>65</v>
      </c>
      <c r="J1728" s="1">
        <v>3</v>
      </c>
      <c r="K1728" s="1" t="s">
        <v>142</v>
      </c>
      <c r="L1728" s="1" t="s">
        <v>153</v>
      </c>
      <c r="M1728" s="1" t="s">
        <v>1256</v>
      </c>
      <c r="N1728" s="1" t="str">
        <f>HYPERLINK("https://klocwork.india.ti.com:443/review/insight-review.html#issuedetails_goto:problemid=120598,project=MCU_PLUS_SDK_AM263X,searchquery=taxonomy:'C and C++' build:Build_Apr_13_2023_11_11_AM grouping:off ","KW Issue Link")</f>
        <v>KW Issue Link</v>
      </c>
      <c r="O1728" s="1" t="s">
        <v>291</v>
      </c>
    </row>
    <row r="1729" spans="1:15" ht="60" x14ac:dyDescent="0.25">
      <c r="A1729" s="1" t="s">
        <v>1257</v>
      </c>
      <c r="B1729" s="1"/>
      <c r="C1729" s="1" t="s">
        <v>607</v>
      </c>
      <c r="D1729" s="1">
        <v>120599</v>
      </c>
      <c r="E1729" s="1">
        <v>363</v>
      </c>
      <c r="F1729" s="1" t="s">
        <v>2579</v>
      </c>
      <c r="G1729" s="1" t="s">
        <v>2580</v>
      </c>
      <c r="H1729" s="1" t="s">
        <v>141</v>
      </c>
      <c r="I1729" s="1" t="s">
        <v>65</v>
      </c>
      <c r="J1729" s="1">
        <v>3</v>
      </c>
      <c r="K1729" s="1" t="s">
        <v>142</v>
      </c>
      <c r="L1729" s="1" t="s">
        <v>153</v>
      </c>
      <c r="M1729" s="1" t="s">
        <v>1256</v>
      </c>
      <c r="N1729" s="1" t="str">
        <f>HYPERLINK("https://klocwork.india.ti.com:443/review/insight-review.html#issuedetails_goto:problemid=120599,project=MCU_PLUS_SDK_AM263X,searchquery=taxonomy:'C and C++' build:Build_Apr_13_2023_11_11_AM grouping:off ","KW Issue Link")</f>
        <v>KW Issue Link</v>
      </c>
      <c r="O1729" s="1" t="s">
        <v>291</v>
      </c>
    </row>
    <row r="1730" spans="1:15" ht="60" x14ac:dyDescent="0.25">
      <c r="A1730" s="1" t="s">
        <v>1257</v>
      </c>
      <c r="B1730" s="1"/>
      <c r="C1730" s="1" t="s">
        <v>607</v>
      </c>
      <c r="D1730" s="1">
        <v>120600</v>
      </c>
      <c r="E1730" s="1">
        <v>402</v>
      </c>
      <c r="F1730" s="1" t="s">
        <v>2581</v>
      </c>
      <c r="G1730" s="1" t="s">
        <v>611</v>
      </c>
      <c r="H1730" s="1" t="s">
        <v>141</v>
      </c>
      <c r="I1730" s="1" t="s">
        <v>65</v>
      </c>
      <c r="J1730" s="1">
        <v>3</v>
      </c>
      <c r="K1730" s="1" t="s">
        <v>142</v>
      </c>
      <c r="L1730" s="1" t="s">
        <v>153</v>
      </c>
      <c r="M1730" s="1" t="s">
        <v>1256</v>
      </c>
      <c r="N1730" s="1" t="str">
        <f>HYPERLINK("https://klocwork.india.ti.com:443/review/insight-review.html#issuedetails_goto:problemid=120600,project=MCU_PLUS_SDK_AM263X,searchquery=taxonomy:'C and C++' build:Build_Apr_13_2023_11_11_AM grouping:off ","KW Issue Link")</f>
        <v>KW Issue Link</v>
      </c>
      <c r="O1730" s="1" t="s">
        <v>291</v>
      </c>
    </row>
    <row r="1731" spans="1:15" ht="60" x14ac:dyDescent="0.25">
      <c r="A1731" s="1" t="s">
        <v>1257</v>
      </c>
      <c r="B1731" s="1"/>
      <c r="C1731" s="1" t="s">
        <v>607</v>
      </c>
      <c r="D1731" s="1">
        <v>120601</v>
      </c>
      <c r="E1731" s="1">
        <v>473</v>
      </c>
      <c r="F1731" s="1" t="s">
        <v>2582</v>
      </c>
      <c r="G1731" s="1" t="s">
        <v>2583</v>
      </c>
      <c r="H1731" s="1" t="s">
        <v>141</v>
      </c>
      <c r="I1731" s="1" t="s">
        <v>65</v>
      </c>
      <c r="J1731" s="1">
        <v>3</v>
      </c>
      <c r="K1731" s="1" t="s">
        <v>142</v>
      </c>
      <c r="L1731" s="1" t="s">
        <v>153</v>
      </c>
      <c r="M1731" s="1" t="s">
        <v>1256</v>
      </c>
      <c r="N1731" s="1" t="str">
        <f>HYPERLINK("https://klocwork.india.ti.com:443/review/insight-review.html#issuedetails_goto:problemid=120601,project=MCU_PLUS_SDK_AM263X,searchquery=taxonomy:'C and C++' build:Build_Apr_13_2023_11_11_AM grouping:off ","KW Issue Link")</f>
        <v>KW Issue Link</v>
      </c>
      <c r="O1731" s="1" t="s">
        <v>291</v>
      </c>
    </row>
    <row r="1732" spans="1:15" ht="60" x14ac:dyDescent="0.25">
      <c r="A1732" s="1" t="s">
        <v>1257</v>
      </c>
      <c r="B1732" s="1"/>
      <c r="C1732" s="1" t="s">
        <v>607</v>
      </c>
      <c r="D1732" s="1">
        <v>120602</v>
      </c>
      <c r="E1732" s="1">
        <v>582</v>
      </c>
      <c r="F1732" s="1" t="s">
        <v>2584</v>
      </c>
      <c r="G1732" s="1" t="s">
        <v>2585</v>
      </c>
      <c r="H1732" s="1" t="s">
        <v>141</v>
      </c>
      <c r="I1732" s="1" t="s">
        <v>65</v>
      </c>
      <c r="J1732" s="1">
        <v>3</v>
      </c>
      <c r="K1732" s="1" t="s">
        <v>142</v>
      </c>
      <c r="L1732" s="1" t="s">
        <v>153</v>
      </c>
      <c r="M1732" s="1" t="s">
        <v>1256</v>
      </c>
      <c r="N1732" s="1" t="str">
        <f>HYPERLINK("https://klocwork.india.ti.com:443/review/insight-review.html#issuedetails_goto:problemid=120602,project=MCU_PLUS_SDK_AM263X,searchquery=taxonomy:'C and C++' build:Build_Apr_13_2023_11_11_AM grouping:off ","KW Issue Link")</f>
        <v>KW Issue Link</v>
      </c>
      <c r="O1732" s="1" t="s">
        <v>291</v>
      </c>
    </row>
    <row r="1733" spans="1:15" ht="60" x14ac:dyDescent="0.25">
      <c r="A1733" s="1" t="s">
        <v>1257</v>
      </c>
      <c r="B1733" s="1"/>
      <c r="C1733" s="1" t="s">
        <v>607</v>
      </c>
      <c r="D1733" s="1">
        <v>120603</v>
      </c>
      <c r="E1733" s="1">
        <v>725</v>
      </c>
      <c r="F1733" s="1" t="s">
        <v>2586</v>
      </c>
      <c r="G1733" s="1" t="s">
        <v>1046</v>
      </c>
      <c r="H1733" s="1" t="s">
        <v>141</v>
      </c>
      <c r="I1733" s="1" t="s">
        <v>65</v>
      </c>
      <c r="J1733" s="1">
        <v>3</v>
      </c>
      <c r="K1733" s="1" t="s">
        <v>142</v>
      </c>
      <c r="L1733" s="1" t="s">
        <v>153</v>
      </c>
      <c r="M1733" s="1" t="s">
        <v>1256</v>
      </c>
      <c r="N1733" s="1" t="str">
        <f>HYPERLINK("https://klocwork.india.ti.com:443/review/insight-review.html#issuedetails_goto:problemid=120603,project=MCU_PLUS_SDK_AM263X,searchquery=taxonomy:'C and C++' build:Build_Apr_13_2023_11_11_AM grouping:off ","KW Issue Link")</f>
        <v>KW Issue Link</v>
      </c>
      <c r="O1733" s="1" t="s">
        <v>291</v>
      </c>
    </row>
    <row r="1734" spans="1:15" ht="60" x14ac:dyDescent="0.25">
      <c r="A1734" s="1" t="s">
        <v>1257</v>
      </c>
      <c r="B1734" s="1"/>
      <c r="C1734" s="1" t="s">
        <v>607</v>
      </c>
      <c r="D1734" s="1">
        <v>120604</v>
      </c>
      <c r="E1734" s="1">
        <v>829</v>
      </c>
      <c r="F1734" s="1" t="s">
        <v>2587</v>
      </c>
      <c r="G1734" s="1" t="s">
        <v>2588</v>
      </c>
      <c r="H1734" s="1" t="s">
        <v>141</v>
      </c>
      <c r="I1734" s="1" t="s">
        <v>65</v>
      </c>
      <c r="J1734" s="1">
        <v>3</v>
      </c>
      <c r="K1734" s="1" t="s">
        <v>142</v>
      </c>
      <c r="L1734" s="1" t="s">
        <v>153</v>
      </c>
      <c r="M1734" s="1" t="s">
        <v>1256</v>
      </c>
      <c r="N1734" s="1" t="str">
        <f>HYPERLINK("https://klocwork.india.ti.com:443/review/insight-review.html#issuedetails_goto:problemid=120604,project=MCU_PLUS_SDK_AM263X,searchquery=taxonomy:'C and C++' build:Build_Apr_13_2023_11_11_AM grouping:off ","KW Issue Link")</f>
        <v>KW Issue Link</v>
      </c>
      <c r="O1734" s="1" t="s">
        <v>291</v>
      </c>
    </row>
    <row r="1735" spans="1:15" ht="60" x14ac:dyDescent="0.25">
      <c r="A1735" s="1" t="s">
        <v>1257</v>
      </c>
      <c r="B1735" s="1"/>
      <c r="C1735" s="1" t="s">
        <v>607</v>
      </c>
      <c r="D1735" s="1">
        <v>120606</v>
      </c>
      <c r="E1735" s="1">
        <v>895</v>
      </c>
      <c r="F1735" s="1" t="s">
        <v>2589</v>
      </c>
      <c r="G1735" s="1" t="s">
        <v>2590</v>
      </c>
      <c r="H1735" s="1" t="s">
        <v>141</v>
      </c>
      <c r="I1735" s="1" t="s">
        <v>65</v>
      </c>
      <c r="J1735" s="1">
        <v>3</v>
      </c>
      <c r="K1735" s="1" t="s">
        <v>142</v>
      </c>
      <c r="L1735" s="1" t="s">
        <v>153</v>
      </c>
      <c r="M1735" s="1" t="s">
        <v>1256</v>
      </c>
      <c r="N1735" s="1" t="str">
        <f>HYPERLINK("https://klocwork.india.ti.com:443/review/insight-review.html#issuedetails_goto:problemid=120606,project=MCU_PLUS_SDK_AM263X,searchquery=taxonomy:'C and C++' build:Build_Apr_13_2023_11_11_AM grouping:off ","KW Issue Link")</f>
        <v>KW Issue Link</v>
      </c>
      <c r="O1735" s="1" t="s">
        <v>291</v>
      </c>
    </row>
    <row r="1736" spans="1:15" ht="60" x14ac:dyDescent="0.25">
      <c r="A1736" s="1" t="s">
        <v>1257</v>
      </c>
      <c r="B1736" s="1"/>
      <c r="C1736" s="1" t="s">
        <v>607</v>
      </c>
      <c r="D1736" s="1">
        <v>120607</v>
      </c>
      <c r="E1736" s="1">
        <v>912</v>
      </c>
      <c r="F1736" s="1" t="s">
        <v>2591</v>
      </c>
      <c r="G1736" s="1" t="s">
        <v>2592</v>
      </c>
      <c r="H1736" s="1" t="s">
        <v>141</v>
      </c>
      <c r="I1736" s="1" t="s">
        <v>65</v>
      </c>
      <c r="J1736" s="1">
        <v>3</v>
      </c>
      <c r="K1736" s="1" t="s">
        <v>142</v>
      </c>
      <c r="L1736" s="1" t="s">
        <v>153</v>
      </c>
      <c r="M1736" s="1" t="s">
        <v>1256</v>
      </c>
      <c r="N1736" s="1" t="str">
        <f>HYPERLINK("https://klocwork.india.ti.com:443/review/insight-review.html#issuedetails_goto:problemid=120607,project=MCU_PLUS_SDK_AM263X,searchquery=taxonomy:'C and C++' build:Build_Apr_13_2023_11_11_AM grouping:off ","KW Issue Link")</f>
        <v>KW Issue Link</v>
      </c>
      <c r="O1736" s="1" t="s">
        <v>291</v>
      </c>
    </row>
    <row r="1737" spans="1:15" ht="60" x14ac:dyDescent="0.25">
      <c r="A1737" s="1" t="s">
        <v>1257</v>
      </c>
      <c r="B1737" s="1"/>
      <c r="C1737" s="1" t="s">
        <v>607</v>
      </c>
      <c r="D1737" s="1">
        <v>120608</v>
      </c>
      <c r="E1737" s="1">
        <v>961</v>
      </c>
      <c r="F1737" s="1" t="s">
        <v>2593</v>
      </c>
      <c r="G1737" s="1" t="s">
        <v>2594</v>
      </c>
      <c r="H1737" s="1" t="s">
        <v>141</v>
      </c>
      <c r="I1737" s="1" t="s">
        <v>65</v>
      </c>
      <c r="J1737" s="1">
        <v>3</v>
      </c>
      <c r="K1737" s="1" t="s">
        <v>142</v>
      </c>
      <c r="L1737" s="1" t="s">
        <v>153</v>
      </c>
      <c r="M1737" s="1" t="s">
        <v>1256</v>
      </c>
      <c r="N1737" s="1" t="str">
        <f>HYPERLINK("https://klocwork.india.ti.com:443/review/insight-review.html#issuedetails_goto:problemid=120608,project=MCU_PLUS_SDK_AM263X,searchquery=taxonomy:'C and C++' build:Build_Apr_13_2023_11_11_AM grouping:off ","KW Issue Link")</f>
        <v>KW Issue Link</v>
      </c>
      <c r="O1737" s="1" t="s">
        <v>291</v>
      </c>
    </row>
    <row r="1738" spans="1:15" ht="60" x14ac:dyDescent="0.25">
      <c r="A1738" s="1" t="s">
        <v>1257</v>
      </c>
      <c r="B1738" s="1"/>
      <c r="C1738" s="1" t="s">
        <v>607</v>
      </c>
      <c r="D1738" s="1">
        <v>120611</v>
      </c>
      <c r="E1738" s="1">
        <v>1196</v>
      </c>
      <c r="F1738" s="1" t="s">
        <v>2595</v>
      </c>
      <c r="G1738" s="1" t="s">
        <v>615</v>
      </c>
      <c r="H1738" s="1" t="s">
        <v>141</v>
      </c>
      <c r="I1738" s="1" t="s">
        <v>65</v>
      </c>
      <c r="J1738" s="1">
        <v>3</v>
      </c>
      <c r="K1738" s="1" t="s">
        <v>142</v>
      </c>
      <c r="L1738" s="1" t="s">
        <v>153</v>
      </c>
      <c r="M1738" s="1" t="s">
        <v>1256</v>
      </c>
      <c r="N1738" s="1" t="str">
        <f>HYPERLINK("https://klocwork.india.ti.com:443/review/insight-review.html#issuedetails_goto:problemid=120611,project=MCU_PLUS_SDK_AM263X,searchquery=taxonomy:'C and C++' build:Build_Apr_13_2023_11_11_AM grouping:off ","KW Issue Link")</f>
        <v>KW Issue Link</v>
      </c>
      <c r="O1738" s="1" t="s">
        <v>291</v>
      </c>
    </row>
    <row r="1739" spans="1:15" ht="60" x14ac:dyDescent="0.25">
      <c r="A1739" s="1" t="s">
        <v>1257</v>
      </c>
      <c r="B1739" s="1"/>
      <c r="C1739" s="1" t="s">
        <v>607</v>
      </c>
      <c r="D1739" s="1">
        <v>120612</v>
      </c>
      <c r="E1739" s="1">
        <v>1240</v>
      </c>
      <c r="F1739" s="1" t="s">
        <v>2596</v>
      </c>
      <c r="G1739" s="1" t="s">
        <v>2597</v>
      </c>
      <c r="H1739" s="1" t="s">
        <v>141</v>
      </c>
      <c r="I1739" s="1" t="s">
        <v>65</v>
      </c>
      <c r="J1739" s="1">
        <v>3</v>
      </c>
      <c r="K1739" s="1" t="s">
        <v>142</v>
      </c>
      <c r="L1739" s="1" t="s">
        <v>153</v>
      </c>
      <c r="M1739" s="1" t="s">
        <v>1256</v>
      </c>
      <c r="N1739" s="1" t="str">
        <f>HYPERLINK("https://klocwork.india.ti.com:443/review/insight-review.html#issuedetails_goto:problemid=120612,project=MCU_PLUS_SDK_AM263X,searchquery=taxonomy:'C and C++' build:Build_Apr_13_2023_11_11_AM grouping:off ","KW Issue Link")</f>
        <v>KW Issue Link</v>
      </c>
      <c r="O1739" s="1" t="s">
        <v>291</v>
      </c>
    </row>
    <row r="1740" spans="1:15" ht="60" x14ac:dyDescent="0.25">
      <c r="A1740" s="1" t="s">
        <v>1252</v>
      </c>
      <c r="B1740" s="1"/>
      <c r="C1740" s="1" t="s">
        <v>607</v>
      </c>
      <c r="D1740" s="1">
        <v>120614</v>
      </c>
      <c r="E1740" s="1">
        <v>179</v>
      </c>
      <c r="F1740" s="1" t="s">
        <v>2598</v>
      </c>
      <c r="G1740" s="1" t="s">
        <v>2599</v>
      </c>
      <c r="H1740" s="1" t="s">
        <v>141</v>
      </c>
      <c r="I1740" s="1" t="s">
        <v>65</v>
      </c>
      <c r="J1740" s="1">
        <v>3</v>
      </c>
      <c r="K1740" s="1" t="s">
        <v>142</v>
      </c>
      <c r="L1740" s="1" t="s">
        <v>153</v>
      </c>
      <c r="M1740" s="1" t="s">
        <v>1256</v>
      </c>
      <c r="N1740" s="1" t="str">
        <f>HYPERLINK("https://klocwork.india.ti.com:443/review/insight-review.html#issuedetails_goto:problemid=120614,project=MCU_PLUS_SDK_AM263X,searchquery=taxonomy:'C and C++' build:Build_Apr_13_2023_11_11_AM grouping:off ","KW Issue Link")</f>
        <v>KW Issue Link</v>
      </c>
      <c r="O1740" s="1" t="s">
        <v>291</v>
      </c>
    </row>
    <row r="1741" spans="1:15" ht="60" x14ac:dyDescent="0.25">
      <c r="A1741" s="1" t="s">
        <v>1252</v>
      </c>
      <c r="B1741" s="1"/>
      <c r="C1741" s="1" t="s">
        <v>607</v>
      </c>
      <c r="D1741" s="1">
        <v>120615</v>
      </c>
      <c r="E1741" s="1">
        <v>363</v>
      </c>
      <c r="F1741" s="1" t="s">
        <v>2600</v>
      </c>
      <c r="G1741" s="1" t="s">
        <v>2580</v>
      </c>
      <c r="H1741" s="1" t="s">
        <v>141</v>
      </c>
      <c r="I1741" s="1" t="s">
        <v>65</v>
      </c>
      <c r="J1741" s="1">
        <v>3</v>
      </c>
      <c r="K1741" s="1" t="s">
        <v>142</v>
      </c>
      <c r="L1741" s="1" t="s">
        <v>153</v>
      </c>
      <c r="M1741" s="1" t="s">
        <v>1256</v>
      </c>
      <c r="N1741" s="1" t="str">
        <f>HYPERLINK("https://klocwork.india.ti.com:443/review/insight-review.html#issuedetails_goto:problemid=120615,project=MCU_PLUS_SDK_AM263X,searchquery=taxonomy:'C and C++' build:Build_Apr_13_2023_11_11_AM grouping:off ","KW Issue Link")</f>
        <v>KW Issue Link</v>
      </c>
      <c r="O1741" s="1" t="s">
        <v>291</v>
      </c>
    </row>
    <row r="1742" spans="1:15" ht="60" x14ac:dyDescent="0.25">
      <c r="A1742" s="1" t="s">
        <v>1266</v>
      </c>
      <c r="B1742" s="1"/>
      <c r="C1742" s="1" t="s">
        <v>607</v>
      </c>
      <c r="D1742" s="1">
        <v>120616</v>
      </c>
      <c r="E1742" s="1">
        <v>224</v>
      </c>
      <c r="F1742" s="1" t="s">
        <v>2601</v>
      </c>
      <c r="G1742" s="1" t="s">
        <v>608</v>
      </c>
      <c r="H1742" s="1" t="s">
        <v>141</v>
      </c>
      <c r="I1742" s="1" t="s">
        <v>65</v>
      </c>
      <c r="J1742" s="1">
        <v>3</v>
      </c>
      <c r="K1742" s="1" t="s">
        <v>142</v>
      </c>
      <c r="L1742" s="1" t="s">
        <v>153</v>
      </c>
      <c r="M1742" s="1" t="s">
        <v>1256</v>
      </c>
      <c r="N1742" s="1" t="str">
        <f>HYPERLINK("https://klocwork.india.ti.com:443/review/insight-review.html#issuedetails_goto:problemid=120616,project=MCU_PLUS_SDK_AM263X,searchquery=taxonomy:'C and C++' build:Build_Apr_13_2023_11_11_AM grouping:off ","KW Issue Link")</f>
        <v>KW Issue Link</v>
      </c>
      <c r="O1742" s="1" t="s">
        <v>291</v>
      </c>
    </row>
    <row r="1743" spans="1:15" ht="60" x14ac:dyDescent="0.25">
      <c r="A1743" s="1" t="s">
        <v>1266</v>
      </c>
      <c r="B1743" s="1"/>
      <c r="C1743" s="1" t="s">
        <v>607</v>
      </c>
      <c r="D1743" s="1">
        <v>120617</v>
      </c>
      <c r="E1743" s="1">
        <v>327</v>
      </c>
      <c r="F1743" s="1" t="s">
        <v>2602</v>
      </c>
      <c r="G1743" s="1" t="s">
        <v>609</v>
      </c>
      <c r="H1743" s="1" t="s">
        <v>141</v>
      </c>
      <c r="I1743" s="1" t="s">
        <v>65</v>
      </c>
      <c r="J1743" s="1">
        <v>3</v>
      </c>
      <c r="K1743" s="1" t="s">
        <v>142</v>
      </c>
      <c r="L1743" s="1" t="s">
        <v>153</v>
      </c>
      <c r="M1743" s="1" t="s">
        <v>1256</v>
      </c>
      <c r="N1743" s="1" t="str">
        <f>HYPERLINK("https://klocwork.india.ti.com:443/review/insight-review.html#issuedetails_goto:problemid=120617,project=MCU_PLUS_SDK_AM263X,searchquery=taxonomy:'C and C++' build:Build_Apr_13_2023_11_11_AM grouping:off ","KW Issue Link")</f>
        <v>KW Issue Link</v>
      </c>
      <c r="O1743" s="1" t="s">
        <v>291</v>
      </c>
    </row>
    <row r="1744" spans="1:15" ht="60" x14ac:dyDescent="0.25">
      <c r="A1744" s="1" t="s">
        <v>1266</v>
      </c>
      <c r="B1744" s="1"/>
      <c r="C1744" s="1" t="s">
        <v>607</v>
      </c>
      <c r="D1744" s="1">
        <v>120618</v>
      </c>
      <c r="E1744" s="1">
        <v>363</v>
      </c>
      <c r="F1744" s="1" t="s">
        <v>2603</v>
      </c>
      <c r="G1744" s="1" t="s">
        <v>2580</v>
      </c>
      <c r="H1744" s="1" t="s">
        <v>141</v>
      </c>
      <c r="I1744" s="1" t="s">
        <v>65</v>
      </c>
      <c r="J1744" s="1">
        <v>3</v>
      </c>
      <c r="K1744" s="1" t="s">
        <v>142</v>
      </c>
      <c r="L1744" s="1" t="s">
        <v>153</v>
      </c>
      <c r="M1744" s="1" t="s">
        <v>1256</v>
      </c>
      <c r="N1744" s="1" t="str">
        <f>HYPERLINK("https://klocwork.india.ti.com:443/review/insight-review.html#issuedetails_goto:problemid=120618,project=MCU_PLUS_SDK_AM263X,searchquery=taxonomy:'C and C++' build:Build_Apr_13_2023_11_11_AM grouping:off ","KW Issue Link")</f>
        <v>KW Issue Link</v>
      </c>
      <c r="O1744" s="1" t="s">
        <v>291</v>
      </c>
    </row>
    <row r="1745" spans="1:15" ht="60" x14ac:dyDescent="0.25">
      <c r="A1745" s="1" t="s">
        <v>1266</v>
      </c>
      <c r="B1745" s="1"/>
      <c r="C1745" s="1" t="s">
        <v>607</v>
      </c>
      <c r="D1745" s="1">
        <v>120619</v>
      </c>
      <c r="E1745" s="1">
        <v>402</v>
      </c>
      <c r="F1745" s="1" t="s">
        <v>2604</v>
      </c>
      <c r="G1745" s="1" t="s">
        <v>611</v>
      </c>
      <c r="H1745" s="1" t="s">
        <v>141</v>
      </c>
      <c r="I1745" s="1" t="s">
        <v>65</v>
      </c>
      <c r="J1745" s="1">
        <v>3</v>
      </c>
      <c r="K1745" s="1" t="s">
        <v>142</v>
      </c>
      <c r="L1745" s="1" t="s">
        <v>153</v>
      </c>
      <c r="M1745" s="1" t="s">
        <v>1256</v>
      </c>
      <c r="N1745" s="1" t="str">
        <f>HYPERLINK("https://klocwork.india.ti.com:443/review/insight-review.html#issuedetails_goto:problemid=120619,project=MCU_PLUS_SDK_AM263X,searchquery=taxonomy:'C and C++' build:Build_Apr_13_2023_11_11_AM grouping:off ","KW Issue Link")</f>
        <v>KW Issue Link</v>
      </c>
      <c r="O1745" s="1" t="s">
        <v>291</v>
      </c>
    </row>
    <row r="1746" spans="1:15" ht="60" x14ac:dyDescent="0.25">
      <c r="A1746" s="1" t="s">
        <v>1266</v>
      </c>
      <c r="B1746" s="1"/>
      <c r="C1746" s="1" t="s">
        <v>607</v>
      </c>
      <c r="D1746" s="1">
        <v>120620</v>
      </c>
      <c r="E1746" s="1">
        <v>473</v>
      </c>
      <c r="F1746" s="1" t="s">
        <v>2605</v>
      </c>
      <c r="G1746" s="1" t="s">
        <v>2583</v>
      </c>
      <c r="H1746" s="1" t="s">
        <v>141</v>
      </c>
      <c r="I1746" s="1" t="s">
        <v>65</v>
      </c>
      <c r="J1746" s="1">
        <v>3</v>
      </c>
      <c r="K1746" s="1" t="s">
        <v>142</v>
      </c>
      <c r="L1746" s="1" t="s">
        <v>153</v>
      </c>
      <c r="M1746" s="1" t="s">
        <v>1256</v>
      </c>
      <c r="N1746" s="1" t="str">
        <f>HYPERLINK("https://klocwork.india.ti.com:443/review/insight-review.html#issuedetails_goto:problemid=120620,project=MCU_PLUS_SDK_AM263X,searchquery=taxonomy:'C and C++' build:Build_Apr_13_2023_11_11_AM grouping:off ","KW Issue Link")</f>
        <v>KW Issue Link</v>
      </c>
      <c r="O1746" s="1" t="s">
        <v>291</v>
      </c>
    </row>
    <row r="1747" spans="1:15" ht="60" x14ac:dyDescent="0.25">
      <c r="A1747" s="1" t="s">
        <v>1266</v>
      </c>
      <c r="B1747" s="1"/>
      <c r="C1747" s="1" t="s">
        <v>607</v>
      </c>
      <c r="D1747" s="1">
        <v>120621</v>
      </c>
      <c r="E1747" s="1">
        <v>582</v>
      </c>
      <c r="F1747" s="1" t="s">
        <v>2606</v>
      </c>
      <c r="G1747" s="1" t="s">
        <v>2585</v>
      </c>
      <c r="H1747" s="1" t="s">
        <v>141</v>
      </c>
      <c r="I1747" s="1" t="s">
        <v>65</v>
      </c>
      <c r="J1747" s="1">
        <v>3</v>
      </c>
      <c r="K1747" s="1" t="s">
        <v>142</v>
      </c>
      <c r="L1747" s="1" t="s">
        <v>153</v>
      </c>
      <c r="M1747" s="1" t="s">
        <v>1256</v>
      </c>
      <c r="N1747" s="1" t="str">
        <f>HYPERLINK("https://klocwork.india.ti.com:443/review/insight-review.html#issuedetails_goto:problemid=120621,project=MCU_PLUS_SDK_AM263X,searchquery=taxonomy:'C and C++' build:Build_Apr_13_2023_11_11_AM grouping:off ","KW Issue Link")</f>
        <v>KW Issue Link</v>
      </c>
      <c r="O1747" s="1" t="s">
        <v>291</v>
      </c>
    </row>
    <row r="1748" spans="1:15" ht="60" x14ac:dyDescent="0.25">
      <c r="A1748" s="1" t="s">
        <v>1266</v>
      </c>
      <c r="B1748" s="1"/>
      <c r="C1748" s="1" t="s">
        <v>607</v>
      </c>
      <c r="D1748" s="1">
        <v>120622</v>
      </c>
      <c r="E1748" s="1">
        <v>725</v>
      </c>
      <c r="F1748" s="1" t="s">
        <v>2607</v>
      </c>
      <c r="G1748" s="1" t="s">
        <v>1046</v>
      </c>
      <c r="H1748" s="1" t="s">
        <v>141</v>
      </c>
      <c r="I1748" s="1" t="s">
        <v>65</v>
      </c>
      <c r="J1748" s="1">
        <v>3</v>
      </c>
      <c r="K1748" s="1" t="s">
        <v>142</v>
      </c>
      <c r="L1748" s="1" t="s">
        <v>153</v>
      </c>
      <c r="M1748" s="1" t="s">
        <v>1256</v>
      </c>
      <c r="N1748" s="1" t="str">
        <f>HYPERLINK("https://klocwork.india.ti.com:443/review/insight-review.html#issuedetails_goto:problemid=120622,project=MCU_PLUS_SDK_AM263X,searchquery=taxonomy:'C and C++' build:Build_Apr_13_2023_11_11_AM grouping:off ","KW Issue Link")</f>
        <v>KW Issue Link</v>
      </c>
      <c r="O1748" s="1" t="s">
        <v>291</v>
      </c>
    </row>
    <row r="1749" spans="1:15" ht="60" x14ac:dyDescent="0.25">
      <c r="A1749" s="1" t="s">
        <v>1266</v>
      </c>
      <c r="B1749" s="1"/>
      <c r="C1749" s="1" t="s">
        <v>607</v>
      </c>
      <c r="D1749" s="1">
        <v>120623</v>
      </c>
      <c r="E1749" s="1">
        <v>853</v>
      </c>
      <c r="F1749" s="1" t="s">
        <v>2608</v>
      </c>
      <c r="G1749" s="1" t="s">
        <v>2609</v>
      </c>
      <c r="H1749" s="1" t="s">
        <v>141</v>
      </c>
      <c r="I1749" s="1" t="s">
        <v>65</v>
      </c>
      <c r="J1749" s="1">
        <v>3</v>
      </c>
      <c r="K1749" s="1" t="s">
        <v>142</v>
      </c>
      <c r="L1749" s="1" t="s">
        <v>153</v>
      </c>
      <c r="M1749" s="1" t="s">
        <v>1256</v>
      </c>
      <c r="N1749" s="1" t="str">
        <f>HYPERLINK("https://klocwork.india.ti.com:443/review/insight-review.html#issuedetails_goto:problemid=120623,project=MCU_PLUS_SDK_AM263X,searchquery=taxonomy:'C and C++' build:Build_Apr_13_2023_11_11_AM grouping:off ","KW Issue Link")</f>
        <v>KW Issue Link</v>
      </c>
      <c r="O1749" s="1" t="s">
        <v>291</v>
      </c>
    </row>
    <row r="1750" spans="1:15" ht="60" x14ac:dyDescent="0.25">
      <c r="A1750" s="1" t="s">
        <v>1266</v>
      </c>
      <c r="B1750" s="1"/>
      <c r="C1750" s="1" t="s">
        <v>607</v>
      </c>
      <c r="D1750" s="1">
        <v>120624</v>
      </c>
      <c r="E1750" s="1">
        <v>912</v>
      </c>
      <c r="F1750" s="1" t="s">
        <v>2610</v>
      </c>
      <c r="G1750" s="1" t="s">
        <v>2592</v>
      </c>
      <c r="H1750" s="1" t="s">
        <v>141</v>
      </c>
      <c r="I1750" s="1" t="s">
        <v>65</v>
      </c>
      <c r="J1750" s="1">
        <v>3</v>
      </c>
      <c r="K1750" s="1" t="s">
        <v>142</v>
      </c>
      <c r="L1750" s="1" t="s">
        <v>153</v>
      </c>
      <c r="M1750" s="1" t="s">
        <v>1256</v>
      </c>
      <c r="N1750" s="1" t="str">
        <f>HYPERLINK("https://klocwork.india.ti.com:443/review/insight-review.html#issuedetails_goto:problemid=120624,project=MCU_PLUS_SDK_AM263X,searchquery=taxonomy:'C and C++' build:Build_Apr_13_2023_11_11_AM grouping:off ","KW Issue Link")</f>
        <v>KW Issue Link</v>
      </c>
      <c r="O1750" s="1" t="s">
        <v>291</v>
      </c>
    </row>
    <row r="1751" spans="1:15" ht="60" x14ac:dyDescent="0.25">
      <c r="A1751" s="1" t="s">
        <v>1266</v>
      </c>
      <c r="B1751" s="1"/>
      <c r="C1751" s="1" t="s">
        <v>607</v>
      </c>
      <c r="D1751" s="1">
        <v>120625</v>
      </c>
      <c r="E1751" s="1">
        <v>961</v>
      </c>
      <c r="F1751" s="1" t="s">
        <v>2611</v>
      </c>
      <c r="G1751" s="1" t="s">
        <v>2594</v>
      </c>
      <c r="H1751" s="1" t="s">
        <v>141</v>
      </c>
      <c r="I1751" s="1" t="s">
        <v>65</v>
      </c>
      <c r="J1751" s="1">
        <v>3</v>
      </c>
      <c r="K1751" s="1" t="s">
        <v>142</v>
      </c>
      <c r="L1751" s="1" t="s">
        <v>153</v>
      </c>
      <c r="M1751" s="1" t="s">
        <v>1256</v>
      </c>
      <c r="N1751" s="1" t="str">
        <f>HYPERLINK("https://klocwork.india.ti.com:443/review/insight-review.html#issuedetails_goto:problemid=120625,project=MCU_PLUS_SDK_AM263X,searchquery=taxonomy:'C and C++' build:Build_Apr_13_2023_11_11_AM grouping:off ","KW Issue Link")</f>
        <v>KW Issue Link</v>
      </c>
      <c r="O1751" s="1" t="s">
        <v>291</v>
      </c>
    </row>
    <row r="1752" spans="1:15" ht="60" x14ac:dyDescent="0.25">
      <c r="A1752" s="1" t="s">
        <v>1266</v>
      </c>
      <c r="B1752" s="1"/>
      <c r="C1752" s="1" t="s">
        <v>607</v>
      </c>
      <c r="D1752" s="1">
        <v>120627</v>
      </c>
      <c r="E1752" s="1">
        <v>1074</v>
      </c>
      <c r="F1752" s="1" t="s">
        <v>2612</v>
      </c>
      <c r="G1752" s="1" t="s">
        <v>2613</v>
      </c>
      <c r="H1752" s="1" t="s">
        <v>141</v>
      </c>
      <c r="I1752" s="1" t="s">
        <v>65</v>
      </c>
      <c r="J1752" s="1">
        <v>3</v>
      </c>
      <c r="K1752" s="1" t="s">
        <v>142</v>
      </c>
      <c r="L1752" s="1" t="s">
        <v>153</v>
      </c>
      <c r="M1752" s="1" t="s">
        <v>1256</v>
      </c>
      <c r="N1752" s="1" t="str">
        <f>HYPERLINK("https://klocwork.india.ti.com:443/review/insight-review.html#issuedetails_goto:problemid=120627,project=MCU_PLUS_SDK_AM263X,searchquery=taxonomy:'C and C++' build:Build_Apr_13_2023_11_11_AM grouping:off ","KW Issue Link")</f>
        <v>KW Issue Link</v>
      </c>
      <c r="O1752" s="1" t="s">
        <v>291</v>
      </c>
    </row>
    <row r="1753" spans="1:15" ht="60" x14ac:dyDescent="0.25">
      <c r="A1753" s="1" t="s">
        <v>1266</v>
      </c>
      <c r="B1753" s="1"/>
      <c r="C1753" s="1" t="s">
        <v>607</v>
      </c>
      <c r="D1753" s="1">
        <v>120628</v>
      </c>
      <c r="E1753" s="1">
        <v>1196</v>
      </c>
      <c r="F1753" s="1" t="s">
        <v>2614</v>
      </c>
      <c r="G1753" s="1" t="s">
        <v>615</v>
      </c>
      <c r="H1753" s="1" t="s">
        <v>141</v>
      </c>
      <c r="I1753" s="1" t="s">
        <v>65</v>
      </c>
      <c r="J1753" s="1">
        <v>3</v>
      </c>
      <c r="K1753" s="1" t="s">
        <v>142</v>
      </c>
      <c r="L1753" s="1" t="s">
        <v>153</v>
      </c>
      <c r="M1753" s="1" t="s">
        <v>1256</v>
      </c>
      <c r="N1753" s="1" t="str">
        <f>HYPERLINK("https://klocwork.india.ti.com:443/review/insight-review.html#issuedetails_goto:problemid=120628,project=MCU_PLUS_SDK_AM263X,searchquery=taxonomy:'C and C++' build:Build_Apr_13_2023_11_11_AM grouping:off ","KW Issue Link")</f>
        <v>KW Issue Link</v>
      </c>
      <c r="O1753" s="1" t="s">
        <v>291</v>
      </c>
    </row>
    <row r="1754" spans="1:15" ht="60" x14ac:dyDescent="0.25">
      <c r="A1754" s="1" t="s">
        <v>1268</v>
      </c>
      <c r="B1754" s="1"/>
      <c r="C1754" s="1" t="s">
        <v>607</v>
      </c>
      <c r="D1754" s="1">
        <v>120629</v>
      </c>
      <c r="E1754" s="1">
        <v>224</v>
      </c>
      <c r="F1754" s="1" t="s">
        <v>2615</v>
      </c>
      <c r="G1754" s="1" t="s">
        <v>608</v>
      </c>
      <c r="H1754" s="1" t="s">
        <v>141</v>
      </c>
      <c r="I1754" s="1" t="s">
        <v>65</v>
      </c>
      <c r="J1754" s="1">
        <v>3</v>
      </c>
      <c r="K1754" s="1" t="s">
        <v>142</v>
      </c>
      <c r="L1754" s="1" t="s">
        <v>153</v>
      </c>
      <c r="M1754" s="1" t="s">
        <v>1256</v>
      </c>
      <c r="N1754" s="1" t="str">
        <f>HYPERLINK("https://klocwork.india.ti.com:443/review/insight-review.html#issuedetails_goto:problemid=120629,project=MCU_PLUS_SDK_AM263X,searchquery=taxonomy:'C and C++' build:Build_Apr_13_2023_11_11_AM grouping:off ","KW Issue Link")</f>
        <v>KW Issue Link</v>
      </c>
      <c r="O1754" s="1" t="s">
        <v>291</v>
      </c>
    </row>
    <row r="1755" spans="1:15" ht="60" x14ac:dyDescent="0.25">
      <c r="A1755" s="1" t="s">
        <v>1268</v>
      </c>
      <c r="B1755" s="1"/>
      <c r="C1755" s="1" t="s">
        <v>607</v>
      </c>
      <c r="D1755" s="1">
        <v>120631</v>
      </c>
      <c r="E1755" s="1">
        <v>363</v>
      </c>
      <c r="F1755" s="1" t="s">
        <v>2616</v>
      </c>
      <c r="G1755" s="1" t="s">
        <v>2580</v>
      </c>
      <c r="H1755" s="1" t="s">
        <v>141</v>
      </c>
      <c r="I1755" s="1" t="s">
        <v>65</v>
      </c>
      <c r="J1755" s="1">
        <v>3</v>
      </c>
      <c r="K1755" s="1" t="s">
        <v>142</v>
      </c>
      <c r="L1755" s="1" t="s">
        <v>153</v>
      </c>
      <c r="M1755" s="1" t="s">
        <v>1256</v>
      </c>
      <c r="N1755" s="1" t="str">
        <f>HYPERLINK("https://klocwork.india.ti.com:443/review/insight-review.html#issuedetails_goto:problemid=120631,project=MCU_PLUS_SDK_AM263X,searchquery=taxonomy:'C and C++' build:Build_Apr_13_2023_11_11_AM grouping:off ","KW Issue Link")</f>
        <v>KW Issue Link</v>
      </c>
      <c r="O1755" s="1" t="s">
        <v>291</v>
      </c>
    </row>
    <row r="1756" spans="1:15" ht="60" x14ac:dyDescent="0.25">
      <c r="A1756" s="1" t="s">
        <v>1268</v>
      </c>
      <c r="B1756" s="1"/>
      <c r="C1756" s="1" t="s">
        <v>607</v>
      </c>
      <c r="D1756" s="1">
        <v>120632</v>
      </c>
      <c r="E1756" s="1">
        <v>402</v>
      </c>
      <c r="F1756" s="1" t="s">
        <v>2617</v>
      </c>
      <c r="G1756" s="1" t="s">
        <v>611</v>
      </c>
      <c r="H1756" s="1" t="s">
        <v>141</v>
      </c>
      <c r="I1756" s="1" t="s">
        <v>65</v>
      </c>
      <c r="J1756" s="1">
        <v>3</v>
      </c>
      <c r="K1756" s="1" t="s">
        <v>142</v>
      </c>
      <c r="L1756" s="1" t="s">
        <v>153</v>
      </c>
      <c r="M1756" s="1" t="s">
        <v>1256</v>
      </c>
      <c r="N1756" s="1" t="str">
        <f>HYPERLINK("https://klocwork.india.ti.com:443/review/insight-review.html#issuedetails_goto:problemid=120632,project=MCU_PLUS_SDK_AM263X,searchquery=taxonomy:'C and C++' build:Build_Apr_13_2023_11_11_AM grouping:off ","KW Issue Link")</f>
        <v>KW Issue Link</v>
      </c>
      <c r="O1756" s="1" t="s">
        <v>291</v>
      </c>
    </row>
    <row r="1757" spans="1:15" ht="60" x14ac:dyDescent="0.25">
      <c r="A1757" s="1" t="s">
        <v>1268</v>
      </c>
      <c r="B1757" s="1"/>
      <c r="C1757" s="1" t="s">
        <v>607</v>
      </c>
      <c r="D1757" s="1">
        <v>120633</v>
      </c>
      <c r="E1757" s="1">
        <v>473</v>
      </c>
      <c r="F1757" s="1" t="s">
        <v>2618</v>
      </c>
      <c r="G1757" s="1" t="s">
        <v>2583</v>
      </c>
      <c r="H1757" s="1" t="s">
        <v>141</v>
      </c>
      <c r="I1757" s="1" t="s">
        <v>65</v>
      </c>
      <c r="J1757" s="1">
        <v>3</v>
      </c>
      <c r="K1757" s="1" t="s">
        <v>142</v>
      </c>
      <c r="L1757" s="1" t="s">
        <v>153</v>
      </c>
      <c r="M1757" s="1" t="s">
        <v>1256</v>
      </c>
      <c r="N1757" s="1" t="str">
        <f>HYPERLINK("https://klocwork.india.ti.com:443/review/insight-review.html#issuedetails_goto:problemid=120633,project=MCU_PLUS_SDK_AM263X,searchquery=taxonomy:'C and C++' build:Build_Apr_13_2023_11_11_AM grouping:off ","KW Issue Link")</f>
        <v>KW Issue Link</v>
      </c>
      <c r="O1757" s="1" t="s">
        <v>291</v>
      </c>
    </row>
    <row r="1758" spans="1:15" ht="60" x14ac:dyDescent="0.25">
      <c r="A1758" s="1" t="s">
        <v>1268</v>
      </c>
      <c r="B1758" s="1"/>
      <c r="C1758" s="1" t="s">
        <v>607</v>
      </c>
      <c r="D1758" s="1">
        <v>120634</v>
      </c>
      <c r="E1758" s="1">
        <v>582</v>
      </c>
      <c r="F1758" s="1" t="s">
        <v>2619</v>
      </c>
      <c r="G1758" s="1" t="s">
        <v>2585</v>
      </c>
      <c r="H1758" s="1" t="s">
        <v>141</v>
      </c>
      <c r="I1758" s="1" t="s">
        <v>65</v>
      </c>
      <c r="J1758" s="1">
        <v>3</v>
      </c>
      <c r="K1758" s="1" t="s">
        <v>142</v>
      </c>
      <c r="L1758" s="1" t="s">
        <v>153</v>
      </c>
      <c r="M1758" s="1" t="s">
        <v>1256</v>
      </c>
      <c r="N1758" s="1" t="str">
        <f>HYPERLINK("https://klocwork.india.ti.com:443/review/insight-review.html#issuedetails_goto:problemid=120634,project=MCU_PLUS_SDK_AM263X,searchquery=taxonomy:'C and C++' build:Build_Apr_13_2023_11_11_AM grouping:off ","KW Issue Link")</f>
        <v>KW Issue Link</v>
      </c>
      <c r="O1758" s="1" t="s">
        <v>291</v>
      </c>
    </row>
    <row r="1759" spans="1:15" ht="60" x14ac:dyDescent="0.25">
      <c r="A1759" s="1" t="s">
        <v>1268</v>
      </c>
      <c r="B1759" s="1"/>
      <c r="C1759" s="1" t="s">
        <v>607</v>
      </c>
      <c r="D1759" s="1">
        <v>120635</v>
      </c>
      <c r="E1759" s="1">
        <v>725</v>
      </c>
      <c r="F1759" s="1" t="s">
        <v>2620</v>
      </c>
      <c r="G1759" s="1" t="s">
        <v>1046</v>
      </c>
      <c r="H1759" s="1" t="s">
        <v>141</v>
      </c>
      <c r="I1759" s="1" t="s">
        <v>65</v>
      </c>
      <c r="J1759" s="1">
        <v>3</v>
      </c>
      <c r="K1759" s="1" t="s">
        <v>142</v>
      </c>
      <c r="L1759" s="1" t="s">
        <v>153</v>
      </c>
      <c r="M1759" s="1" t="s">
        <v>1256</v>
      </c>
      <c r="N1759" s="1" t="str">
        <f>HYPERLINK("https://klocwork.india.ti.com:443/review/insight-review.html#issuedetails_goto:problemid=120635,project=MCU_PLUS_SDK_AM263X,searchquery=taxonomy:'C and C++' build:Build_Apr_13_2023_11_11_AM grouping:off ","KW Issue Link")</f>
        <v>KW Issue Link</v>
      </c>
      <c r="O1759" s="1" t="s">
        <v>291</v>
      </c>
    </row>
    <row r="1760" spans="1:15" ht="60" x14ac:dyDescent="0.25">
      <c r="A1760" s="1" t="s">
        <v>1268</v>
      </c>
      <c r="B1760" s="1"/>
      <c r="C1760" s="1" t="s">
        <v>607</v>
      </c>
      <c r="D1760" s="1">
        <v>120637</v>
      </c>
      <c r="E1760" s="1">
        <v>912</v>
      </c>
      <c r="F1760" s="1" t="s">
        <v>2621</v>
      </c>
      <c r="G1760" s="1" t="s">
        <v>2592</v>
      </c>
      <c r="H1760" s="1" t="s">
        <v>141</v>
      </c>
      <c r="I1760" s="1" t="s">
        <v>65</v>
      </c>
      <c r="J1760" s="1">
        <v>3</v>
      </c>
      <c r="K1760" s="1" t="s">
        <v>142</v>
      </c>
      <c r="L1760" s="1" t="s">
        <v>153</v>
      </c>
      <c r="M1760" s="1" t="s">
        <v>1256</v>
      </c>
      <c r="N1760" s="1" t="str">
        <f>HYPERLINK("https://klocwork.india.ti.com:443/review/insight-review.html#issuedetails_goto:problemid=120637,project=MCU_PLUS_SDK_AM263X,searchquery=taxonomy:'C and C++' build:Build_Apr_13_2023_11_11_AM grouping:off ","KW Issue Link")</f>
        <v>KW Issue Link</v>
      </c>
      <c r="O1760" s="1" t="s">
        <v>291</v>
      </c>
    </row>
    <row r="1761" spans="1:15" ht="60" x14ac:dyDescent="0.25">
      <c r="A1761" s="1" t="s">
        <v>1268</v>
      </c>
      <c r="B1761" s="1"/>
      <c r="C1761" s="1" t="s">
        <v>607</v>
      </c>
      <c r="D1761" s="1">
        <v>120638</v>
      </c>
      <c r="E1761" s="1">
        <v>961</v>
      </c>
      <c r="F1761" s="1" t="s">
        <v>2622</v>
      </c>
      <c r="G1761" s="1" t="s">
        <v>2594</v>
      </c>
      <c r="H1761" s="1" t="s">
        <v>141</v>
      </c>
      <c r="I1761" s="1" t="s">
        <v>65</v>
      </c>
      <c r="J1761" s="1">
        <v>3</v>
      </c>
      <c r="K1761" s="1" t="s">
        <v>142</v>
      </c>
      <c r="L1761" s="1" t="s">
        <v>153</v>
      </c>
      <c r="M1761" s="1" t="s">
        <v>1256</v>
      </c>
      <c r="N1761" s="1" t="str">
        <f>HYPERLINK("https://klocwork.india.ti.com:443/review/insight-review.html#issuedetails_goto:problemid=120638,project=MCU_PLUS_SDK_AM263X,searchquery=taxonomy:'C and C++' build:Build_Apr_13_2023_11_11_AM grouping:off ","KW Issue Link")</f>
        <v>KW Issue Link</v>
      </c>
      <c r="O1761" s="1" t="s">
        <v>291</v>
      </c>
    </row>
    <row r="1762" spans="1:15" ht="60" x14ac:dyDescent="0.25">
      <c r="A1762" s="1" t="s">
        <v>1268</v>
      </c>
      <c r="B1762" s="1"/>
      <c r="C1762" s="1" t="s">
        <v>607</v>
      </c>
      <c r="D1762" s="1">
        <v>120639</v>
      </c>
      <c r="E1762" s="1">
        <v>1196</v>
      </c>
      <c r="F1762" s="1" t="s">
        <v>2623</v>
      </c>
      <c r="G1762" s="1" t="s">
        <v>615</v>
      </c>
      <c r="H1762" s="1" t="s">
        <v>141</v>
      </c>
      <c r="I1762" s="1" t="s">
        <v>65</v>
      </c>
      <c r="J1762" s="1">
        <v>3</v>
      </c>
      <c r="K1762" s="1" t="s">
        <v>142</v>
      </c>
      <c r="L1762" s="1" t="s">
        <v>153</v>
      </c>
      <c r="M1762" s="1" t="s">
        <v>1256</v>
      </c>
      <c r="N1762" s="1" t="str">
        <f>HYPERLINK("https://klocwork.india.ti.com:443/review/insight-review.html#issuedetails_goto:problemid=120639,project=MCU_PLUS_SDK_AM263X,searchquery=taxonomy:'C and C++' build:Build_Apr_13_2023_11_11_AM grouping:off ","KW Issue Link")</f>
        <v>KW Issue Link</v>
      </c>
      <c r="O1762" s="1" t="s">
        <v>291</v>
      </c>
    </row>
    <row r="1763" spans="1:15" ht="75" x14ac:dyDescent="0.25">
      <c r="A1763" s="1" t="s">
        <v>1257</v>
      </c>
      <c r="B1763" s="1"/>
      <c r="C1763" s="1" t="s">
        <v>1225</v>
      </c>
      <c r="D1763" s="1">
        <v>120641</v>
      </c>
      <c r="E1763" s="1">
        <v>178</v>
      </c>
      <c r="F1763" s="1" t="s">
        <v>2624</v>
      </c>
      <c r="G1763" s="1" t="s">
        <v>1227</v>
      </c>
      <c r="H1763" s="1" t="s">
        <v>141</v>
      </c>
      <c r="I1763" s="1" t="s">
        <v>65</v>
      </c>
      <c r="J1763" s="1">
        <v>3</v>
      </c>
      <c r="K1763" s="1" t="s">
        <v>142</v>
      </c>
      <c r="L1763" s="1" t="s">
        <v>153</v>
      </c>
      <c r="M1763" s="1" t="s">
        <v>1256</v>
      </c>
      <c r="N1763" s="1" t="str">
        <f>HYPERLINK("https://klocwork.india.ti.com:443/review/insight-review.html#issuedetails_goto:problemid=120641,project=MCU_PLUS_SDK_AM263X,searchquery=taxonomy:'C and C++' build:Build_Apr_13_2023_11_11_AM grouping:off ","KW Issue Link")</f>
        <v>KW Issue Link</v>
      </c>
      <c r="O1763" s="1" t="s">
        <v>353</v>
      </c>
    </row>
    <row r="1764" spans="1:15" ht="75" x14ac:dyDescent="0.25">
      <c r="A1764" s="1" t="s">
        <v>1257</v>
      </c>
      <c r="B1764" s="1"/>
      <c r="C1764" s="1" t="s">
        <v>1225</v>
      </c>
      <c r="D1764" s="1">
        <v>120642</v>
      </c>
      <c r="E1764" s="1">
        <v>240</v>
      </c>
      <c r="F1764" s="1" t="s">
        <v>2625</v>
      </c>
      <c r="G1764" s="1" t="s">
        <v>2626</v>
      </c>
      <c r="H1764" s="1" t="s">
        <v>141</v>
      </c>
      <c r="I1764" s="1" t="s">
        <v>65</v>
      </c>
      <c r="J1764" s="1">
        <v>3</v>
      </c>
      <c r="K1764" s="1" t="s">
        <v>142</v>
      </c>
      <c r="L1764" s="1" t="s">
        <v>153</v>
      </c>
      <c r="M1764" s="1" t="s">
        <v>1256</v>
      </c>
      <c r="N1764" s="1" t="str">
        <f>HYPERLINK("https://klocwork.india.ti.com:443/review/insight-review.html#issuedetails_goto:problemid=120642,project=MCU_PLUS_SDK_AM263X,searchquery=taxonomy:'C and C++' build:Build_Apr_13_2023_11_11_AM grouping:off ","KW Issue Link")</f>
        <v>KW Issue Link</v>
      </c>
      <c r="O1764" s="1" t="s">
        <v>353</v>
      </c>
    </row>
    <row r="1765" spans="1:15" ht="75" x14ac:dyDescent="0.25">
      <c r="A1765" s="1" t="s">
        <v>1257</v>
      </c>
      <c r="B1765" s="1"/>
      <c r="C1765" s="1" t="s">
        <v>1225</v>
      </c>
      <c r="D1765" s="1">
        <v>120643</v>
      </c>
      <c r="E1765" s="1">
        <v>294</v>
      </c>
      <c r="F1765" s="1" t="s">
        <v>2627</v>
      </c>
      <c r="G1765" s="1" t="s">
        <v>1227</v>
      </c>
      <c r="H1765" s="1" t="s">
        <v>141</v>
      </c>
      <c r="I1765" s="1" t="s">
        <v>65</v>
      </c>
      <c r="J1765" s="1">
        <v>3</v>
      </c>
      <c r="K1765" s="1" t="s">
        <v>142</v>
      </c>
      <c r="L1765" s="1" t="s">
        <v>153</v>
      </c>
      <c r="M1765" s="1" t="s">
        <v>1256</v>
      </c>
      <c r="N1765" s="1" t="str">
        <f>HYPERLINK("https://klocwork.india.ti.com:443/review/insight-review.html#issuedetails_goto:problemid=120643,project=MCU_PLUS_SDK_AM263X,searchquery=taxonomy:'C and C++' build:Build_Apr_13_2023_11_11_AM grouping:off ","KW Issue Link")</f>
        <v>KW Issue Link</v>
      </c>
      <c r="O1765" s="1" t="s">
        <v>353</v>
      </c>
    </row>
    <row r="1766" spans="1:15" ht="75" x14ac:dyDescent="0.25">
      <c r="A1766" s="1" t="s">
        <v>1257</v>
      </c>
      <c r="B1766" s="1"/>
      <c r="C1766" s="1" t="s">
        <v>1225</v>
      </c>
      <c r="D1766" s="1">
        <v>120644</v>
      </c>
      <c r="E1766" s="1">
        <v>324</v>
      </c>
      <c r="F1766" s="1" t="s">
        <v>2628</v>
      </c>
      <c r="G1766" s="1" t="s">
        <v>2629</v>
      </c>
      <c r="H1766" s="1" t="s">
        <v>141</v>
      </c>
      <c r="I1766" s="1" t="s">
        <v>65</v>
      </c>
      <c r="J1766" s="1">
        <v>3</v>
      </c>
      <c r="K1766" s="1" t="s">
        <v>142</v>
      </c>
      <c r="L1766" s="1" t="s">
        <v>153</v>
      </c>
      <c r="M1766" s="1" t="s">
        <v>1256</v>
      </c>
      <c r="N1766" s="1" t="str">
        <f>HYPERLINK("https://klocwork.india.ti.com:443/review/insight-review.html#issuedetails_goto:problemid=120644,project=MCU_PLUS_SDK_AM263X,searchquery=taxonomy:'C and C++' build:Build_Apr_13_2023_11_11_AM grouping:off ","KW Issue Link")</f>
        <v>KW Issue Link</v>
      </c>
      <c r="O1766" s="1" t="s">
        <v>353</v>
      </c>
    </row>
    <row r="1767" spans="1:15" ht="75" x14ac:dyDescent="0.25">
      <c r="A1767" s="1" t="s">
        <v>1266</v>
      </c>
      <c r="B1767" s="1"/>
      <c r="C1767" s="1" t="s">
        <v>1225</v>
      </c>
      <c r="D1767" s="1">
        <v>120648</v>
      </c>
      <c r="E1767" s="1">
        <v>178</v>
      </c>
      <c r="F1767" s="1" t="s">
        <v>2630</v>
      </c>
      <c r="G1767" s="1" t="s">
        <v>1227</v>
      </c>
      <c r="H1767" s="1" t="s">
        <v>141</v>
      </c>
      <c r="I1767" s="1" t="s">
        <v>65</v>
      </c>
      <c r="J1767" s="1">
        <v>3</v>
      </c>
      <c r="K1767" s="1" t="s">
        <v>142</v>
      </c>
      <c r="L1767" s="1" t="s">
        <v>153</v>
      </c>
      <c r="M1767" s="1" t="s">
        <v>1256</v>
      </c>
      <c r="N1767" s="1" t="str">
        <f>HYPERLINK("https://klocwork.india.ti.com:443/review/insight-review.html#issuedetails_goto:problemid=120648,project=MCU_PLUS_SDK_AM263X,searchquery=taxonomy:'C and C++' build:Build_Apr_13_2023_11_11_AM grouping:off ","KW Issue Link")</f>
        <v>KW Issue Link</v>
      </c>
      <c r="O1767" s="1" t="s">
        <v>353</v>
      </c>
    </row>
    <row r="1768" spans="1:15" ht="75" x14ac:dyDescent="0.25">
      <c r="A1768" s="1" t="s">
        <v>1266</v>
      </c>
      <c r="B1768" s="1"/>
      <c r="C1768" s="1" t="s">
        <v>1225</v>
      </c>
      <c r="D1768" s="1">
        <v>120649</v>
      </c>
      <c r="E1768" s="1">
        <v>240</v>
      </c>
      <c r="F1768" s="1" t="s">
        <v>2631</v>
      </c>
      <c r="G1768" s="1" t="s">
        <v>2626</v>
      </c>
      <c r="H1768" s="1" t="s">
        <v>141</v>
      </c>
      <c r="I1768" s="1" t="s">
        <v>65</v>
      </c>
      <c r="J1768" s="1">
        <v>3</v>
      </c>
      <c r="K1768" s="1" t="s">
        <v>142</v>
      </c>
      <c r="L1768" s="1" t="s">
        <v>153</v>
      </c>
      <c r="M1768" s="1" t="s">
        <v>1256</v>
      </c>
      <c r="N1768" s="1" t="str">
        <f>HYPERLINK("https://klocwork.india.ti.com:443/review/insight-review.html#issuedetails_goto:problemid=120649,project=MCU_PLUS_SDK_AM263X,searchquery=taxonomy:'C and C++' build:Build_Apr_13_2023_11_11_AM grouping:off ","KW Issue Link")</f>
        <v>KW Issue Link</v>
      </c>
      <c r="O1768" s="1" t="s">
        <v>353</v>
      </c>
    </row>
    <row r="1769" spans="1:15" ht="75" x14ac:dyDescent="0.25">
      <c r="A1769" s="1" t="s">
        <v>1266</v>
      </c>
      <c r="B1769" s="1"/>
      <c r="C1769" s="1" t="s">
        <v>1225</v>
      </c>
      <c r="D1769" s="1">
        <v>120650</v>
      </c>
      <c r="E1769" s="1">
        <v>294</v>
      </c>
      <c r="F1769" s="1" t="s">
        <v>2632</v>
      </c>
      <c r="G1769" s="1" t="s">
        <v>1227</v>
      </c>
      <c r="H1769" s="1" t="s">
        <v>141</v>
      </c>
      <c r="I1769" s="1" t="s">
        <v>65</v>
      </c>
      <c r="J1769" s="1">
        <v>3</v>
      </c>
      <c r="K1769" s="1" t="s">
        <v>142</v>
      </c>
      <c r="L1769" s="1" t="s">
        <v>153</v>
      </c>
      <c r="M1769" s="1" t="s">
        <v>1256</v>
      </c>
      <c r="N1769" s="1" t="str">
        <f>HYPERLINK("https://klocwork.india.ti.com:443/review/insight-review.html#issuedetails_goto:problemid=120650,project=MCU_PLUS_SDK_AM263X,searchquery=taxonomy:'C and C++' build:Build_Apr_13_2023_11_11_AM grouping:off ","KW Issue Link")</f>
        <v>KW Issue Link</v>
      </c>
      <c r="O1769" s="1" t="s">
        <v>353</v>
      </c>
    </row>
    <row r="1770" spans="1:15" ht="75" x14ac:dyDescent="0.25">
      <c r="A1770" s="1" t="s">
        <v>1266</v>
      </c>
      <c r="B1770" s="1"/>
      <c r="C1770" s="1" t="s">
        <v>1225</v>
      </c>
      <c r="D1770" s="1">
        <v>120651</v>
      </c>
      <c r="E1770" s="1">
        <v>324</v>
      </c>
      <c r="F1770" s="1" t="s">
        <v>2633</v>
      </c>
      <c r="G1770" s="1" t="s">
        <v>2629</v>
      </c>
      <c r="H1770" s="1" t="s">
        <v>141</v>
      </c>
      <c r="I1770" s="1" t="s">
        <v>65</v>
      </c>
      <c r="J1770" s="1">
        <v>3</v>
      </c>
      <c r="K1770" s="1" t="s">
        <v>142</v>
      </c>
      <c r="L1770" s="1" t="s">
        <v>153</v>
      </c>
      <c r="M1770" s="1" t="s">
        <v>1256</v>
      </c>
      <c r="N1770" s="1" t="str">
        <f>HYPERLINK("https://klocwork.india.ti.com:443/review/insight-review.html#issuedetails_goto:problemid=120651,project=MCU_PLUS_SDK_AM263X,searchquery=taxonomy:'C and C++' build:Build_Apr_13_2023_11_11_AM grouping:off ","KW Issue Link")</f>
        <v>KW Issue Link</v>
      </c>
      <c r="O1770" s="1" t="s">
        <v>353</v>
      </c>
    </row>
    <row r="1771" spans="1:15" ht="75" x14ac:dyDescent="0.25">
      <c r="A1771" s="1" t="s">
        <v>1268</v>
      </c>
      <c r="B1771" s="1"/>
      <c r="C1771" s="1" t="s">
        <v>1225</v>
      </c>
      <c r="D1771" s="1">
        <v>120652</v>
      </c>
      <c r="E1771" s="1">
        <v>178</v>
      </c>
      <c r="F1771" s="1" t="s">
        <v>2634</v>
      </c>
      <c r="G1771" s="1" t="s">
        <v>1227</v>
      </c>
      <c r="H1771" s="1" t="s">
        <v>141</v>
      </c>
      <c r="I1771" s="1" t="s">
        <v>65</v>
      </c>
      <c r="J1771" s="1">
        <v>3</v>
      </c>
      <c r="K1771" s="1" t="s">
        <v>142</v>
      </c>
      <c r="L1771" s="1" t="s">
        <v>153</v>
      </c>
      <c r="M1771" s="1" t="s">
        <v>1256</v>
      </c>
      <c r="N1771" s="1" t="str">
        <f>HYPERLINK("https://klocwork.india.ti.com:443/review/insight-review.html#issuedetails_goto:problemid=120652,project=MCU_PLUS_SDK_AM263X,searchquery=taxonomy:'C and C++' build:Build_Apr_13_2023_11_11_AM grouping:off ","KW Issue Link")</f>
        <v>KW Issue Link</v>
      </c>
      <c r="O1771" s="1" t="s">
        <v>353</v>
      </c>
    </row>
    <row r="1772" spans="1:15" ht="75" x14ac:dyDescent="0.25">
      <c r="A1772" s="1" t="s">
        <v>1268</v>
      </c>
      <c r="B1772" s="1"/>
      <c r="C1772" s="1" t="s">
        <v>1225</v>
      </c>
      <c r="D1772" s="1">
        <v>120653</v>
      </c>
      <c r="E1772" s="1">
        <v>240</v>
      </c>
      <c r="F1772" s="1" t="s">
        <v>2635</v>
      </c>
      <c r="G1772" s="1" t="s">
        <v>2626</v>
      </c>
      <c r="H1772" s="1" t="s">
        <v>141</v>
      </c>
      <c r="I1772" s="1" t="s">
        <v>65</v>
      </c>
      <c r="J1772" s="1">
        <v>3</v>
      </c>
      <c r="K1772" s="1" t="s">
        <v>142</v>
      </c>
      <c r="L1772" s="1" t="s">
        <v>153</v>
      </c>
      <c r="M1772" s="1" t="s">
        <v>1256</v>
      </c>
      <c r="N1772" s="1" t="str">
        <f>HYPERLINK("https://klocwork.india.ti.com:443/review/insight-review.html#issuedetails_goto:problemid=120653,project=MCU_PLUS_SDK_AM263X,searchquery=taxonomy:'C and C++' build:Build_Apr_13_2023_11_11_AM grouping:off ","KW Issue Link")</f>
        <v>KW Issue Link</v>
      </c>
      <c r="O1772" s="1" t="s">
        <v>353</v>
      </c>
    </row>
    <row r="1773" spans="1:15" ht="75" x14ac:dyDescent="0.25">
      <c r="A1773" s="1" t="s">
        <v>1268</v>
      </c>
      <c r="B1773" s="1"/>
      <c r="C1773" s="1" t="s">
        <v>1225</v>
      </c>
      <c r="D1773" s="1">
        <v>120654</v>
      </c>
      <c r="E1773" s="1">
        <v>294</v>
      </c>
      <c r="F1773" s="1" t="s">
        <v>2636</v>
      </c>
      <c r="G1773" s="1" t="s">
        <v>1227</v>
      </c>
      <c r="H1773" s="1" t="s">
        <v>141</v>
      </c>
      <c r="I1773" s="1" t="s">
        <v>65</v>
      </c>
      <c r="J1773" s="1">
        <v>3</v>
      </c>
      <c r="K1773" s="1" t="s">
        <v>142</v>
      </c>
      <c r="L1773" s="1" t="s">
        <v>153</v>
      </c>
      <c r="M1773" s="1" t="s">
        <v>1256</v>
      </c>
      <c r="N1773" s="1" t="str">
        <f>HYPERLINK("https://klocwork.india.ti.com:443/review/insight-review.html#issuedetails_goto:problemid=120654,project=MCU_PLUS_SDK_AM263X,searchquery=taxonomy:'C and C++' build:Build_Apr_13_2023_11_11_AM grouping:off ","KW Issue Link")</f>
        <v>KW Issue Link</v>
      </c>
      <c r="O1773" s="1" t="s">
        <v>353</v>
      </c>
    </row>
    <row r="1774" spans="1:15" ht="75" x14ac:dyDescent="0.25">
      <c r="A1774" s="1" t="s">
        <v>1268</v>
      </c>
      <c r="B1774" s="1"/>
      <c r="C1774" s="1" t="s">
        <v>1225</v>
      </c>
      <c r="D1774" s="1">
        <v>120655</v>
      </c>
      <c r="E1774" s="1">
        <v>324</v>
      </c>
      <c r="F1774" s="1" t="s">
        <v>2637</v>
      </c>
      <c r="G1774" s="1" t="s">
        <v>2629</v>
      </c>
      <c r="H1774" s="1" t="s">
        <v>141</v>
      </c>
      <c r="I1774" s="1" t="s">
        <v>65</v>
      </c>
      <c r="J1774" s="1">
        <v>3</v>
      </c>
      <c r="K1774" s="1" t="s">
        <v>142</v>
      </c>
      <c r="L1774" s="1" t="s">
        <v>153</v>
      </c>
      <c r="M1774" s="1" t="s">
        <v>1256</v>
      </c>
      <c r="N1774" s="1" t="str">
        <f>HYPERLINK("https://klocwork.india.ti.com:443/review/insight-review.html#issuedetails_goto:problemid=120655,project=MCU_PLUS_SDK_AM263X,searchquery=taxonomy:'C and C++' build:Build_Apr_13_2023_11_11_AM grouping:off ","KW Issue Link")</f>
        <v>KW Issue Link</v>
      </c>
      <c r="O1774" s="1" t="s">
        <v>353</v>
      </c>
    </row>
    <row r="1775" spans="1:15" ht="60" x14ac:dyDescent="0.25">
      <c r="A1775" s="1" t="s">
        <v>1257</v>
      </c>
      <c r="B1775" s="1"/>
      <c r="C1775" s="1" t="s">
        <v>1201</v>
      </c>
      <c r="D1775" s="1">
        <v>120656</v>
      </c>
      <c r="E1775" s="1">
        <v>301</v>
      </c>
      <c r="F1775" s="1" t="s">
        <v>2638</v>
      </c>
      <c r="G1775" s="1" t="s">
        <v>1206</v>
      </c>
      <c r="H1775" s="1" t="s">
        <v>141</v>
      </c>
      <c r="I1775" s="1" t="s">
        <v>65</v>
      </c>
      <c r="J1775" s="1">
        <v>3</v>
      </c>
      <c r="K1775" s="1" t="s">
        <v>142</v>
      </c>
      <c r="L1775" s="1" t="s">
        <v>153</v>
      </c>
      <c r="M1775" s="1" t="s">
        <v>1256</v>
      </c>
      <c r="N1775" s="1" t="str">
        <f>HYPERLINK("https://klocwork.india.ti.com:443/review/insight-review.html#issuedetails_goto:problemid=120656,project=MCU_PLUS_SDK_AM263X,searchquery=taxonomy:'C and C++' build:Build_Apr_13_2023_11_11_AM grouping:off ","KW Issue Link")</f>
        <v>KW Issue Link</v>
      </c>
      <c r="O1775" s="1" t="s">
        <v>1083</v>
      </c>
    </row>
    <row r="1776" spans="1:15" ht="60" x14ac:dyDescent="0.25">
      <c r="A1776" s="1" t="s">
        <v>1257</v>
      </c>
      <c r="B1776" s="1"/>
      <c r="C1776" s="1" t="s">
        <v>1201</v>
      </c>
      <c r="D1776" s="1">
        <v>120657</v>
      </c>
      <c r="E1776" s="1">
        <v>475</v>
      </c>
      <c r="F1776" s="1" t="s">
        <v>2639</v>
      </c>
      <c r="G1776" s="1" t="s">
        <v>1208</v>
      </c>
      <c r="H1776" s="1" t="s">
        <v>141</v>
      </c>
      <c r="I1776" s="1" t="s">
        <v>65</v>
      </c>
      <c r="J1776" s="1">
        <v>3</v>
      </c>
      <c r="K1776" s="1" t="s">
        <v>142</v>
      </c>
      <c r="L1776" s="1" t="s">
        <v>153</v>
      </c>
      <c r="M1776" s="1" t="s">
        <v>1256</v>
      </c>
      <c r="N1776" s="1" t="str">
        <f>HYPERLINK("https://klocwork.india.ti.com:443/review/insight-review.html#issuedetails_goto:problemid=120657,project=MCU_PLUS_SDK_AM263X,searchquery=taxonomy:'C and C++' build:Build_Apr_13_2023_11_11_AM grouping:off ","KW Issue Link")</f>
        <v>KW Issue Link</v>
      </c>
      <c r="O1776" s="1" t="s">
        <v>1083</v>
      </c>
    </row>
    <row r="1777" spans="1:15" ht="60" x14ac:dyDescent="0.25">
      <c r="A1777" s="1" t="s">
        <v>1257</v>
      </c>
      <c r="B1777" s="1"/>
      <c r="C1777" s="1" t="s">
        <v>1201</v>
      </c>
      <c r="D1777" s="1">
        <v>120658</v>
      </c>
      <c r="E1777" s="1">
        <v>625</v>
      </c>
      <c r="F1777" s="1" t="s">
        <v>2640</v>
      </c>
      <c r="G1777" s="1" t="s">
        <v>1209</v>
      </c>
      <c r="H1777" s="1" t="s">
        <v>141</v>
      </c>
      <c r="I1777" s="1" t="s">
        <v>65</v>
      </c>
      <c r="J1777" s="1">
        <v>3</v>
      </c>
      <c r="K1777" s="1" t="s">
        <v>142</v>
      </c>
      <c r="L1777" s="1" t="s">
        <v>153</v>
      </c>
      <c r="M1777" s="1" t="s">
        <v>1256</v>
      </c>
      <c r="N1777" s="1" t="str">
        <f>HYPERLINK("https://klocwork.india.ti.com:443/review/insight-review.html#issuedetails_goto:problemid=120658,project=MCU_PLUS_SDK_AM263X,searchquery=taxonomy:'C and C++' build:Build_Apr_13_2023_11_11_AM grouping:off ","KW Issue Link")</f>
        <v>KW Issue Link</v>
      </c>
      <c r="O1777" s="1" t="s">
        <v>1083</v>
      </c>
    </row>
    <row r="1778" spans="1:15" ht="60" x14ac:dyDescent="0.25">
      <c r="A1778" s="1" t="s">
        <v>1257</v>
      </c>
      <c r="B1778" s="1"/>
      <c r="C1778" s="1" t="s">
        <v>1201</v>
      </c>
      <c r="D1778" s="1">
        <v>120659</v>
      </c>
      <c r="E1778" s="1">
        <v>745</v>
      </c>
      <c r="F1778" s="1" t="s">
        <v>2641</v>
      </c>
      <c r="G1778" s="1" t="s">
        <v>1210</v>
      </c>
      <c r="H1778" s="1" t="s">
        <v>141</v>
      </c>
      <c r="I1778" s="1" t="s">
        <v>65</v>
      </c>
      <c r="J1778" s="1">
        <v>3</v>
      </c>
      <c r="K1778" s="1" t="s">
        <v>142</v>
      </c>
      <c r="L1778" s="1" t="s">
        <v>153</v>
      </c>
      <c r="M1778" s="1" t="s">
        <v>1256</v>
      </c>
      <c r="N1778" s="1" t="str">
        <f>HYPERLINK("https://klocwork.india.ti.com:443/review/insight-review.html#issuedetails_goto:problemid=120659,project=MCU_PLUS_SDK_AM263X,searchquery=taxonomy:'C and C++' build:Build_Apr_13_2023_11_11_AM grouping:off ","KW Issue Link")</f>
        <v>KW Issue Link</v>
      </c>
      <c r="O1778" s="1" t="s">
        <v>1083</v>
      </c>
    </row>
    <row r="1779" spans="1:15" ht="60" x14ac:dyDescent="0.25">
      <c r="A1779" s="1" t="s">
        <v>1257</v>
      </c>
      <c r="B1779" s="1"/>
      <c r="C1779" s="1" t="s">
        <v>1201</v>
      </c>
      <c r="D1779" s="1">
        <v>120660</v>
      </c>
      <c r="E1779" s="1">
        <v>976</v>
      </c>
      <c r="F1779" s="1" t="s">
        <v>2642</v>
      </c>
      <c r="G1779" s="1" t="s">
        <v>2643</v>
      </c>
      <c r="H1779" s="1" t="s">
        <v>141</v>
      </c>
      <c r="I1779" s="1" t="s">
        <v>65</v>
      </c>
      <c r="J1779" s="1">
        <v>3</v>
      </c>
      <c r="K1779" s="1" t="s">
        <v>142</v>
      </c>
      <c r="L1779" s="1" t="s">
        <v>153</v>
      </c>
      <c r="M1779" s="1" t="s">
        <v>1256</v>
      </c>
      <c r="N1779" s="1" t="str">
        <f>HYPERLINK("https://klocwork.india.ti.com:443/review/insight-review.html#issuedetails_goto:problemid=120660,project=MCU_PLUS_SDK_AM263X,searchquery=taxonomy:'C and C++' build:Build_Apr_13_2023_11_11_AM grouping:off ","KW Issue Link")</f>
        <v>KW Issue Link</v>
      </c>
      <c r="O1779" s="1" t="s">
        <v>1083</v>
      </c>
    </row>
    <row r="1780" spans="1:15" ht="60" x14ac:dyDescent="0.25">
      <c r="A1780" s="1" t="s">
        <v>1266</v>
      </c>
      <c r="B1780" s="1"/>
      <c r="C1780" s="1" t="s">
        <v>1201</v>
      </c>
      <c r="D1780" s="1">
        <v>120661</v>
      </c>
      <c r="E1780" s="1">
        <v>301</v>
      </c>
      <c r="F1780" s="1" t="s">
        <v>2644</v>
      </c>
      <c r="G1780" s="1" t="s">
        <v>1206</v>
      </c>
      <c r="H1780" s="1" t="s">
        <v>141</v>
      </c>
      <c r="I1780" s="1" t="s">
        <v>65</v>
      </c>
      <c r="J1780" s="1">
        <v>3</v>
      </c>
      <c r="K1780" s="1" t="s">
        <v>142</v>
      </c>
      <c r="L1780" s="1" t="s">
        <v>153</v>
      </c>
      <c r="M1780" s="1" t="s">
        <v>1256</v>
      </c>
      <c r="N1780" s="1" t="str">
        <f>HYPERLINK("https://klocwork.india.ti.com:443/review/insight-review.html#issuedetails_goto:problemid=120661,project=MCU_PLUS_SDK_AM263X,searchquery=taxonomy:'C and C++' build:Build_Apr_13_2023_11_11_AM grouping:off ","KW Issue Link")</f>
        <v>KW Issue Link</v>
      </c>
      <c r="O1780" s="1" t="s">
        <v>1083</v>
      </c>
    </row>
    <row r="1781" spans="1:15" ht="60" x14ac:dyDescent="0.25">
      <c r="A1781" s="1" t="s">
        <v>1266</v>
      </c>
      <c r="B1781" s="1"/>
      <c r="C1781" s="1" t="s">
        <v>1201</v>
      </c>
      <c r="D1781" s="1">
        <v>120662</v>
      </c>
      <c r="E1781" s="1">
        <v>475</v>
      </c>
      <c r="F1781" s="1" t="s">
        <v>2645</v>
      </c>
      <c r="G1781" s="1" t="s">
        <v>1208</v>
      </c>
      <c r="H1781" s="1" t="s">
        <v>141</v>
      </c>
      <c r="I1781" s="1" t="s">
        <v>65</v>
      </c>
      <c r="J1781" s="1">
        <v>3</v>
      </c>
      <c r="K1781" s="1" t="s">
        <v>142</v>
      </c>
      <c r="L1781" s="1" t="s">
        <v>153</v>
      </c>
      <c r="M1781" s="1" t="s">
        <v>1256</v>
      </c>
      <c r="N1781" s="1" t="str">
        <f>HYPERLINK("https://klocwork.india.ti.com:443/review/insight-review.html#issuedetails_goto:problemid=120662,project=MCU_PLUS_SDK_AM263X,searchquery=taxonomy:'C and C++' build:Build_Apr_13_2023_11_11_AM grouping:off ","KW Issue Link")</f>
        <v>KW Issue Link</v>
      </c>
      <c r="O1781" s="1" t="s">
        <v>1083</v>
      </c>
    </row>
    <row r="1782" spans="1:15" ht="60" x14ac:dyDescent="0.25">
      <c r="A1782" s="1" t="s">
        <v>1268</v>
      </c>
      <c r="B1782" s="1"/>
      <c r="C1782" s="1" t="s">
        <v>1201</v>
      </c>
      <c r="D1782" s="1">
        <v>120663</v>
      </c>
      <c r="E1782" s="1">
        <v>301</v>
      </c>
      <c r="F1782" s="1" t="s">
        <v>2646</v>
      </c>
      <c r="G1782" s="1" t="s">
        <v>1206</v>
      </c>
      <c r="H1782" s="1" t="s">
        <v>141</v>
      </c>
      <c r="I1782" s="1" t="s">
        <v>65</v>
      </c>
      <c r="J1782" s="1">
        <v>3</v>
      </c>
      <c r="K1782" s="1" t="s">
        <v>142</v>
      </c>
      <c r="L1782" s="1" t="s">
        <v>153</v>
      </c>
      <c r="M1782" s="1" t="s">
        <v>1256</v>
      </c>
      <c r="N1782" s="1" t="str">
        <f>HYPERLINK("https://klocwork.india.ti.com:443/review/insight-review.html#issuedetails_goto:problemid=120663,project=MCU_PLUS_SDK_AM263X,searchquery=taxonomy:'C and C++' build:Build_Apr_13_2023_11_11_AM grouping:off ","KW Issue Link")</f>
        <v>KW Issue Link</v>
      </c>
      <c r="O1782" s="1" t="s">
        <v>1083</v>
      </c>
    </row>
    <row r="1783" spans="1:15" ht="60" x14ac:dyDescent="0.25">
      <c r="A1783" s="1" t="s">
        <v>1268</v>
      </c>
      <c r="B1783" s="1"/>
      <c r="C1783" s="1" t="s">
        <v>1201</v>
      </c>
      <c r="D1783" s="1">
        <v>120664</v>
      </c>
      <c r="E1783" s="1">
        <v>475</v>
      </c>
      <c r="F1783" s="1" t="s">
        <v>2647</v>
      </c>
      <c r="G1783" s="1" t="s">
        <v>1208</v>
      </c>
      <c r="H1783" s="1" t="s">
        <v>141</v>
      </c>
      <c r="I1783" s="1" t="s">
        <v>65</v>
      </c>
      <c r="J1783" s="1">
        <v>3</v>
      </c>
      <c r="K1783" s="1" t="s">
        <v>142</v>
      </c>
      <c r="L1783" s="1" t="s">
        <v>153</v>
      </c>
      <c r="M1783" s="1" t="s">
        <v>1256</v>
      </c>
      <c r="N1783" s="1" t="str">
        <f>HYPERLINK("https://klocwork.india.ti.com:443/review/insight-review.html#issuedetails_goto:problemid=120664,project=MCU_PLUS_SDK_AM263X,searchquery=taxonomy:'C and C++' build:Build_Apr_13_2023_11_11_AM grouping:off ","KW Issue Link")</f>
        <v>KW Issue Link</v>
      </c>
      <c r="O1783" s="1" t="s">
        <v>1083</v>
      </c>
    </row>
    <row r="1784" spans="1:15" ht="60" x14ac:dyDescent="0.25">
      <c r="A1784" s="1" t="s">
        <v>1252</v>
      </c>
      <c r="B1784" s="1"/>
      <c r="C1784" s="1" t="s">
        <v>1201</v>
      </c>
      <c r="D1784" s="1">
        <v>120665</v>
      </c>
      <c r="E1784" s="1">
        <v>625</v>
      </c>
      <c r="F1784" s="1" t="s">
        <v>2648</v>
      </c>
      <c r="G1784" s="1" t="s">
        <v>1209</v>
      </c>
      <c r="H1784" s="1" t="s">
        <v>141</v>
      </c>
      <c r="I1784" s="1" t="s">
        <v>65</v>
      </c>
      <c r="J1784" s="1">
        <v>3</v>
      </c>
      <c r="K1784" s="1" t="s">
        <v>142</v>
      </c>
      <c r="L1784" s="1" t="s">
        <v>153</v>
      </c>
      <c r="M1784" s="1" t="s">
        <v>1256</v>
      </c>
      <c r="N1784" s="1" t="str">
        <f>HYPERLINK("https://klocwork.india.ti.com:443/review/insight-review.html#issuedetails_goto:problemid=120665,project=MCU_PLUS_SDK_AM263X,searchquery=taxonomy:'C and C++' build:Build_Apr_13_2023_11_11_AM grouping:off ","KW Issue Link")</f>
        <v>KW Issue Link</v>
      </c>
      <c r="O1784" s="1" t="s">
        <v>1083</v>
      </c>
    </row>
    <row r="1785" spans="1:15" ht="60" x14ac:dyDescent="0.25">
      <c r="A1785" s="1" t="s">
        <v>1252</v>
      </c>
      <c r="B1785" s="1"/>
      <c r="C1785" s="1" t="s">
        <v>201</v>
      </c>
      <c r="D1785" s="1">
        <v>120666</v>
      </c>
      <c r="E1785" s="1">
        <v>199</v>
      </c>
      <c r="F1785" s="1" t="s">
        <v>2649</v>
      </c>
      <c r="G1785" s="1" t="s">
        <v>2650</v>
      </c>
      <c r="H1785" s="1" t="s">
        <v>141</v>
      </c>
      <c r="I1785" s="1" t="s">
        <v>65</v>
      </c>
      <c r="J1785" s="1">
        <v>3</v>
      </c>
      <c r="K1785" s="1" t="s">
        <v>142</v>
      </c>
      <c r="L1785" s="1" t="s">
        <v>153</v>
      </c>
      <c r="M1785" s="1" t="s">
        <v>1256</v>
      </c>
      <c r="N1785" s="1" t="str">
        <f>HYPERLINK("https://klocwork.india.ti.com:443/review/insight-review.html#issuedetails_goto:problemid=120666,project=MCU_PLUS_SDK_AM263X,searchquery=taxonomy:'C and C++' build:Build_Apr_13_2023_11_11_AM grouping:off ","KW Issue Link")</f>
        <v>KW Issue Link</v>
      </c>
      <c r="O1785" s="1" t="s">
        <v>144</v>
      </c>
    </row>
    <row r="1786" spans="1:15" ht="60" x14ac:dyDescent="0.25">
      <c r="A1786" s="1" t="s">
        <v>1252</v>
      </c>
      <c r="B1786" s="1"/>
      <c r="C1786" s="1" t="s">
        <v>201</v>
      </c>
      <c r="D1786" s="1">
        <v>120667</v>
      </c>
      <c r="E1786" s="1">
        <v>228</v>
      </c>
      <c r="F1786" s="1" t="s">
        <v>2651</v>
      </c>
      <c r="G1786" s="1" t="s">
        <v>2652</v>
      </c>
      <c r="H1786" s="1" t="s">
        <v>141</v>
      </c>
      <c r="I1786" s="1" t="s">
        <v>65</v>
      </c>
      <c r="J1786" s="1">
        <v>3</v>
      </c>
      <c r="K1786" s="1" t="s">
        <v>142</v>
      </c>
      <c r="L1786" s="1" t="s">
        <v>153</v>
      </c>
      <c r="M1786" s="1" t="s">
        <v>1256</v>
      </c>
      <c r="N1786" s="1" t="str">
        <f>HYPERLINK("https://klocwork.india.ti.com:443/review/insight-review.html#issuedetails_goto:problemid=120667,project=MCU_PLUS_SDK_AM263X,searchquery=taxonomy:'C and C++' build:Build_Apr_13_2023_11_11_AM grouping:off ","KW Issue Link")</f>
        <v>KW Issue Link</v>
      </c>
      <c r="O1786" s="1" t="s">
        <v>144</v>
      </c>
    </row>
    <row r="1787" spans="1:15" ht="60" x14ac:dyDescent="0.25">
      <c r="A1787" s="1" t="s">
        <v>1252</v>
      </c>
      <c r="B1787" s="1"/>
      <c r="C1787" s="1" t="s">
        <v>201</v>
      </c>
      <c r="D1787" s="1">
        <v>120668</v>
      </c>
      <c r="E1787" s="1">
        <v>282</v>
      </c>
      <c r="F1787" s="1" t="s">
        <v>2653</v>
      </c>
      <c r="G1787" s="1" t="s">
        <v>2654</v>
      </c>
      <c r="H1787" s="1" t="s">
        <v>141</v>
      </c>
      <c r="I1787" s="1" t="s">
        <v>65</v>
      </c>
      <c r="J1787" s="1">
        <v>3</v>
      </c>
      <c r="K1787" s="1" t="s">
        <v>142</v>
      </c>
      <c r="L1787" s="1" t="s">
        <v>153</v>
      </c>
      <c r="M1787" s="1" t="s">
        <v>1256</v>
      </c>
      <c r="N1787" s="1" t="str">
        <f>HYPERLINK("https://klocwork.india.ti.com:443/review/insight-review.html#issuedetails_goto:problemid=120668,project=MCU_PLUS_SDK_AM263X,searchquery=taxonomy:'C and C++' build:Build_Apr_13_2023_11_11_AM grouping:off ","KW Issue Link")</f>
        <v>KW Issue Link</v>
      </c>
      <c r="O1787" s="1" t="s">
        <v>144</v>
      </c>
    </row>
    <row r="1788" spans="1:15" ht="60" x14ac:dyDescent="0.25">
      <c r="A1788" s="1" t="s">
        <v>1252</v>
      </c>
      <c r="B1788" s="1"/>
      <c r="C1788" s="1" t="s">
        <v>201</v>
      </c>
      <c r="D1788" s="1">
        <v>120669</v>
      </c>
      <c r="E1788" s="1">
        <v>307</v>
      </c>
      <c r="F1788" s="1" t="s">
        <v>2655</v>
      </c>
      <c r="G1788" s="1" t="s">
        <v>2656</v>
      </c>
      <c r="H1788" s="1" t="s">
        <v>141</v>
      </c>
      <c r="I1788" s="1" t="s">
        <v>65</v>
      </c>
      <c r="J1788" s="1">
        <v>3</v>
      </c>
      <c r="K1788" s="1" t="s">
        <v>142</v>
      </c>
      <c r="L1788" s="1" t="s">
        <v>153</v>
      </c>
      <c r="M1788" s="1" t="s">
        <v>1256</v>
      </c>
      <c r="N1788" s="1" t="str">
        <f>HYPERLINK("https://klocwork.india.ti.com:443/review/insight-review.html#issuedetails_goto:problemid=120669,project=MCU_PLUS_SDK_AM263X,searchquery=taxonomy:'C and C++' build:Build_Apr_13_2023_11_11_AM grouping:off ","KW Issue Link")</f>
        <v>KW Issue Link</v>
      </c>
      <c r="O1788" s="1" t="s">
        <v>144</v>
      </c>
    </row>
    <row r="1789" spans="1:15" ht="60" x14ac:dyDescent="0.25">
      <c r="A1789" s="1" t="s">
        <v>1252</v>
      </c>
      <c r="B1789" s="1"/>
      <c r="C1789" s="1" t="s">
        <v>201</v>
      </c>
      <c r="D1789" s="1">
        <v>120670</v>
      </c>
      <c r="E1789" s="1">
        <v>340</v>
      </c>
      <c r="F1789" s="1" t="s">
        <v>2657</v>
      </c>
      <c r="G1789" s="1" t="s">
        <v>203</v>
      </c>
      <c r="H1789" s="1" t="s">
        <v>141</v>
      </c>
      <c r="I1789" s="1" t="s">
        <v>65</v>
      </c>
      <c r="J1789" s="1">
        <v>3</v>
      </c>
      <c r="K1789" s="1" t="s">
        <v>142</v>
      </c>
      <c r="L1789" s="1" t="s">
        <v>153</v>
      </c>
      <c r="M1789" s="1" t="s">
        <v>1256</v>
      </c>
      <c r="N1789" s="1" t="str">
        <f>HYPERLINK("https://klocwork.india.ti.com:443/review/insight-review.html#issuedetails_goto:problemid=120670,project=MCU_PLUS_SDK_AM263X,searchquery=taxonomy:'C and C++' build:Build_Apr_13_2023_11_11_AM grouping:off ","KW Issue Link")</f>
        <v>KW Issue Link</v>
      </c>
      <c r="O1789" s="1" t="s">
        <v>144</v>
      </c>
    </row>
    <row r="1790" spans="1:15" ht="60" x14ac:dyDescent="0.25">
      <c r="A1790" s="1" t="s">
        <v>1252</v>
      </c>
      <c r="B1790" s="1"/>
      <c r="C1790" s="1" t="s">
        <v>201</v>
      </c>
      <c r="D1790" s="1">
        <v>120671</v>
      </c>
      <c r="E1790" s="1">
        <v>468</v>
      </c>
      <c r="F1790" s="1" t="s">
        <v>2658</v>
      </c>
      <c r="G1790" s="1" t="s">
        <v>2659</v>
      </c>
      <c r="H1790" s="1" t="s">
        <v>141</v>
      </c>
      <c r="I1790" s="1" t="s">
        <v>65</v>
      </c>
      <c r="J1790" s="1">
        <v>3</v>
      </c>
      <c r="K1790" s="1" t="s">
        <v>142</v>
      </c>
      <c r="L1790" s="1" t="s">
        <v>153</v>
      </c>
      <c r="M1790" s="1" t="s">
        <v>1256</v>
      </c>
      <c r="N1790" s="1" t="str">
        <f>HYPERLINK("https://klocwork.india.ti.com:443/review/insight-review.html#issuedetails_goto:problemid=120671,project=MCU_PLUS_SDK_AM263X,searchquery=taxonomy:'C and C++' build:Build_Apr_13_2023_11_11_AM grouping:off ","KW Issue Link")</f>
        <v>KW Issue Link</v>
      </c>
      <c r="O1790" s="1" t="s">
        <v>144</v>
      </c>
    </row>
    <row r="1791" spans="1:15" ht="60" x14ac:dyDescent="0.25">
      <c r="A1791" s="1" t="s">
        <v>1257</v>
      </c>
      <c r="B1791" s="1"/>
      <c r="C1791" s="1" t="s">
        <v>201</v>
      </c>
      <c r="D1791" s="1">
        <v>120672</v>
      </c>
      <c r="E1791" s="1">
        <v>228</v>
      </c>
      <c r="F1791" s="1" t="s">
        <v>2660</v>
      </c>
      <c r="G1791" s="1" t="s">
        <v>2652</v>
      </c>
      <c r="H1791" s="1" t="s">
        <v>141</v>
      </c>
      <c r="I1791" s="1" t="s">
        <v>65</v>
      </c>
      <c r="J1791" s="1">
        <v>3</v>
      </c>
      <c r="K1791" s="1" t="s">
        <v>142</v>
      </c>
      <c r="L1791" s="1" t="s">
        <v>153</v>
      </c>
      <c r="M1791" s="1" t="s">
        <v>1256</v>
      </c>
      <c r="N1791" s="1" t="str">
        <f>HYPERLINK("https://klocwork.india.ti.com:443/review/insight-review.html#issuedetails_goto:problemid=120672,project=MCU_PLUS_SDK_AM263X,searchquery=taxonomy:'C and C++' build:Build_Apr_13_2023_11_11_AM grouping:off ","KW Issue Link")</f>
        <v>KW Issue Link</v>
      </c>
      <c r="O1791" s="1" t="s">
        <v>144</v>
      </c>
    </row>
    <row r="1792" spans="1:15" ht="60" x14ac:dyDescent="0.25">
      <c r="A1792" s="1" t="s">
        <v>1257</v>
      </c>
      <c r="B1792" s="1"/>
      <c r="C1792" s="1" t="s">
        <v>201</v>
      </c>
      <c r="D1792" s="1">
        <v>120673</v>
      </c>
      <c r="E1792" s="1">
        <v>340</v>
      </c>
      <c r="F1792" s="1" t="s">
        <v>2661</v>
      </c>
      <c r="G1792" s="1" t="s">
        <v>203</v>
      </c>
      <c r="H1792" s="1" t="s">
        <v>141</v>
      </c>
      <c r="I1792" s="1" t="s">
        <v>65</v>
      </c>
      <c r="J1792" s="1">
        <v>3</v>
      </c>
      <c r="K1792" s="1" t="s">
        <v>142</v>
      </c>
      <c r="L1792" s="1" t="s">
        <v>153</v>
      </c>
      <c r="M1792" s="1" t="s">
        <v>1256</v>
      </c>
      <c r="N1792" s="1" t="str">
        <f>HYPERLINK("https://klocwork.india.ti.com:443/review/insight-review.html#issuedetails_goto:problemid=120673,project=MCU_PLUS_SDK_AM263X,searchquery=taxonomy:'C and C++' build:Build_Apr_13_2023_11_11_AM grouping:off ","KW Issue Link")</f>
        <v>KW Issue Link</v>
      </c>
      <c r="O1792" s="1" t="s">
        <v>144</v>
      </c>
    </row>
    <row r="1793" spans="1:15" ht="60" x14ac:dyDescent="0.25">
      <c r="A1793" s="1" t="s">
        <v>1257</v>
      </c>
      <c r="B1793" s="1"/>
      <c r="C1793" s="1" t="s">
        <v>201</v>
      </c>
      <c r="D1793" s="1">
        <v>120674</v>
      </c>
      <c r="E1793" s="1">
        <v>578</v>
      </c>
      <c r="F1793" s="1" t="s">
        <v>2662</v>
      </c>
      <c r="G1793" s="1" t="s">
        <v>206</v>
      </c>
      <c r="H1793" s="1" t="s">
        <v>141</v>
      </c>
      <c r="I1793" s="1" t="s">
        <v>65</v>
      </c>
      <c r="J1793" s="1">
        <v>3</v>
      </c>
      <c r="K1793" s="1" t="s">
        <v>142</v>
      </c>
      <c r="L1793" s="1" t="s">
        <v>153</v>
      </c>
      <c r="M1793" s="1" t="s">
        <v>1256</v>
      </c>
      <c r="N1793" s="1" t="str">
        <f>HYPERLINK("https://klocwork.india.ti.com:443/review/insight-review.html#issuedetails_goto:problemid=120674,project=MCU_PLUS_SDK_AM263X,searchquery=taxonomy:'C and C++' build:Build_Apr_13_2023_11_11_AM grouping:off ","KW Issue Link")</f>
        <v>KW Issue Link</v>
      </c>
      <c r="O1793" s="1" t="s">
        <v>144</v>
      </c>
    </row>
    <row r="1794" spans="1:15" ht="60" x14ac:dyDescent="0.25">
      <c r="A1794" s="1" t="s">
        <v>1266</v>
      </c>
      <c r="B1794" s="1"/>
      <c r="C1794" s="1" t="s">
        <v>201</v>
      </c>
      <c r="D1794" s="1">
        <v>120675</v>
      </c>
      <c r="E1794" s="1">
        <v>228</v>
      </c>
      <c r="F1794" s="1" t="s">
        <v>2663</v>
      </c>
      <c r="G1794" s="1" t="s">
        <v>2652</v>
      </c>
      <c r="H1794" s="1" t="s">
        <v>141</v>
      </c>
      <c r="I1794" s="1" t="s">
        <v>65</v>
      </c>
      <c r="J1794" s="1">
        <v>3</v>
      </c>
      <c r="K1794" s="1" t="s">
        <v>142</v>
      </c>
      <c r="L1794" s="1" t="s">
        <v>153</v>
      </c>
      <c r="M1794" s="1" t="s">
        <v>1256</v>
      </c>
      <c r="N1794" s="1" t="str">
        <f>HYPERLINK("https://klocwork.india.ti.com:443/review/insight-review.html#issuedetails_goto:problemid=120675,project=MCU_PLUS_SDK_AM263X,searchquery=taxonomy:'C and C++' build:Build_Apr_13_2023_11_11_AM grouping:off ","KW Issue Link")</f>
        <v>KW Issue Link</v>
      </c>
      <c r="O1794" s="1" t="s">
        <v>144</v>
      </c>
    </row>
    <row r="1795" spans="1:15" ht="60" x14ac:dyDescent="0.25">
      <c r="A1795" s="1" t="s">
        <v>1266</v>
      </c>
      <c r="B1795" s="1"/>
      <c r="C1795" s="1" t="s">
        <v>201</v>
      </c>
      <c r="D1795" s="1">
        <v>120676</v>
      </c>
      <c r="E1795" s="1">
        <v>340</v>
      </c>
      <c r="F1795" s="1" t="s">
        <v>2664</v>
      </c>
      <c r="G1795" s="1" t="s">
        <v>203</v>
      </c>
      <c r="H1795" s="1" t="s">
        <v>141</v>
      </c>
      <c r="I1795" s="1" t="s">
        <v>65</v>
      </c>
      <c r="J1795" s="1">
        <v>3</v>
      </c>
      <c r="K1795" s="1" t="s">
        <v>142</v>
      </c>
      <c r="L1795" s="1" t="s">
        <v>153</v>
      </c>
      <c r="M1795" s="1" t="s">
        <v>1256</v>
      </c>
      <c r="N1795" s="1" t="str">
        <f>HYPERLINK("https://klocwork.india.ti.com:443/review/insight-review.html#issuedetails_goto:problemid=120676,project=MCU_PLUS_SDK_AM263X,searchquery=taxonomy:'C and C++' build:Build_Apr_13_2023_11_11_AM grouping:off ","KW Issue Link")</f>
        <v>KW Issue Link</v>
      </c>
      <c r="O1795" s="1" t="s">
        <v>144</v>
      </c>
    </row>
    <row r="1796" spans="1:15" ht="60" x14ac:dyDescent="0.25">
      <c r="A1796" s="1" t="s">
        <v>1266</v>
      </c>
      <c r="B1796" s="1"/>
      <c r="C1796" s="1" t="s">
        <v>201</v>
      </c>
      <c r="D1796" s="1">
        <v>120677</v>
      </c>
      <c r="E1796" s="1">
        <v>468</v>
      </c>
      <c r="F1796" s="1" t="s">
        <v>2665</v>
      </c>
      <c r="G1796" s="1" t="s">
        <v>2659</v>
      </c>
      <c r="H1796" s="1" t="s">
        <v>141</v>
      </c>
      <c r="I1796" s="1" t="s">
        <v>65</v>
      </c>
      <c r="J1796" s="1">
        <v>3</v>
      </c>
      <c r="K1796" s="1" t="s">
        <v>142</v>
      </c>
      <c r="L1796" s="1" t="s">
        <v>153</v>
      </c>
      <c r="M1796" s="1" t="s">
        <v>1256</v>
      </c>
      <c r="N1796" s="1" t="str">
        <f>HYPERLINK("https://klocwork.india.ti.com:443/review/insight-review.html#issuedetails_goto:problemid=120677,project=MCU_PLUS_SDK_AM263X,searchquery=taxonomy:'C and C++' build:Build_Apr_13_2023_11_11_AM grouping:off ","KW Issue Link")</f>
        <v>KW Issue Link</v>
      </c>
      <c r="O1796" s="1" t="s">
        <v>144</v>
      </c>
    </row>
    <row r="1797" spans="1:15" ht="60" x14ac:dyDescent="0.25">
      <c r="A1797" s="1" t="s">
        <v>1266</v>
      </c>
      <c r="B1797" s="1"/>
      <c r="C1797" s="1" t="s">
        <v>201</v>
      </c>
      <c r="D1797" s="1">
        <v>120678</v>
      </c>
      <c r="E1797" s="1">
        <v>578</v>
      </c>
      <c r="F1797" s="1" t="s">
        <v>2666</v>
      </c>
      <c r="G1797" s="1" t="s">
        <v>206</v>
      </c>
      <c r="H1797" s="1" t="s">
        <v>141</v>
      </c>
      <c r="I1797" s="1" t="s">
        <v>65</v>
      </c>
      <c r="J1797" s="1">
        <v>3</v>
      </c>
      <c r="K1797" s="1" t="s">
        <v>142</v>
      </c>
      <c r="L1797" s="1" t="s">
        <v>153</v>
      </c>
      <c r="M1797" s="1" t="s">
        <v>1256</v>
      </c>
      <c r="N1797" s="1" t="str">
        <f>HYPERLINK("https://klocwork.india.ti.com:443/review/insight-review.html#issuedetails_goto:problemid=120678,project=MCU_PLUS_SDK_AM263X,searchquery=taxonomy:'C and C++' build:Build_Apr_13_2023_11_11_AM grouping:off ","KW Issue Link")</f>
        <v>KW Issue Link</v>
      </c>
      <c r="O1797" s="1" t="s">
        <v>144</v>
      </c>
    </row>
    <row r="1798" spans="1:15" ht="60" x14ac:dyDescent="0.25">
      <c r="A1798" s="1" t="s">
        <v>1268</v>
      </c>
      <c r="B1798" s="1"/>
      <c r="C1798" s="1" t="s">
        <v>201</v>
      </c>
      <c r="D1798" s="1">
        <v>120679</v>
      </c>
      <c r="E1798" s="1">
        <v>228</v>
      </c>
      <c r="F1798" s="1" t="s">
        <v>2667</v>
      </c>
      <c r="G1798" s="1" t="s">
        <v>2652</v>
      </c>
      <c r="H1798" s="1" t="s">
        <v>141</v>
      </c>
      <c r="I1798" s="1" t="s">
        <v>65</v>
      </c>
      <c r="J1798" s="1">
        <v>3</v>
      </c>
      <c r="K1798" s="1" t="s">
        <v>142</v>
      </c>
      <c r="L1798" s="1" t="s">
        <v>153</v>
      </c>
      <c r="M1798" s="1" t="s">
        <v>1256</v>
      </c>
      <c r="N1798" s="1" t="str">
        <f>HYPERLINK("https://klocwork.india.ti.com:443/review/insight-review.html#issuedetails_goto:problemid=120679,project=MCU_PLUS_SDK_AM263X,searchquery=taxonomy:'C and C++' build:Build_Apr_13_2023_11_11_AM grouping:off ","KW Issue Link")</f>
        <v>KW Issue Link</v>
      </c>
      <c r="O1798" s="1" t="s">
        <v>144</v>
      </c>
    </row>
    <row r="1799" spans="1:15" ht="60" x14ac:dyDescent="0.25">
      <c r="A1799" s="1" t="s">
        <v>1268</v>
      </c>
      <c r="B1799" s="1"/>
      <c r="C1799" s="1" t="s">
        <v>201</v>
      </c>
      <c r="D1799" s="1">
        <v>120680</v>
      </c>
      <c r="E1799" s="1">
        <v>340</v>
      </c>
      <c r="F1799" s="1" t="s">
        <v>2668</v>
      </c>
      <c r="G1799" s="1" t="s">
        <v>203</v>
      </c>
      <c r="H1799" s="1" t="s">
        <v>141</v>
      </c>
      <c r="I1799" s="1" t="s">
        <v>65</v>
      </c>
      <c r="J1799" s="1">
        <v>3</v>
      </c>
      <c r="K1799" s="1" t="s">
        <v>142</v>
      </c>
      <c r="L1799" s="1" t="s">
        <v>153</v>
      </c>
      <c r="M1799" s="1" t="s">
        <v>1256</v>
      </c>
      <c r="N1799" s="1" t="str">
        <f>HYPERLINK("https://klocwork.india.ti.com:443/review/insight-review.html#issuedetails_goto:problemid=120680,project=MCU_PLUS_SDK_AM263X,searchquery=taxonomy:'C and C++' build:Build_Apr_13_2023_11_11_AM grouping:off ","KW Issue Link")</f>
        <v>KW Issue Link</v>
      </c>
      <c r="O1799" s="1" t="s">
        <v>144</v>
      </c>
    </row>
    <row r="1800" spans="1:15" ht="60" x14ac:dyDescent="0.25">
      <c r="A1800" s="1" t="s">
        <v>1268</v>
      </c>
      <c r="B1800" s="1"/>
      <c r="C1800" s="1" t="s">
        <v>201</v>
      </c>
      <c r="D1800" s="1">
        <v>120681</v>
      </c>
      <c r="E1800" s="1">
        <v>468</v>
      </c>
      <c r="F1800" s="1" t="s">
        <v>2669</v>
      </c>
      <c r="G1800" s="1" t="s">
        <v>2659</v>
      </c>
      <c r="H1800" s="1" t="s">
        <v>141</v>
      </c>
      <c r="I1800" s="1" t="s">
        <v>65</v>
      </c>
      <c r="J1800" s="1">
        <v>3</v>
      </c>
      <c r="K1800" s="1" t="s">
        <v>142</v>
      </c>
      <c r="L1800" s="1" t="s">
        <v>153</v>
      </c>
      <c r="M1800" s="1" t="s">
        <v>1256</v>
      </c>
      <c r="N1800" s="1" t="str">
        <f>HYPERLINK("https://klocwork.india.ti.com:443/review/insight-review.html#issuedetails_goto:problemid=120681,project=MCU_PLUS_SDK_AM263X,searchquery=taxonomy:'C and C++' build:Build_Apr_13_2023_11_11_AM grouping:off ","KW Issue Link")</f>
        <v>KW Issue Link</v>
      </c>
      <c r="O1800" s="1" t="s">
        <v>144</v>
      </c>
    </row>
    <row r="1801" spans="1:15" ht="60" x14ac:dyDescent="0.25">
      <c r="A1801" s="1" t="s">
        <v>1268</v>
      </c>
      <c r="B1801" s="1"/>
      <c r="C1801" s="1" t="s">
        <v>201</v>
      </c>
      <c r="D1801" s="1">
        <v>120682</v>
      </c>
      <c r="E1801" s="1">
        <v>578</v>
      </c>
      <c r="F1801" s="1" t="s">
        <v>2670</v>
      </c>
      <c r="G1801" s="1" t="s">
        <v>206</v>
      </c>
      <c r="H1801" s="1" t="s">
        <v>141</v>
      </c>
      <c r="I1801" s="1" t="s">
        <v>65</v>
      </c>
      <c r="J1801" s="1">
        <v>3</v>
      </c>
      <c r="K1801" s="1" t="s">
        <v>142</v>
      </c>
      <c r="L1801" s="1" t="s">
        <v>153</v>
      </c>
      <c r="M1801" s="1" t="s">
        <v>1256</v>
      </c>
      <c r="N1801" s="1" t="str">
        <f>HYPERLINK("https://klocwork.india.ti.com:443/review/insight-review.html#issuedetails_goto:problemid=120682,project=MCU_PLUS_SDK_AM263X,searchquery=taxonomy:'C and C++' build:Build_Apr_13_2023_11_11_AM grouping:off ","KW Issue Link")</f>
        <v>KW Issue Link</v>
      </c>
      <c r="O1801" s="1" t="s">
        <v>144</v>
      </c>
    </row>
    <row r="1802" spans="1:15" ht="60" x14ac:dyDescent="0.25">
      <c r="A1802" s="1" t="s">
        <v>1257</v>
      </c>
      <c r="B1802" s="1"/>
      <c r="C1802" s="1" t="s">
        <v>279</v>
      </c>
      <c r="D1802" s="1">
        <v>120683</v>
      </c>
      <c r="E1802" s="1">
        <v>154</v>
      </c>
      <c r="F1802" s="1" t="s">
        <v>2671</v>
      </c>
      <c r="G1802" s="1" t="s">
        <v>2672</v>
      </c>
      <c r="H1802" s="1" t="s">
        <v>141</v>
      </c>
      <c r="I1802" s="1" t="s">
        <v>65</v>
      </c>
      <c r="J1802" s="1">
        <v>3</v>
      </c>
      <c r="K1802" s="1" t="s">
        <v>142</v>
      </c>
      <c r="L1802" s="1" t="s">
        <v>153</v>
      </c>
      <c r="M1802" s="1" t="s">
        <v>1256</v>
      </c>
      <c r="N1802" s="1" t="str">
        <f>HYPERLINK("https://klocwork.india.ti.com:443/review/insight-review.html#issuedetails_goto:problemid=120683,project=MCU_PLUS_SDK_AM263X,searchquery=taxonomy:'C and C++' build:Build_Apr_13_2023_11_11_AM grouping:off ","KW Issue Link")</f>
        <v>KW Issue Link</v>
      </c>
      <c r="O1802" s="1" t="s">
        <v>281</v>
      </c>
    </row>
    <row r="1803" spans="1:15" ht="60" x14ac:dyDescent="0.25">
      <c r="A1803" s="1" t="s">
        <v>1266</v>
      </c>
      <c r="B1803" s="1"/>
      <c r="C1803" s="1" t="s">
        <v>279</v>
      </c>
      <c r="D1803" s="1">
        <v>120684</v>
      </c>
      <c r="E1803" s="1">
        <v>154</v>
      </c>
      <c r="F1803" s="1" t="s">
        <v>2673</v>
      </c>
      <c r="G1803" s="1" t="s">
        <v>2672</v>
      </c>
      <c r="H1803" s="1" t="s">
        <v>141</v>
      </c>
      <c r="I1803" s="1" t="s">
        <v>65</v>
      </c>
      <c r="J1803" s="1">
        <v>3</v>
      </c>
      <c r="K1803" s="1" t="s">
        <v>142</v>
      </c>
      <c r="L1803" s="1" t="s">
        <v>153</v>
      </c>
      <c r="M1803" s="1" t="s">
        <v>1256</v>
      </c>
      <c r="N1803" s="1" t="str">
        <f>HYPERLINK("https://klocwork.india.ti.com:443/review/insight-review.html#issuedetails_goto:problemid=120684,project=MCU_PLUS_SDK_AM263X,searchquery=taxonomy:'C and C++' build:Build_Apr_13_2023_11_11_AM grouping:off ","KW Issue Link")</f>
        <v>KW Issue Link</v>
      </c>
      <c r="O1803" s="1" t="s">
        <v>281</v>
      </c>
    </row>
    <row r="1804" spans="1:15" ht="60" x14ac:dyDescent="0.25">
      <c r="A1804" s="1" t="s">
        <v>1266</v>
      </c>
      <c r="B1804" s="1"/>
      <c r="C1804" s="1" t="s">
        <v>279</v>
      </c>
      <c r="D1804" s="1">
        <v>120685</v>
      </c>
      <c r="E1804" s="1">
        <v>553</v>
      </c>
      <c r="F1804" s="1" t="s">
        <v>2674</v>
      </c>
      <c r="G1804" s="1" t="s">
        <v>2675</v>
      </c>
      <c r="H1804" s="1" t="s">
        <v>141</v>
      </c>
      <c r="I1804" s="1" t="s">
        <v>65</v>
      </c>
      <c r="J1804" s="1">
        <v>3</v>
      </c>
      <c r="K1804" s="1" t="s">
        <v>142</v>
      </c>
      <c r="L1804" s="1" t="s">
        <v>153</v>
      </c>
      <c r="M1804" s="1" t="s">
        <v>1256</v>
      </c>
      <c r="N1804" s="1" t="str">
        <f>HYPERLINK("https://klocwork.india.ti.com:443/review/insight-review.html#issuedetails_goto:problemid=120685,project=MCU_PLUS_SDK_AM263X,searchquery=taxonomy:'C and C++' build:Build_Apr_13_2023_11_11_AM grouping:off ","KW Issue Link")</f>
        <v>KW Issue Link</v>
      </c>
      <c r="O1804" s="1" t="s">
        <v>281</v>
      </c>
    </row>
    <row r="1805" spans="1:15" ht="60" x14ac:dyDescent="0.25">
      <c r="A1805" s="1" t="s">
        <v>1268</v>
      </c>
      <c r="B1805" s="1"/>
      <c r="C1805" s="1" t="s">
        <v>279</v>
      </c>
      <c r="D1805" s="1">
        <v>120686</v>
      </c>
      <c r="E1805" s="1">
        <v>154</v>
      </c>
      <c r="F1805" s="1" t="s">
        <v>2676</v>
      </c>
      <c r="G1805" s="1" t="s">
        <v>2672</v>
      </c>
      <c r="H1805" s="1" t="s">
        <v>141</v>
      </c>
      <c r="I1805" s="1" t="s">
        <v>65</v>
      </c>
      <c r="J1805" s="1">
        <v>3</v>
      </c>
      <c r="K1805" s="1" t="s">
        <v>142</v>
      </c>
      <c r="L1805" s="1" t="s">
        <v>153</v>
      </c>
      <c r="M1805" s="1" t="s">
        <v>1256</v>
      </c>
      <c r="N1805" s="1" t="str">
        <f>HYPERLINK("https://klocwork.india.ti.com:443/review/insight-review.html#issuedetails_goto:problemid=120686,project=MCU_PLUS_SDK_AM263X,searchquery=taxonomy:'C and C++' build:Build_Apr_13_2023_11_11_AM grouping:off ","KW Issue Link")</f>
        <v>KW Issue Link</v>
      </c>
      <c r="O1805" s="1" t="s">
        <v>281</v>
      </c>
    </row>
    <row r="1806" spans="1:15" ht="60" x14ac:dyDescent="0.25">
      <c r="A1806" s="1" t="s">
        <v>1252</v>
      </c>
      <c r="B1806" s="1"/>
      <c r="C1806" s="1" t="s">
        <v>279</v>
      </c>
      <c r="D1806" s="1">
        <v>120687</v>
      </c>
      <c r="E1806" s="1">
        <v>247</v>
      </c>
      <c r="F1806" s="1" t="s">
        <v>2677</v>
      </c>
      <c r="G1806" s="1" t="s">
        <v>280</v>
      </c>
      <c r="H1806" s="1" t="s">
        <v>141</v>
      </c>
      <c r="I1806" s="1" t="s">
        <v>65</v>
      </c>
      <c r="J1806" s="1">
        <v>3</v>
      </c>
      <c r="K1806" s="1" t="s">
        <v>142</v>
      </c>
      <c r="L1806" s="1" t="s">
        <v>153</v>
      </c>
      <c r="M1806" s="1" t="s">
        <v>1256</v>
      </c>
      <c r="N1806" s="1" t="str">
        <f>HYPERLINK("https://klocwork.india.ti.com:443/review/insight-review.html#issuedetails_goto:problemid=120687,project=MCU_PLUS_SDK_AM263X,searchquery=taxonomy:'C and C++' build:Build_Apr_13_2023_11_11_AM grouping:off ","KW Issue Link")</f>
        <v>KW Issue Link</v>
      </c>
      <c r="O1806" s="1" t="s">
        <v>281</v>
      </c>
    </row>
    <row r="1807" spans="1:15" ht="45" x14ac:dyDescent="0.25">
      <c r="A1807" s="1" t="s">
        <v>1268</v>
      </c>
      <c r="B1807" s="1"/>
      <c r="C1807" s="1" t="s">
        <v>208</v>
      </c>
      <c r="D1807" s="1">
        <v>120689</v>
      </c>
      <c r="E1807" s="1">
        <v>193</v>
      </c>
      <c r="F1807" s="1" t="s">
        <v>2678</v>
      </c>
      <c r="G1807" s="1" t="s">
        <v>2679</v>
      </c>
      <c r="H1807" s="1" t="s">
        <v>141</v>
      </c>
      <c r="I1807" s="1" t="s">
        <v>65</v>
      </c>
      <c r="J1807" s="1">
        <v>3</v>
      </c>
      <c r="K1807" s="1" t="s">
        <v>142</v>
      </c>
      <c r="L1807" s="1" t="s">
        <v>153</v>
      </c>
      <c r="M1807" s="1" t="s">
        <v>1256</v>
      </c>
      <c r="N1807" s="1" t="str">
        <f>HYPERLINK("https://klocwork.india.ti.com:443/review/insight-review.html#issuedetails_goto:problemid=120689,project=MCU_PLUS_SDK_AM263X,searchquery=taxonomy:'C and C++' build:Build_Apr_13_2023_11_11_AM grouping:off ","KW Issue Link")</f>
        <v>KW Issue Link</v>
      </c>
      <c r="O1807" s="1" t="s">
        <v>211</v>
      </c>
    </row>
    <row r="1808" spans="1:15" ht="45" x14ac:dyDescent="0.25">
      <c r="A1808" s="1" t="s">
        <v>1257</v>
      </c>
      <c r="B1808" s="1"/>
      <c r="C1808" s="1" t="s">
        <v>208</v>
      </c>
      <c r="D1808" s="1">
        <v>120690</v>
      </c>
      <c r="E1808" s="1">
        <v>526</v>
      </c>
      <c r="F1808" s="1" t="s">
        <v>2680</v>
      </c>
      <c r="G1808" s="1" t="s">
        <v>2681</v>
      </c>
      <c r="H1808" s="1" t="s">
        <v>141</v>
      </c>
      <c r="I1808" s="1" t="s">
        <v>65</v>
      </c>
      <c r="J1808" s="1">
        <v>3</v>
      </c>
      <c r="K1808" s="1" t="s">
        <v>142</v>
      </c>
      <c r="L1808" s="1" t="s">
        <v>153</v>
      </c>
      <c r="M1808" s="1" t="s">
        <v>1256</v>
      </c>
      <c r="N1808" s="1" t="str">
        <f>HYPERLINK("https://klocwork.india.ti.com:443/review/insight-review.html#issuedetails_goto:problemid=120690,project=MCU_PLUS_SDK_AM263X,searchquery=taxonomy:'C and C++' build:Build_Apr_13_2023_11_11_AM grouping:off ","KW Issue Link")</f>
        <v>KW Issue Link</v>
      </c>
      <c r="O1808" s="1" t="s">
        <v>211</v>
      </c>
    </row>
    <row r="1809" spans="1:15" ht="45" x14ac:dyDescent="0.25">
      <c r="A1809" s="1" t="s">
        <v>1257</v>
      </c>
      <c r="B1809" s="1"/>
      <c r="C1809" s="1" t="s">
        <v>208</v>
      </c>
      <c r="D1809" s="1">
        <v>120691</v>
      </c>
      <c r="E1809" s="1">
        <v>564</v>
      </c>
      <c r="F1809" s="1" t="s">
        <v>2682</v>
      </c>
      <c r="G1809" s="1" t="s">
        <v>2683</v>
      </c>
      <c r="H1809" s="1" t="s">
        <v>141</v>
      </c>
      <c r="I1809" s="1" t="s">
        <v>65</v>
      </c>
      <c r="J1809" s="1">
        <v>3</v>
      </c>
      <c r="K1809" s="1" t="s">
        <v>142</v>
      </c>
      <c r="L1809" s="1" t="s">
        <v>153</v>
      </c>
      <c r="M1809" s="1" t="s">
        <v>1256</v>
      </c>
      <c r="N1809" s="1" t="str">
        <f>HYPERLINK("https://klocwork.india.ti.com:443/review/insight-review.html#issuedetails_goto:problemid=120691,project=MCU_PLUS_SDK_AM263X,searchquery=taxonomy:'C and C++' build:Build_Apr_13_2023_11_11_AM grouping:off ","KW Issue Link")</f>
        <v>KW Issue Link</v>
      </c>
      <c r="O1809" s="1" t="s">
        <v>211</v>
      </c>
    </row>
    <row r="1810" spans="1:15" ht="60" x14ac:dyDescent="0.25">
      <c r="A1810" s="1" t="s">
        <v>1257</v>
      </c>
      <c r="B1810" s="1"/>
      <c r="C1810" s="1" t="s">
        <v>2684</v>
      </c>
      <c r="D1810" s="1">
        <v>120692</v>
      </c>
      <c r="E1810" s="1">
        <v>84</v>
      </c>
      <c r="F1810" s="1" t="s">
        <v>2685</v>
      </c>
      <c r="G1810" s="1" t="s">
        <v>2686</v>
      </c>
      <c r="H1810" s="1" t="s">
        <v>141</v>
      </c>
      <c r="I1810" s="1" t="s">
        <v>65</v>
      </c>
      <c r="J1810" s="1">
        <v>3</v>
      </c>
      <c r="K1810" s="1" t="s">
        <v>142</v>
      </c>
      <c r="L1810" s="1" t="s">
        <v>153</v>
      </c>
      <c r="M1810" s="1" t="s">
        <v>1256</v>
      </c>
      <c r="N1810" s="1" t="str">
        <f>HYPERLINK("https://klocwork.india.ti.com:443/review/insight-review.html#issuedetails_goto:problemid=120692,project=MCU_PLUS_SDK_AM263X,searchquery=taxonomy:'C and C++' build:Build_Apr_13_2023_11_11_AM grouping:off ","KW Issue Link")</f>
        <v>KW Issue Link</v>
      </c>
      <c r="O1810" s="1" t="s">
        <v>211</v>
      </c>
    </row>
    <row r="1811" spans="1:15" ht="60" x14ac:dyDescent="0.25">
      <c r="A1811" s="1" t="s">
        <v>1257</v>
      </c>
      <c r="B1811" s="1"/>
      <c r="C1811" s="1" t="s">
        <v>214</v>
      </c>
      <c r="D1811" s="1">
        <v>120694</v>
      </c>
      <c r="E1811" s="1">
        <v>771</v>
      </c>
      <c r="F1811" s="1" t="s">
        <v>2687</v>
      </c>
      <c r="G1811" s="1" t="s">
        <v>1050</v>
      </c>
      <c r="H1811" s="1" t="s">
        <v>141</v>
      </c>
      <c r="I1811" s="1" t="s">
        <v>65</v>
      </c>
      <c r="J1811" s="1">
        <v>3</v>
      </c>
      <c r="K1811" s="1" t="s">
        <v>142</v>
      </c>
      <c r="L1811" s="1" t="s">
        <v>153</v>
      </c>
      <c r="M1811" s="1" t="s">
        <v>1256</v>
      </c>
      <c r="N1811" s="1" t="str">
        <f>HYPERLINK("https://klocwork.india.ti.com:443/review/insight-review.html#issuedetails_goto:problemid=120694,project=MCU_PLUS_SDK_AM263X,searchquery=taxonomy:'C and C++' build:Build_Apr_13_2023_11_11_AM grouping:off ","KW Issue Link")</f>
        <v>KW Issue Link</v>
      </c>
      <c r="O1811" s="1" t="s">
        <v>217</v>
      </c>
    </row>
    <row r="1812" spans="1:15" ht="60" x14ac:dyDescent="0.25">
      <c r="A1812" s="1" t="s">
        <v>1257</v>
      </c>
      <c r="B1812" s="1"/>
      <c r="C1812" s="1" t="s">
        <v>214</v>
      </c>
      <c r="D1812" s="1">
        <v>120695</v>
      </c>
      <c r="E1812" s="1">
        <v>983</v>
      </c>
      <c r="F1812" s="1" t="s">
        <v>2688</v>
      </c>
      <c r="G1812" s="1" t="s">
        <v>1052</v>
      </c>
      <c r="H1812" s="1" t="s">
        <v>141</v>
      </c>
      <c r="I1812" s="1" t="s">
        <v>65</v>
      </c>
      <c r="J1812" s="1">
        <v>3</v>
      </c>
      <c r="K1812" s="1" t="s">
        <v>142</v>
      </c>
      <c r="L1812" s="1" t="s">
        <v>153</v>
      </c>
      <c r="M1812" s="1" t="s">
        <v>1256</v>
      </c>
      <c r="N1812" s="1" t="str">
        <f>HYPERLINK("https://klocwork.india.ti.com:443/review/insight-review.html#issuedetails_goto:problemid=120695,project=MCU_PLUS_SDK_AM263X,searchquery=taxonomy:'C and C++' build:Build_Apr_13_2023_11_11_AM grouping:off ","KW Issue Link")</f>
        <v>KW Issue Link</v>
      </c>
      <c r="O1812" s="1" t="s">
        <v>217</v>
      </c>
    </row>
    <row r="1813" spans="1:15" ht="60" x14ac:dyDescent="0.25">
      <c r="A1813" s="1" t="s">
        <v>1257</v>
      </c>
      <c r="B1813" s="1"/>
      <c r="C1813" s="1" t="s">
        <v>214</v>
      </c>
      <c r="D1813" s="1">
        <v>120696</v>
      </c>
      <c r="E1813" s="1">
        <v>1150</v>
      </c>
      <c r="F1813" s="1" t="s">
        <v>2689</v>
      </c>
      <c r="G1813" s="1" t="s">
        <v>2690</v>
      </c>
      <c r="H1813" s="1" t="s">
        <v>141</v>
      </c>
      <c r="I1813" s="1" t="s">
        <v>65</v>
      </c>
      <c r="J1813" s="1">
        <v>3</v>
      </c>
      <c r="K1813" s="1" t="s">
        <v>142</v>
      </c>
      <c r="L1813" s="1" t="s">
        <v>153</v>
      </c>
      <c r="M1813" s="1" t="s">
        <v>1256</v>
      </c>
      <c r="N1813" s="1" t="str">
        <f>HYPERLINK("https://klocwork.india.ti.com:443/review/insight-review.html#issuedetails_goto:problemid=120696,project=MCU_PLUS_SDK_AM263X,searchquery=taxonomy:'C and C++' build:Build_Apr_13_2023_11_11_AM grouping:off ","KW Issue Link")</f>
        <v>KW Issue Link</v>
      </c>
      <c r="O1813" s="1" t="s">
        <v>217</v>
      </c>
    </row>
    <row r="1814" spans="1:15" ht="60" x14ac:dyDescent="0.25">
      <c r="A1814" s="1" t="s">
        <v>1257</v>
      </c>
      <c r="B1814" s="1"/>
      <c r="C1814" s="1" t="s">
        <v>214</v>
      </c>
      <c r="D1814" s="1">
        <v>120697</v>
      </c>
      <c r="E1814" s="1">
        <v>1318</v>
      </c>
      <c r="F1814" s="1" t="s">
        <v>2691</v>
      </c>
      <c r="G1814" s="1" t="s">
        <v>1054</v>
      </c>
      <c r="H1814" s="1" t="s">
        <v>141</v>
      </c>
      <c r="I1814" s="1" t="s">
        <v>65</v>
      </c>
      <c r="J1814" s="1">
        <v>3</v>
      </c>
      <c r="K1814" s="1" t="s">
        <v>142</v>
      </c>
      <c r="L1814" s="1" t="s">
        <v>153</v>
      </c>
      <c r="M1814" s="1" t="s">
        <v>1256</v>
      </c>
      <c r="N1814" s="1" t="str">
        <f>HYPERLINK("https://klocwork.india.ti.com:443/review/insight-review.html#issuedetails_goto:problemid=120697,project=MCU_PLUS_SDK_AM263X,searchquery=taxonomy:'C and C++' build:Build_Apr_13_2023_11_11_AM grouping:off ","KW Issue Link")</f>
        <v>KW Issue Link</v>
      </c>
      <c r="O1814" s="1" t="s">
        <v>217</v>
      </c>
    </row>
    <row r="1815" spans="1:15" ht="60" x14ac:dyDescent="0.25">
      <c r="A1815" s="1" t="s">
        <v>1257</v>
      </c>
      <c r="B1815" s="1"/>
      <c r="C1815" s="1" t="s">
        <v>214</v>
      </c>
      <c r="D1815" s="1">
        <v>120698</v>
      </c>
      <c r="E1815" s="1">
        <v>1461</v>
      </c>
      <c r="F1815" s="1" t="s">
        <v>2692</v>
      </c>
      <c r="G1815" s="1" t="s">
        <v>2693</v>
      </c>
      <c r="H1815" s="1" t="s">
        <v>141</v>
      </c>
      <c r="I1815" s="1" t="s">
        <v>65</v>
      </c>
      <c r="J1815" s="1">
        <v>3</v>
      </c>
      <c r="K1815" s="1" t="s">
        <v>142</v>
      </c>
      <c r="L1815" s="1" t="s">
        <v>153</v>
      </c>
      <c r="M1815" s="1" t="s">
        <v>1256</v>
      </c>
      <c r="N1815" s="1" t="str">
        <f>HYPERLINK("https://klocwork.india.ti.com:443/review/insight-review.html#issuedetails_goto:problemid=120698,project=MCU_PLUS_SDK_AM263X,searchquery=taxonomy:'C and C++' build:Build_Apr_13_2023_11_11_AM grouping:off ","KW Issue Link")</f>
        <v>KW Issue Link</v>
      </c>
      <c r="O1815" s="1" t="s">
        <v>217</v>
      </c>
    </row>
    <row r="1816" spans="1:15" ht="60" x14ac:dyDescent="0.25">
      <c r="A1816" s="1" t="s">
        <v>1257</v>
      </c>
      <c r="B1816" s="1"/>
      <c r="C1816" s="1" t="s">
        <v>214</v>
      </c>
      <c r="D1816" s="1">
        <v>120699</v>
      </c>
      <c r="E1816" s="1">
        <v>1680</v>
      </c>
      <c r="F1816" s="1" t="s">
        <v>2694</v>
      </c>
      <c r="G1816" s="1" t="s">
        <v>1056</v>
      </c>
      <c r="H1816" s="1" t="s">
        <v>141</v>
      </c>
      <c r="I1816" s="1" t="s">
        <v>65</v>
      </c>
      <c r="J1816" s="1">
        <v>3</v>
      </c>
      <c r="K1816" s="1" t="s">
        <v>142</v>
      </c>
      <c r="L1816" s="1" t="s">
        <v>153</v>
      </c>
      <c r="M1816" s="1" t="s">
        <v>1256</v>
      </c>
      <c r="N1816" s="1" t="str">
        <f>HYPERLINK("https://klocwork.india.ti.com:443/review/insight-review.html#issuedetails_goto:problemid=120699,project=MCU_PLUS_SDK_AM263X,searchquery=taxonomy:'C and C++' build:Build_Apr_13_2023_11_11_AM grouping:off ","KW Issue Link")</f>
        <v>KW Issue Link</v>
      </c>
      <c r="O1816" s="1" t="s">
        <v>217</v>
      </c>
    </row>
    <row r="1817" spans="1:15" ht="60" x14ac:dyDescent="0.25">
      <c r="A1817" s="1" t="s">
        <v>1257</v>
      </c>
      <c r="B1817" s="1"/>
      <c r="C1817" s="1" t="s">
        <v>214</v>
      </c>
      <c r="D1817" s="1">
        <v>120700</v>
      </c>
      <c r="E1817" s="1">
        <v>1831</v>
      </c>
      <c r="F1817" s="1" t="s">
        <v>2695</v>
      </c>
      <c r="G1817" s="1" t="s">
        <v>1058</v>
      </c>
      <c r="H1817" s="1" t="s">
        <v>141</v>
      </c>
      <c r="I1817" s="1" t="s">
        <v>65</v>
      </c>
      <c r="J1817" s="1">
        <v>3</v>
      </c>
      <c r="K1817" s="1" t="s">
        <v>142</v>
      </c>
      <c r="L1817" s="1" t="s">
        <v>153</v>
      </c>
      <c r="M1817" s="1" t="s">
        <v>1256</v>
      </c>
      <c r="N1817" s="1" t="str">
        <f>HYPERLINK("https://klocwork.india.ti.com:443/review/insight-review.html#issuedetails_goto:problemid=120700,project=MCU_PLUS_SDK_AM263X,searchquery=taxonomy:'C and C++' build:Build_Apr_13_2023_11_11_AM grouping:off ","KW Issue Link")</f>
        <v>KW Issue Link</v>
      </c>
      <c r="O1817" s="1" t="s">
        <v>217</v>
      </c>
    </row>
    <row r="1818" spans="1:15" ht="60" x14ac:dyDescent="0.25">
      <c r="A1818" s="1" t="s">
        <v>1266</v>
      </c>
      <c r="B1818" s="1"/>
      <c r="C1818" s="1" t="s">
        <v>214</v>
      </c>
      <c r="D1818" s="1">
        <v>120701</v>
      </c>
      <c r="E1818" s="1">
        <v>771</v>
      </c>
      <c r="F1818" s="1" t="s">
        <v>2696</v>
      </c>
      <c r="G1818" s="1" t="s">
        <v>1050</v>
      </c>
      <c r="H1818" s="1" t="s">
        <v>141</v>
      </c>
      <c r="I1818" s="1" t="s">
        <v>65</v>
      </c>
      <c r="J1818" s="1">
        <v>3</v>
      </c>
      <c r="K1818" s="1" t="s">
        <v>142</v>
      </c>
      <c r="L1818" s="1" t="s">
        <v>153</v>
      </c>
      <c r="M1818" s="1" t="s">
        <v>1256</v>
      </c>
      <c r="N1818" s="1" t="str">
        <f>HYPERLINK("https://klocwork.india.ti.com:443/review/insight-review.html#issuedetails_goto:problemid=120701,project=MCU_PLUS_SDK_AM263X,searchquery=taxonomy:'C and C++' build:Build_Apr_13_2023_11_11_AM grouping:off ","KW Issue Link")</f>
        <v>KW Issue Link</v>
      </c>
      <c r="O1818" s="1" t="s">
        <v>217</v>
      </c>
    </row>
    <row r="1819" spans="1:15" ht="60" x14ac:dyDescent="0.25">
      <c r="A1819" s="1" t="s">
        <v>1266</v>
      </c>
      <c r="B1819" s="1"/>
      <c r="C1819" s="1" t="s">
        <v>214</v>
      </c>
      <c r="D1819" s="1">
        <v>120704</v>
      </c>
      <c r="E1819" s="1">
        <v>1318</v>
      </c>
      <c r="F1819" s="1" t="s">
        <v>2697</v>
      </c>
      <c r="G1819" s="1" t="s">
        <v>1054</v>
      </c>
      <c r="H1819" s="1" t="s">
        <v>141</v>
      </c>
      <c r="I1819" s="1" t="s">
        <v>65</v>
      </c>
      <c r="J1819" s="1">
        <v>3</v>
      </c>
      <c r="K1819" s="1" t="s">
        <v>142</v>
      </c>
      <c r="L1819" s="1" t="s">
        <v>153</v>
      </c>
      <c r="M1819" s="1" t="s">
        <v>1256</v>
      </c>
      <c r="N1819" s="1" t="str">
        <f>HYPERLINK("https://klocwork.india.ti.com:443/review/insight-review.html#issuedetails_goto:problemid=120704,project=MCU_PLUS_SDK_AM263X,searchquery=taxonomy:'C and C++' build:Build_Apr_13_2023_11_11_AM grouping:off ","KW Issue Link")</f>
        <v>KW Issue Link</v>
      </c>
      <c r="O1819" s="1" t="s">
        <v>217</v>
      </c>
    </row>
    <row r="1820" spans="1:15" ht="60" x14ac:dyDescent="0.25">
      <c r="A1820" s="1" t="s">
        <v>1266</v>
      </c>
      <c r="B1820" s="1"/>
      <c r="C1820" s="1" t="s">
        <v>214</v>
      </c>
      <c r="D1820" s="1">
        <v>120705</v>
      </c>
      <c r="E1820" s="1">
        <v>1461</v>
      </c>
      <c r="F1820" s="1" t="s">
        <v>2698</v>
      </c>
      <c r="G1820" s="1" t="s">
        <v>2693</v>
      </c>
      <c r="H1820" s="1" t="s">
        <v>141</v>
      </c>
      <c r="I1820" s="1" t="s">
        <v>65</v>
      </c>
      <c r="J1820" s="1">
        <v>3</v>
      </c>
      <c r="K1820" s="1" t="s">
        <v>142</v>
      </c>
      <c r="L1820" s="1" t="s">
        <v>153</v>
      </c>
      <c r="M1820" s="1" t="s">
        <v>1256</v>
      </c>
      <c r="N1820" s="1" t="str">
        <f>HYPERLINK("https://klocwork.india.ti.com:443/review/insight-review.html#issuedetails_goto:problemid=120705,project=MCU_PLUS_SDK_AM263X,searchquery=taxonomy:'C and C++' build:Build_Apr_13_2023_11_11_AM grouping:off ","KW Issue Link")</f>
        <v>KW Issue Link</v>
      </c>
      <c r="O1820" s="1" t="s">
        <v>217</v>
      </c>
    </row>
    <row r="1821" spans="1:15" ht="60" x14ac:dyDescent="0.25">
      <c r="A1821" s="1" t="s">
        <v>1266</v>
      </c>
      <c r="B1821" s="1"/>
      <c r="C1821" s="1" t="s">
        <v>214</v>
      </c>
      <c r="D1821" s="1">
        <v>120706</v>
      </c>
      <c r="E1821" s="1">
        <v>1680</v>
      </c>
      <c r="F1821" s="1" t="s">
        <v>2699</v>
      </c>
      <c r="G1821" s="1" t="s">
        <v>1056</v>
      </c>
      <c r="H1821" s="1" t="s">
        <v>141</v>
      </c>
      <c r="I1821" s="1" t="s">
        <v>65</v>
      </c>
      <c r="J1821" s="1">
        <v>3</v>
      </c>
      <c r="K1821" s="1" t="s">
        <v>142</v>
      </c>
      <c r="L1821" s="1" t="s">
        <v>153</v>
      </c>
      <c r="M1821" s="1" t="s">
        <v>1256</v>
      </c>
      <c r="N1821" s="1" t="str">
        <f>HYPERLINK("https://klocwork.india.ti.com:443/review/insight-review.html#issuedetails_goto:problemid=120706,project=MCU_PLUS_SDK_AM263X,searchquery=taxonomy:'C and C++' build:Build_Apr_13_2023_11_11_AM grouping:off ","KW Issue Link")</f>
        <v>KW Issue Link</v>
      </c>
      <c r="O1821" s="1" t="s">
        <v>217</v>
      </c>
    </row>
    <row r="1822" spans="1:15" ht="60" x14ac:dyDescent="0.25">
      <c r="A1822" s="1" t="s">
        <v>1257</v>
      </c>
      <c r="B1822" s="1"/>
      <c r="C1822" s="1" t="s">
        <v>618</v>
      </c>
      <c r="D1822" s="1">
        <v>120711</v>
      </c>
      <c r="E1822" s="1">
        <v>135</v>
      </c>
      <c r="F1822" s="1" t="s">
        <v>2700</v>
      </c>
      <c r="G1822" s="1" t="s">
        <v>619</v>
      </c>
      <c r="H1822" s="1" t="s">
        <v>141</v>
      </c>
      <c r="I1822" s="1" t="s">
        <v>65</v>
      </c>
      <c r="J1822" s="1">
        <v>3</v>
      </c>
      <c r="K1822" s="1" t="s">
        <v>142</v>
      </c>
      <c r="L1822" s="1" t="s">
        <v>153</v>
      </c>
      <c r="M1822" s="1" t="s">
        <v>1256</v>
      </c>
      <c r="N1822" s="1" t="str">
        <f>HYPERLINK("https://klocwork.india.ti.com:443/review/insight-review.html#issuedetails_goto:problemid=120711,project=MCU_PLUS_SDK_AM263X,searchquery=taxonomy:'C and C++' build:Build_Apr_13_2023_11_11_AM grouping:off ","KW Issue Link")</f>
        <v>KW Issue Link</v>
      </c>
      <c r="O1822" s="1" t="s">
        <v>291</v>
      </c>
    </row>
    <row r="1823" spans="1:15" ht="60" x14ac:dyDescent="0.25">
      <c r="A1823" s="1" t="s">
        <v>1257</v>
      </c>
      <c r="B1823" s="1"/>
      <c r="C1823" s="1" t="s">
        <v>618</v>
      </c>
      <c r="D1823" s="1">
        <v>120712</v>
      </c>
      <c r="E1823" s="1">
        <v>354</v>
      </c>
      <c r="F1823" s="1" t="s">
        <v>2701</v>
      </c>
      <c r="G1823" s="1" t="s">
        <v>621</v>
      </c>
      <c r="H1823" s="1" t="s">
        <v>141</v>
      </c>
      <c r="I1823" s="1" t="s">
        <v>65</v>
      </c>
      <c r="J1823" s="1">
        <v>3</v>
      </c>
      <c r="K1823" s="1" t="s">
        <v>142</v>
      </c>
      <c r="L1823" s="1" t="s">
        <v>153</v>
      </c>
      <c r="M1823" s="1" t="s">
        <v>1256</v>
      </c>
      <c r="N1823" s="1" t="str">
        <f>HYPERLINK("https://klocwork.india.ti.com:443/review/insight-review.html#issuedetails_goto:problemid=120712,project=MCU_PLUS_SDK_AM263X,searchquery=taxonomy:'C and C++' build:Build_Apr_13_2023_11_11_AM grouping:off ","KW Issue Link")</f>
        <v>KW Issue Link</v>
      </c>
      <c r="O1823" s="1" t="s">
        <v>291</v>
      </c>
    </row>
    <row r="1824" spans="1:15" ht="60" x14ac:dyDescent="0.25">
      <c r="A1824" s="1" t="s">
        <v>1257</v>
      </c>
      <c r="B1824" s="1"/>
      <c r="C1824" s="1" t="s">
        <v>618</v>
      </c>
      <c r="D1824" s="1">
        <v>120713</v>
      </c>
      <c r="E1824" s="1">
        <v>420</v>
      </c>
      <c r="F1824" s="1" t="s">
        <v>2702</v>
      </c>
      <c r="G1824" s="1" t="s">
        <v>622</v>
      </c>
      <c r="H1824" s="1" t="s">
        <v>141</v>
      </c>
      <c r="I1824" s="1" t="s">
        <v>65</v>
      </c>
      <c r="J1824" s="1">
        <v>3</v>
      </c>
      <c r="K1824" s="1" t="s">
        <v>142</v>
      </c>
      <c r="L1824" s="1" t="s">
        <v>153</v>
      </c>
      <c r="M1824" s="1" t="s">
        <v>1256</v>
      </c>
      <c r="N1824" s="1" t="str">
        <f>HYPERLINK("https://klocwork.india.ti.com:443/review/insight-review.html#issuedetails_goto:problemid=120713,project=MCU_PLUS_SDK_AM263X,searchquery=taxonomy:'C and C++' build:Build_Apr_13_2023_11_11_AM grouping:off ","KW Issue Link")</f>
        <v>KW Issue Link</v>
      </c>
      <c r="O1824" s="1" t="s">
        <v>291</v>
      </c>
    </row>
    <row r="1825" spans="1:15" ht="60" x14ac:dyDescent="0.25">
      <c r="A1825" s="1" t="s">
        <v>1257</v>
      </c>
      <c r="B1825" s="1"/>
      <c r="C1825" s="1" t="s">
        <v>618</v>
      </c>
      <c r="D1825" s="1">
        <v>120714</v>
      </c>
      <c r="E1825" s="1">
        <v>595</v>
      </c>
      <c r="F1825" s="1" t="s">
        <v>2703</v>
      </c>
      <c r="G1825" s="1" t="s">
        <v>2704</v>
      </c>
      <c r="H1825" s="1" t="s">
        <v>141</v>
      </c>
      <c r="I1825" s="1" t="s">
        <v>65</v>
      </c>
      <c r="J1825" s="1">
        <v>3</v>
      </c>
      <c r="K1825" s="1" t="s">
        <v>142</v>
      </c>
      <c r="L1825" s="1" t="s">
        <v>153</v>
      </c>
      <c r="M1825" s="1" t="s">
        <v>1256</v>
      </c>
      <c r="N1825" s="1" t="str">
        <f>HYPERLINK("https://klocwork.india.ti.com:443/review/insight-review.html#issuedetails_goto:problemid=120714,project=MCU_PLUS_SDK_AM263X,searchquery=taxonomy:'C and C++' build:Build_Apr_13_2023_11_11_AM grouping:off ","KW Issue Link")</f>
        <v>KW Issue Link</v>
      </c>
      <c r="O1825" s="1" t="s">
        <v>291</v>
      </c>
    </row>
    <row r="1826" spans="1:15" ht="60" x14ac:dyDescent="0.25">
      <c r="A1826" s="1" t="s">
        <v>1266</v>
      </c>
      <c r="B1826" s="1"/>
      <c r="C1826" s="1" t="s">
        <v>618</v>
      </c>
      <c r="D1826" s="1">
        <v>120716</v>
      </c>
      <c r="E1826" s="1">
        <v>354</v>
      </c>
      <c r="F1826" s="1" t="s">
        <v>2705</v>
      </c>
      <c r="G1826" s="1" t="s">
        <v>621</v>
      </c>
      <c r="H1826" s="1" t="s">
        <v>141</v>
      </c>
      <c r="I1826" s="1" t="s">
        <v>65</v>
      </c>
      <c r="J1826" s="1">
        <v>3</v>
      </c>
      <c r="K1826" s="1" t="s">
        <v>142</v>
      </c>
      <c r="L1826" s="1" t="s">
        <v>153</v>
      </c>
      <c r="M1826" s="1" t="s">
        <v>1256</v>
      </c>
      <c r="N1826" s="1" t="str">
        <f>HYPERLINK("https://klocwork.india.ti.com:443/review/insight-review.html#issuedetails_goto:problemid=120716,project=MCU_PLUS_SDK_AM263X,searchquery=taxonomy:'C and C++' build:Build_Apr_13_2023_11_11_AM grouping:off ","KW Issue Link")</f>
        <v>KW Issue Link</v>
      </c>
      <c r="O1826" s="1" t="s">
        <v>291</v>
      </c>
    </row>
    <row r="1827" spans="1:15" ht="60" x14ac:dyDescent="0.25">
      <c r="A1827" s="1" t="s">
        <v>1266</v>
      </c>
      <c r="B1827" s="1"/>
      <c r="C1827" s="1" t="s">
        <v>618</v>
      </c>
      <c r="D1827" s="1">
        <v>120717</v>
      </c>
      <c r="E1827" s="1">
        <v>420</v>
      </c>
      <c r="F1827" s="1" t="s">
        <v>2706</v>
      </c>
      <c r="G1827" s="1" t="s">
        <v>622</v>
      </c>
      <c r="H1827" s="1" t="s">
        <v>141</v>
      </c>
      <c r="I1827" s="1" t="s">
        <v>65</v>
      </c>
      <c r="J1827" s="1">
        <v>3</v>
      </c>
      <c r="K1827" s="1" t="s">
        <v>142</v>
      </c>
      <c r="L1827" s="1" t="s">
        <v>153</v>
      </c>
      <c r="M1827" s="1" t="s">
        <v>1256</v>
      </c>
      <c r="N1827" s="1" t="str">
        <f>HYPERLINK("https://klocwork.india.ti.com:443/review/insight-review.html#issuedetails_goto:problemid=120717,project=MCU_PLUS_SDK_AM263X,searchquery=taxonomy:'C and C++' build:Build_Apr_13_2023_11_11_AM grouping:off ","KW Issue Link")</f>
        <v>KW Issue Link</v>
      </c>
      <c r="O1827" s="1" t="s">
        <v>291</v>
      </c>
    </row>
    <row r="1828" spans="1:15" ht="60" x14ac:dyDescent="0.25">
      <c r="A1828" s="1" t="s">
        <v>1268</v>
      </c>
      <c r="B1828" s="1"/>
      <c r="C1828" s="1" t="s">
        <v>618</v>
      </c>
      <c r="D1828" s="1">
        <v>120718</v>
      </c>
      <c r="E1828" s="1">
        <v>354</v>
      </c>
      <c r="F1828" s="1" t="s">
        <v>2707</v>
      </c>
      <c r="G1828" s="1" t="s">
        <v>621</v>
      </c>
      <c r="H1828" s="1" t="s">
        <v>141</v>
      </c>
      <c r="I1828" s="1" t="s">
        <v>65</v>
      </c>
      <c r="J1828" s="1">
        <v>3</v>
      </c>
      <c r="K1828" s="1" t="s">
        <v>142</v>
      </c>
      <c r="L1828" s="1" t="s">
        <v>153</v>
      </c>
      <c r="M1828" s="1" t="s">
        <v>1256</v>
      </c>
      <c r="N1828" s="1" t="str">
        <f>HYPERLINK("https://klocwork.india.ti.com:443/review/insight-review.html#issuedetails_goto:problemid=120718,project=MCU_PLUS_SDK_AM263X,searchquery=taxonomy:'C and C++' build:Build_Apr_13_2023_11_11_AM grouping:off ","KW Issue Link")</f>
        <v>KW Issue Link</v>
      </c>
      <c r="O1828" s="1" t="s">
        <v>291</v>
      </c>
    </row>
    <row r="1829" spans="1:15" ht="60" x14ac:dyDescent="0.25">
      <c r="A1829" s="1" t="s">
        <v>1268</v>
      </c>
      <c r="B1829" s="1"/>
      <c r="C1829" s="1" t="s">
        <v>618</v>
      </c>
      <c r="D1829" s="1">
        <v>120719</v>
      </c>
      <c r="E1829" s="1">
        <v>420</v>
      </c>
      <c r="F1829" s="1" t="s">
        <v>2708</v>
      </c>
      <c r="G1829" s="1" t="s">
        <v>622</v>
      </c>
      <c r="H1829" s="1" t="s">
        <v>141</v>
      </c>
      <c r="I1829" s="1" t="s">
        <v>65</v>
      </c>
      <c r="J1829" s="1">
        <v>3</v>
      </c>
      <c r="K1829" s="1" t="s">
        <v>142</v>
      </c>
      <c r="L1829" s="1" t="s">
        <v>153</v>
      </c>
      <c r="M1829" s="1" t="s">
        <v>1256</v>
      </c>
      <c r="N1829" s="1" t="str">
        <f>HYPERLINK("https://klocwork.india.ti.com:443/review/insight-review.html#issuedetails_goto:problemid=120719,project=MCU_PLUS_SDK_AM263X,searchquery=taxonomy:'C and C++' build:Build_Apr_13_2023_11_11_AM grouping:off ","KW Issue Link")</f>
        <v>KW Issue Link</v>
      </c>
      <c r="O1829" s="1" t="s">
        <v>291</v>
      </c>
    </row>
    <row r="1830" spans="1:15" ht="60" x14ac:dyDescent="0.25">
      <c r="A1830" s="1" t="s">
        <v>1257</v>
      </c>
      <c r="B1830" s="1"/>
      <c r="C1830" s="1" t="s">
        <v>2709</v>
      </c>
      <c r="D1830" s="1">
        <v>120720</v>
      </c>
      <c r="E1830" s="1">
        <v>121</v>
      </c>
      <c r="F1830" s="1" t="s">
        <v>2710</v>
      </c>
      <c r="G1830" s="1" t="s">
        <v>2711</v>
      </c>
      <c r="H1830" s="1" t="s">
        <v>141</v>
      </c>
      <c r="I1830" s="1" t="s">
        <v>65</v>
      </c>
      <c r="J1830" s="1">
        <v>3</v>
      </c>
      <c r="K1830" s="1" t="s">
        <v>142</v>
      </c>
      <c r="L1830" s="1" t="s">
        <v>153</v>
      </c>
      <c r="M1830" s="1" t="s">
        <v>1256</v>
      </c>
      <c r="N1830" s="1" t="str">
        <f>HYPERLINK("https://klocwork.india.ti.com:443/review/insight-review.html#issuedetails_goto:problemid=120720,project=MCU_PLUS_SDK_AM263X,searchquery=taxonomy:'C and C++' build:Build_Apr_13_2023_11_11_AM grouping:off ","KW Issue Link")</f>
        <v>KW Issue Link</v>
      </c>
      <c r="O1830" s="1" t="s">
        <v>1083</v>
      </c>
    </row>
    <row r="1831" spans="1:15" ht="60" x14ac:dyDescent="0.25">
      <c r="A1831" s="1" t="s">
        <v>1257</v>
      </c>
      <c r="B1831" s="1"/>
      <c r="C1831" s="1" t="s">
        <v>623</v>
      </c>
      <c r="D1831" s="1">
        <v>120721</v>
      </c>
      <c r="E1831" s="1">
        <v>123</v>
      </c>
      <c r="F1831" s="1" t="s">
        <v>2712</v>
      </c>
      <c r="G1831" s="1" t="s">
        <v>2713</v>
      </c>
      <c r="H1831" s="1" t="s">
        <v>141</v>
      </c>
      <c r="I1831" s="1" t="s">
        <v>65</v>
      </c>
      <c r="J1831" s="1">
        <v>3</v>
      </c>
      <c r="K1831" s="1" t="s">
        <v>142</v>
      </c>
      <c r="L1831" s="1" t="s">
        <v>153</v>
      </c>
      <c r="M1831" s="1" t="s">
        <v>1256</v>
      </c>
      <c r="N1831" s="1" t="str">
        <f>HYPERLINK("https://klocwork.india.ti.com:443/review/insight-review.html#issuedetails_goto:problemid=120721,project=MCU_PLUS_SDK_AM263X,searchquery=taxonomy:'C and C++' build:Build_Apr_13_2023_11_11_AM grouping:off ","KW Issue Link")</f>
        <v>KW Issue Link</v>
      </c>
      <c r="O1831" s="1" t="s">
        <v>353</v>
      </c>
    </row>
    <row r="1832" spans="1:15" ht="60" x14ac:dyDescent="0.25">
      <c r="A1832" s="1" t="s">
        <v>1257</v>
      </c>
      <c r="B1832" s="1"/>
      <c r="C1832" s="1" t="s">
        <v>623</v>
      </c>
      <c r="D1832" s="1">
        <v>120722</v>
      </c>
      <c r="E1832" s="1">
        <v>167</v>
      </c>
      <c r="F1832" s="1" t="s">
        <v>2714</v>
      </c>
      <c r="G1832" s="1" t="s">
        <v>624</v>
      </c>
      <c r="H1832" s="1" t="s">
        <v>141</v>
      </c>
      <c r="I1832" s="1" t="s">
        <v>65</v>
      </c>
      <c r="J1832" s="1">
        <v>3</v>
      </c>
      <c r="K1832" s="1" t="s">
        <v>142</v>
      </c>
      <c r="L1832" s="1" t="s">
        <v>153</v>
      </c>
      <c r="M1832" s="1" t="s">
        <v>1256</v>
      </c>
      <c r="N1832" s="1" t="str">
        <f>HYPERLINK("https://klocwork.india.ti.com:443/review/insight-review.html#issuedetails_goto:problemid=120722,project=MCU_PLUS_SDK_AM263X,searchquery=taxonomy:'C and C++' build:Build_Apr_13_2023_11_11_AM grouping:off ","KW Issue Link")</f>
        <v>KW Issue Link</v>
      </c>
      <c r="O1832" s="1" t="s">
        <v>353</v>
      </c>
    </row>
    <row r="1833" spans="1:15" ht="60" x14ac:dyDescent="0.25">
      <c r="A1833" s="1" t="s">
        <v>1257</v>
      </c>
      <c r="B1833" s="1"/>
      <c r="C1833" s="1" t="s">
        <v>623</v>
      </c>
      <c r="D1833" s="1">
        <v>120723</v>
      </c>
      <c r="E1833" s="1">
        <v>216</v>
      </c>
      <c r="F1833" s="1" t="s">
        <v>2715</v>
      </c>
      <c r="G1833" s="1" t="s">
        <v>625</v>
      </c>
      <c r="H1833" s="1" t="s">
        <v>141</v>
      </c>
      <c r="I1833" s="1" t="s">
        <v>65</v>
      </c>
      <c r="J1833" s="1">
        <v>3</v>
      </c>
      <c r="K1833" s="1" t="s">
        <v>142</v>
      </c>
      <c r="L1833" s="1" t="s">
        <v>153</v>
      </c>
      <c r="M1833" s="1" t="s">
        <v>1256</v>
      </c>
      <c r="N1833" s="1" t="str">
        <f>HYPERLINK("https://klocwork.india.ti.com:443/review/insight-review.html#issuedetails_goto:problemid=120723,project=MCU_PLUS_SDK_AM263X,searchquery=taxonomy:'C and C++' build:Build_Apr_13_2023_11_11_AM grouping:off ","KW Issue Link")</f>
        <v>KW Issue Link</v>
      </c>
      <c r="O1833" s="1" t="s">
        <v>353</v>
      </c>
    </row>
    <row r="1834" spans="1:15" ht="60" x14ac:dyDescent="0.25">
      <c r="A1834" s="1" t="s">
        <v>1266</v>
      </c>
      <c r="B1834" s="1"/>
      <c r="C1834" s="1" t="s">
        <v>623</v>
      </c>
      <c r="D1834" s="1">
        <v>120725</v>
      </c>
      <c r="E1834" s="1">
        <v>216</v>
      </c>
      <c r="F1834" s="1" t="s">
        <v>2716</v>
      </c>
      <c r="G1834" s="1" t="s">
        <v>625</v>
      </c>
      <c r="H1834" s="1" t="s">
        <v>141</v>
      </c>
      <c r="I1834" s="1" t="s">
        <v>65</v>
      </c>
      <c r="J1834" s="1">
        <v>3</v>
      </c>
      <c r="K1834" s="1" t="s">
        <v>142</v>
      </c>
      <c r="L1834" s="1" t="s">
        <v>153</v>
      </c>
      <c r="M1834" s="1" t="s">
        <v>1256</v>
      </c>
      <c r="N1834" s="1" t="str">
        <f>HYPERLINK("https://klocwork.india.ti.com:443/review/insight-review.html#issuedetails_goto:problemid=120725,project=MCU_PLUS_SDK_AM263X,searchquery=taxonomy:'C and C++' build:Build_Apr_13_2023_11_11_AM grouping:off ","KW Issue Link")</f>
        <v>KW Issue Link</v>
      </c>
      <c r="O1834" s="1" t="s">
        <v>353</v>
      </c>
    </row>
    <row r="1835" spans="1:15" ht="60" x14ac:dyDescent="0.25">
      <c r="A1835" s="1" t="s">
        <v>1268</v>
      </c>
      <c r="B1835" s="1"/>
      <c r="C1835" s="1" t="s">
        <v>623</v>
      </c>
      <c r="D1835" s="1">
        <v>120726</v>
      </c>
      <c r="E1835" s="1">
        <v>216</v>
      </c>
      <c r="F1835" s="1" t="s">
        <v>2717</v>
      </c>
      <c r="G1835" s="1" t="s">
        <v>625</v>
      </c>
      <c r="H1835" s="1" t="s">
        <v>141</v>
      </c>
      <c r="I1835" s="1" t="s">
        <v>65</v>
      </c>
      <c r="J1835" s="1">
        <v>3</v>
      </c>
      <c r="K1835" s="1" t="s">
        <v>142</v>
      </c>
      <c r="L1835" s="1" t="s">
        <v>153</v>
      </c>
      <c r="M1835" s="1" t="s">
        <v>1256</v>
      </c>
      <c r="N1835" s="1" t="str">
        <f>HYPERLINK("https://klocwork.india.ti.com:443/review/insight-review.html#issuedetails_goto:problemid=120726,project=MCU_PLUS_SDK_AM263X,searchquery=taxonomy:'C and C++' build:Build_Apr_13_2023_11_11_AM grouping:off ","KW Issue Link")</f>
        <v>KW Issue Link</v>
      </c>
      <c r="O1835" s="1" t="s">
        <v>353</v>
      </c>
    </row>
    <row r="1836" spans="1:15" ht="75" x14ac:dyDescent="0.25">
      <c r="A1836" s="1" t="s">
        <v>1257</v>
      </c>
      <c r="B1836" s="1" t="s">
        <v>2718</v>
      </c>
      <c r="C1836" s="1" t="s">
        <v>1184</v>
      </c>
      <c r="D1836" s="1">
        <v>120727</v>
      </c>
      <c r="E1836" s="1">
        <v>263</v>
      </c>
      <c r="F1836" s="1" t="s">
        <v>2719</v>
      </c>
      <c r="G1836" s="1" t="s">
        <v>2720</v>
      </c>
      <c r="H1836" s="1" t="s">
        <v>141</v>
      </c>
      <c r="I1836" s="1" t="s">
        <v>65</v>
      </c>
      <c r="J1836" s="1">
        <v>3</v>
      </c>
      <c r="K1836" s="1" t="s">
        <v>142</v>
      </c>
      <c r="L1836" s="1" t="s">
        <v>143</v>
      </c>
      <c r="M1836" s="1" t="s">
        <v>1256</v>
      </c>
      <c r="N1836" s="1" t="str">
        <f>HYPERLINK("https://klocwork.india.ti.com:443/review/insight-review.html#issuedetails_goto:problemid=120727,project=MCU_PLUS_SDK_AM263X,searchquery=taxonomy:'C and C++' build:Build_Apr_13_2023_11_11_AM grouping:off ","KW Issue Link")</f>
        <v>KW Issue Link</v>
      </c>
      <c r="O1836" s="1" t="s">
        <v>1083</v>
      </c>
    </row>
    <row r="1837" spans="1:15" ht="75" x14ac:dyDescent="0.25">
      <c r="A1837" s="1" t="s">
        <v>1257</v>
      </c>
      <c r="B1837" s="1" t="s">
        <v>2718</v>
      </c>
      <c r="C1837" s="1" t="s">
        <v>1184</v>
      </c>
      <c r="D1837" s="1">
        <v>120728</v>
      </c>
      <c r="E1837" s="1">
        <v>355</v>
      </c>
      <c r="F1837" s="1" t="s">
        <v>2721</v>
      </c>
      <c r="G1837" s="1" t="s">
        <v>2722</v>
      </c>
      <c r="H1837" s="1" t="s">
        <v>141</v>
      </c>
      <c r="I1837" s="1" t="s">
        <v>65</v>
      </c>
      <c r="J1837" s="1">
        <v>3</v>
      </c>
      <c r="K1837" s="1" t="s">
        <v>142</v>
      </c>
      <c r="L1837" s="1" t="s">
        <v>143</v>
      </c>
      <c r="M1837" s="1" t="s">
        <v>1256</v>
      </c>
      <c r="N1837" s="1" t="str">
        <f>HYPERLINK("https://klocwork.india.ti.com:443/review/insight-review.html#issuedetails_goto:problemid=120728,project=MCU_PLUS_SDK_AM263X,searchquery=taxonomy:'C and C++' build:Build_Apr_13_2023_11_11_AM grouping:off ","KW Issue Link")</f>
        <v>KW Issue Link</v>
      </c>
      <c r="O1837" s="1" t="s">
        <v>1083</v>
      </c>
    </row>
    <row r="1838" spans="1:15" ht="75" x14ac:dyDescent="0.25">
      <c r="A1838" s="1" t="s">
        <v>1257</v>
      </c>
      <c r="B1838" s="1" t="s">
        <v>2718</v>
      </c>
      <c r="C1838" s="1" t="s">
        <v>1184</v>
      </c>
      <c r="D1838" s="1">
        <v>120729</v>
      </c>
      <c r="E1838" s="1">
        <v>471</v>
      </c>
      <c r="F1838" s="1" t="s">
        <v>2723</v>
      </c>
      <c r="G1838" s="1" t="s">
        <v>2724</v>
      </c>
      <c r="H1838" s="1" t="s">
        <v>141</v>
      </c>
      <c r="I1838" s="1" t="s">
        <v>65</v>
      </c>
      <c r="J1838" s="1">
        <v>3</v>
      </c>
      <c r="K1838" s="1" t="s">
        <v>142</v>
      </c>
      <c r="L1838" s="1" t="s">
        <v>143</v>
      </c>
      <c r="M1838" s="1" t="s">
        <v>1256</v>
      </c>
      <c r="N1838" s="1" t="str">
        <f>HYPERLINK("https://klocwork.india.ti.com:443/review/insight-review.html#issuedetails_goto:problemid=120729,project=MCU_PLUS_SDK_AM263X,searchquery=taxonomy:'C and C++' build:Build_Apr_13_2023_11_11_AM grouping:off ","KW Issue Link")</f>
        <v>KW Issue Link</v>
      </c>
      <c r="O1838" s="1" t="s">
        <v>1083</v>
      </c>
    </row>
    <row r="1839" spans="1:15" ht="75" x14ac:dyDescent="0.25">
      <c r="A1839" s="1" t="s">
        <v>1257</v>
      </c>
      <c r="B1839" s="1" t="s">
        <v>2718</v>
      </c>
      <c r="C1839" s="1" t="s">
        <v>1184</v>
      </c>
      <c r="D1839" s="1">
        <v>120730</v>
      </c>
      <c r="E1839" s="1">
        <v>869</v>
      </c>
      <c r="F1839" s="1" t="s">
        <v>2725</v>
      </c>
      <c r="G1839" s="1" t="s">
        <v>2726</v>
      </c>
      <c r="H1839" s="1" t="s">
        <v>141</v>
      </c>
      <c r="I1839" s="1" t="s">
        <v>65</v>
      </c>
      <c r="J1839" s="1">
        <v>3</v>
      </c>
      <c r="K1839" s="1" t="s">
        <v>142</v>
      </c>
      <c r="L1839" s="1" t="s">
        <v>143</v>
      </c>
      <c r="M1839" s="1" t="s">
        <v>1256</v>
      </c>
      <c r="N1839" s="1" t="str">
        <f>HYPERLINK("https://klocwork.india.ti.com:443/review/insight-review.html#issuedetails_goto:problemid=120730,project=MCU_PLUS_SDK_AM263X,searchquery=taxonomy:'C and C++' build:Build_Apr_13_2023_11_11_AM grouping:off ","KW Issue Link")</f>
        <v>KW Issue Link</v>
      </c>
      <c r="O1839" s="1" t="s">
        <v>1083</v>
      </c>
    </row>
    <row r="1840" spans="1:15" ht="75" x14ac:dyDescent="0.25">
      <c r="A1840" s="1" t="s">
        <v>1257</v>
      </c>
      <c r="B1840" s="1" t="s">
        <v>2718</v>
      </c>
      <c r="C1840" s="1" t="s">
        <v>1184</v>
      </c>
      <c r="D1840" s="1">
        <v>120731</v>
      </c>
      <c r="E1840" s="1">
        <v>1039</v>
      </c>
      <c r="F1840" s="1" t="s">
        <v>2727</v>
      </c>
      <c r="G1840" s="1" t="s">
        <v>2728</v>
      </c>
      <c r="H1840" s="1" t="s">
        <v>141</v>
      </c>
      <c r="I1840" s="1" t="s">
        <v>65</v>
      </c>
      <c r="J1840" s="1">
        <v>3</v>
      </c>
      <c r="K1840" s="1" t="s">
        <v>142</v>
      </c>
      <c r="L1840" s="1" t="s">
        <v>143</v>
      </c>
      <c r="M1840" s="1" t="s">
        <v>1256</v>
      </c>
      <c r="N1840" s="1" t="str">
        <f>HYPERLINK("https://klocwork.india.ti.com:443/review/insight-review.html#issuedetails_goto:problemid=120731,project=MCU_PLUS_SDK_AM263X,searchquery=taxonomy:'C and C++' build:Build_Apr_13_2023_11_11_AM grouping:off ","KW Issue Link")</f>
        <v>KW Issue Link</v>
      </c>
      <c r="O1840" s="1" t="s">
        <v>1083</v>
      </c>
    </row>
    <row r="1841" spans="1:15" ht="60" x14ac:dyDescent="0.25">
      <c r="A1841" s="1" t="s">
        <v>1252</v>
      </c>
      <c r="B1841" s="1" t="s">
        <v>2729</v>
      </c>
      <c r="C1841" s="1" t="s">
        <v>1184</v>
      </c>
      <c r="D1841" s="1">
        <v>120733</v>
      </c>
      <c r="E1841" s="1">
        <v>431</v>
      </c>
      <c r="F1841" s="1" t="s">
        <v>2730</v>
      </c>
      <c r="G1841" s="1" t="s">
        <v>2731</v>
      </c>
      <c r="H1841" s="1" t="s">
        <v>141</v>
      </c>
      <c r="I1841" s="1" t="s">
        <v>65</v>
      </c>
      <c r="J1841" s="1">
        <v>3</v>
      </c>
      <c r="K1841" s="1" t="s">
        <v>142</v>
      </c>
      <c r="L1841" s="1" t="s">
        <v>143</v>
      </c>
      <c r="M1841" s="1" t="s">
        <v>1256</v>
      </c>
      <c r="N1841" s="1" t="str">
        <f>HYPERLINK("https://klocwork.india.ti.com:443/review/insight-review.html#issuedetails_goto:problemid=120733,project=MCU_PLUS_SDK_AM263X,searchquery=taxonomy:'C and C++' build:Build_Apr_13_2023_11_11_AM grouping:off ","KW Issue Link")</f>
        <v>KW Issue Link</v>
      </c>
      <c r="O1841" s="1" t="s">
        <v>1083</v>
      </c>
    </row>
    <row r="1842" spans="1:15" ht="90" x14ac:dyDescent="0.25">
      <c r="A1842" s="1" t="s">
        <v>1266</v>
      </c>
      <c r="B1842" s="1" t="s">
        <v>2732</v>
      </c>
      <c r="C1842" s="1" t="s">
        <v>1184</v>
      </c>
      <c r="D1842" s="1">
        <v>120735</v>
      </c>
      <c r="E1842" s="1">
        <v>656</v>
      </c>
      <c r="F1842" s="1" t="s">
        <v>2733</v>
      </c>
      <c r="G1842" s="1" t="s">
        <v>2734</v>
      </c>
      <c r="H1842" s="1" t="s">
        <v>141</v>
      </c>
      <c r="I1842" s="1" t="s">
        <v>65</v>
      </c>
      <c r="J1842" s="1">
        <v>3</v>
      </c>
      <c r="K1842" s="1" t="s">
        <v>142</v>
      </c>
      <c r="L1842" s="1" t="s">
        <v>143</v>
      </c>
      <c r="M1842" s="1" t="s">
        <v>1256</v>
      </c>
      <c r="N1842" s="1" t="str">
        <f>HYPERLINK("https://klocwork.india.ti.com:443/review/insight-review.html#issuedetails_goto:problemid=120735,project=MCU_PLUS_SDK_AM263X,searchquery=taxonomy:'C and C++' build:Build_Apr_13_2023_11_11_AM grouping:off ","KW Issue Link")</f>
        <v>KW Issue Link</v>
      </c>
      <c r="O1842" s="1" t="s">
        <v>1083</v>
      </c>
    </row>
    <row r="1843" spans="1:15" ht="90" x14ac:dyDescent="0.25">
      <c r="A1843" s="1" t="s">
        <v>1266</v>
      </c>
      <c r="B1843" s="1" t="s">
        <v>2732</v>
      </c>
      <c r="C1843" s="1" t="s">
        <v>1184</v>
      </c>
      <c r="D1843" s="1">
        <v>120736</v>
      </c>
      <c r="E1843" s="1">
        <v>869</v>
      </c>
      <c r="F1843" s="1" t="s">
        <v>2735</v>
      </c>
      <c r="G1843" s="1" t="s">
        <v>2726</v>
      </c>
      <c r="H1843" s="1" t="s">
        <v>141</v>
      </c>
      <c r="I1843" s="1" t="s">
        <v>65</v>
      </c>
      <c r="J1843" s="1">
        <v>3</v>
      </c>
      <c r="K1843" s="1" t="s">
        <v>142</v>
      </c>
      <c r="L1843" s="1" t="s">
        <v>143</v>
      </c>
      <c r="M1843" s="1" t="s">
        <v>1256</v>
      </c>
      <c r="N1843" s="1" t="str">
        <f>HYPERLINK("https://klocwork.india.ti.com:443/review/insight-review.html#issuedetails_goto:problemid=120736,project=MCU_PLUS_SDK_AM263X,searchquery=taxonomy:'C and C++' build:Build_Apr_13_2023_11_11_AM grouping:off ","KW Issue Link")</f>
        <v>KW Issue Link</v>
      </c>
      <c r="O1843" s="1" t="s">
        <v>1083</v>
      </c>
    </row>
    <row r="1844" spans="1:15" ht="90" x14ac:dyDescent="0.25">
      <c r="A1844" s="1" t="s">
        <v>1266</v>
      </c>
      <c r="B1844" s="1" t="s">
        <v>2732</v>
      </c>
      <c r="C1844" s="1" t="s">
        <v>1184</v>
      </c>
      <c r="D1844" s="1">
        <v>120737</v>
      </c>
      <c r="E1844" s="1">
        <v>1039</v>
      </c>
      <c r="F1844" s="1" t="s">
        <v>2736</v>
      </c>
      <c r="G1844" s="1" t="s">
        <v>2728</v>
      </c>
      <c r="H1844" s="1" t="s">
        <v>141</v>
      </c>
      <c r="I1844" s="1" t="s">
        <v>65</v>
      </c>
      <c r="J1844" s="1">
        <v>3</v>
      </c>
      <c r="K1844" s="1" t="s">
        <v>142</v>
      </c>
      <c r="L1844" s="1" t="s">
        <v>143</v>
      </c>
      <c r="M1844" s="1" t="s">
        <v>1256</v>
      </c>
      <c r="N1844" s="1" t="str">
        <f>HYPERLINK("https://klocwork.india.ti.com:443/review/insight-review.html#issuedetails_goto:problemid=120737,project=MCU_PLUS_SDK_AM263X,searchquery=taxonomy:'C and C++' build:Build_Apr_13_2023_11_11_AM grouping:off ","KW Issue Link")</f>
        <v>KW Issue Link</v>
      </c>
      <c r="O1844" s="1" t="s">
        <v>1083</v>
      </c>
    </row>
    <row r="1845" spans="1:15" ht="135" x14ac:dyDescent="0.25">
      <c r="A1845" s="1" t="s">
        <v>1268</v>
      </c>
      <c r="B1845" s="1" t="s">
        <v>2737</v>
      </c>
      <c r="C1845" s="1" t="s">
        <v>1184</v>
      </c>
      <c r="D1845" s="1">
        <v>120739</v>
      </c>
      <c r="E1845" s="1">
        <v>656</v>
      </c>
      <c r="F1845" s="1" t="s">
        <v>2738</v>
      </c>
      <c r="G1845" s="1" t="s">
        <v>2734</v>
      </c>
      <c r="H1845" s="1" t="s">
        <v>141</v>
      </c>
      <c r="I1845" s="1" t="s">
        <v>65</v>
      </c>
      <c r="J1845" s="1">
        <v>3</v>
      </c>
      <c r="K1845" s="1" t="s">
        <v>142</v>
      </c>
      <c r="L1845" s="1" t="s">
        <v>143</v>
      </c>
      <c r="M1845" s="1" t="s">
        <v>1256</v>
      </c>
      <c r="N1845" s="1" t="str">
        <f>HYPERLINK("https://klocwork.india.ti.com:443/review/insight-review.html#issuedetails_goto:problemid=120739,project=MCU_PLUS_SDK_AM263X,searchquery=taxonomy:'C and C++' build:Build_Apr_13_2023_11_11_AM grouping:off ","KW Issue Link")</f>
        <v>KW Issue Link</v>
      </c>
      <c r="O1845" s="1" t="s">
        <v>1083</v>
      </c>
    </row>
    <row r="1846" spans="1:15" ht="135" x14ac:dyDescent="0.25">
      <c r="A1846" s="1" t="s">
        <v>1268</v>
      </c>
      <c r="B1846" s="1" t="s">
        <v>2737</v>
      </c>
      <c r="C1846" s="1" t="s">
        <v>1184</v>
      </c>
      <c r="D1846" s="1">
        <v>120740</v>
      </c>
      <c r="E1846" s="1">
        <v>869</v>
      </c>
      <c r="F1846" s="1" t="s">
        <v>2739</v>
      </c>
      <c r="G1846" s="1" t="s">
        <v>2726</v>
      </c>
      <c r="H1846" s="1" t="s">
        <v>141</v>
      </c>
      <c r="I1846" s="1" t="s">
        <v>65</v>
      </c>
      <c r="J1846" s="1">
        <v>3</v>
      </c>
      <c r="K1846" s="1" t="s">
        <v>142</v>
      </c>
      <c r="L1846" s="1" t="s">
        <v>143</v>
      </c>
      <c r="M1846" s="1" t="s">
        <v>1256</v>
      </c>
      <c r="N1846" s="1" t="str">
        <f>HYPERLINK("https://klocwork.india.ti.com:443/review/insight-review.html#issuedetails_goto:problemid=120740,project=MCU_PLUS_SDK_AM263X,searchquery=taxonomy:'C and C++' build:Build_Apr_13_2023_11_11_AM grouping:off ","KW Issue Link")</f>
        <v>KW Issue Link</v>
      </c>
      <c r="O1846" s="1" t="s">
        <v>1083</v>
      </c>
    </row>
    <row r="1847" spans="1:15" ht="135" x14ac:dyDescent="0.25">
      <c r="A1847" s="1" t="s">
        <v>1268</v>
      </c>
      <c r="B1847" s="1" t="s">
        <v>2737</v>
      </c>
      <c r="C1847" s="1" t="s">
        <v>1184</v>
      </c>
      <c r="D1847" s="1">
        <v>120741</v>
      </c>
      <c r="E1847" s="1">
        <v>1039</v>
      </c>
      <c r="F1847" s="1" t="s">
        <v>2740</v>
      </c>
      <c r="G1847" s="1" t="s">
        <v>2728</v>
      </c>
      <c r="H1847" s="1" t="s">
        <v>141</v>
      </c>
      <c r="I1847" s="1" t="s">
        <v>65</v>
      </c>
      <c r="J1847" s="1">
        <v>3</v>
      </c>
      <c r="K1847" s="1" t="s">
        <v>142</v>
      </c>
      <c r="L1847" s="1" t="s">
        <v>143</v>
      </c>
      <c r="M1847" s="1" t="s">
        <v>1256</v>
      </c>
      <c r="N1847" s="1" t="str">
        <f>HYPERLINK("https://klocwork.india.ti.com:443/review/insight-review.html#issuedetails_goto:problemid=120741,project=MCU_PLUS_SDK_AM263X,searchquery=taxonomy:'C and C++' build:Build_Apr_13_2023_11_11_AM grouping:off ","KW Issue Link")</f>
        <v>KW Issue Link</v>
      </c>
      <c r="O1847" s="1" t="s">
        <v>1083</v>
      </c>
    </row>
    <row r="1848" spans="1:15" ht="75" x14ac:dyDescent="0.25">
      <c r="A1848" s="1" t="s">
        <v>1257</v>
      </c>
      <c r="B1848" s="1" t="s">
        <v>2718</v>
      </c>
      <c r="C1848" s="1" t="s">
        <v>2741</v>
      </c>
      <c r="D1848" s="1">
        <v>120742</v>
      </c>
      <c r="E1848" s="1">
        <v>114</v>
      </c>
      <c r="F1848" s="1" t="s">
        <v>2742</v>
      </c>
      <c r="G1848" s="1" t="s">
        <v>2743</v>
      </c>
      <c r="H1848" s="1" t="s">
        <v>141</v>
      </c>
      <c r="I1848" s="1" t="s">
        <v>65</v>
      </c>
      <c r="J1848" s="1">
        <v>3</v>
      </c>
      <c r="K1848" s="1" t="s">
        <v>142</v>
      </c>
      <c r="L1848" s="1" t="s">
        <v>143</v>
      </c>
      <c r="M1848" s="1" t="s">
        <v>1256</v>
      </c>
      <c r="N1848" s="1" t="str">
        <f>HYPERLINK("https://klocwork.india.ti.com:443/review/insight-review.html#issuedetails_goto:problemid=120742,project=MCU_PLUS_SDK_AM263X,searchquery=taxonomy:'C and C++' build:Build_Apr_13_2023_11_11_AM grouping:off ","KW Issue Link")</f>
        <v>KW Issue Link</v>
      </c>
      <c r="O1848" s="1" t="s">
        <v>1083</v>
      </c>
    </row>
    <row r="1849" spans="1:15" ht="75" x14ac:dyDescent="0.25">
      <c r="A1849" s="1" t="s">
        <v>1257</v>
      </c>
      <c r="B1849" s="1" t="s">
        <v>2718</v>
      </c>
      <c r="C1849" s="1" t="s">
        <v>1093</v>
      </c>
      <c r="D1849" s="1">
        <v>120743</v>
      </c>
      <c r="E1849" s="1">
        <v>89</v>
      </c>
      <c r="F1849" s="1" t="s">
        <v>2744</v>
      </c>
      <c r="G1849" s="1" t="s">
        <v>2745</v>
      </c>
      <c r="H1849" s="1" t="s">
        <v>141</v>
      </c>
      <c r="I1849" s="1" t="s">
        <v>65</v>
      </c>
      <c r="J1849" s="1">
        <v>3</v>
      </c>
      <c r="K1849" s="1" t="s">
        <v>142</v>
      </c>
      <c r="L1849" s="1" t="s">
        <v>143</v>
      </c>
      <c r="M1849" s="1" t="s">
        <v>1256</v>
      </c>
      <c r="N1849" s="1" t="str">
        <f>HYPERLINK("https://klocwork.india.ti.com:443/review/insight-review.html#issuedetails_goto:problemid=120743,project=MCU_PLUS_SDK_AM263X,searchquery=taxonomy:'C and C++' build:Build_Apr_13_2023_11_11_AM grouping:off ","KW Issue Link")</f>
        <v>KW Issue Link</v>
      </c>
      <c r="O1849" s="1" t="s">
        <v>1083</v>
      </c>
    </row>
    <row r="1850" spans="1:15" ht="75" x14ac:dyDescent="0.25">
      <c r="A1850" s="1" t="s">
        <v>1257</v>
      </c>
      <c r="B1850" s="1" t="s">
        <v>2718</v>
      </c>
      <c r="C1850" s="1" t="s">
        <v>1093</v>
      </c>
      <c r="D1850" s="1">
        <v>120744</v>
      </c>
      <c r="E1850" s="1">
        <v>140</v>
      </c>
      <c r="F1850" s="1" t="s">
        <v>2746</v>
      </c>
      <c r="G1850" s="1" t="s">
        <v>1095</v>
      </c>
      <c r="H1850" s="1" t="s">
        <v>141</v>
      </c>
      <c r="I1850" s="1" t="s">
        <v>65</v>
      </c>
      <c r="J1850" s="1">
        <v>3</v>
      </c>
      <c r="K1850" s="1" t="s">
        <v>142</v>
      </c>
      <c r="L1850" s="1" t="s">
        <v>143</v>
      </c>
      <c r="M1850" s="1" t="s">
        <v>1256</v>
      </c>
      <c r="N1850" s="1" t="str">
        <f>HYPERLINK("https://klocwork.india.ti.com:443/review/insight-review.html#issuedetails_goto:problemid=120744,project=MCU_PLUS_SDK_AM263X,searchquery=taxonomy:'C and C++' build:Build_Apr_13_2023_11_11_AM grouping:off ","KW Issue Link")</f>
        <v>KW Issue Link</v>
      </c>
      <c r="O1850" s="1" t="s">
        <v>1083</v>
      </c>
    </row>
    <row r="1851" spans="1:15" ht="75" x14ac:dyDescent="0.25">
      <c r="A1851" s="1" t="s">
        <v>1257</v>
      </c>
      <c r="B1851" s="1" t="s">
        <v>2718</v>
      </c>
      <c r="C1851" s="1" t="s">
        <v>1093</v>
      </c>
      <c r="D1851" s="1">
        <v>120745</v>
      </c>
      <c r="E1851" s="1">
        <v>386</v>
      </c>
      <c r="F1851" s="1" t="s">
        <v>2747</v>
      </c>
      <c r="G1851" s="1" t="s">
        <v>2748</v>
      </c>
      <c r="H1851" s="1" t="s">
        <v>141</v>
      </c>
      <c r="I1851" s="1" t="s">
        <v>65</v>
      </c>
      <c r="J1851" s="1">
        <v>3</v>
      </c>
      <c r="K1851" s="1" t="s">
        <v>142</v>
      </c>
      <c r="L1851" s="1" t="s">
        <v>143</v>
      </c>
      <c r="M1851" s="1" t="s">
        <v>1256</v>
      </c>
      <c r="N1851" s="1" t="str">
        <f>HYPERLINK("https://klocwork.india.ti.com:443/review/insight-review.html#issuedetails_goto:problemid=120745,project=MCU_PLUS_SDK_AM263X,searchquery=taxonomy:'C and C++' build:Build_Apr_13_2023_11_11_AM grouping:off ","KW Issue Link")</f>
        <v>KW Issue Link</v>
      </c>
      <c r="O1851" s="1" t="s">
        <v>1083</v>
      </c>
    </row>
    <row r="1852" spans="1:15" ht="90" x14ac:dyDescent="0.25">
      <c r="A1852" s="1" t="s">
        <v>1266</v>
      </c>
      <c r="B1852" s="1" t="s">
        <v>2732</v>
      </c>
      <c r="C1852" s="1" t="s">
        <v>1093</v>
      </c>
      <c r="D1852" s="1">
        <v>120746</v>
      </c>
      <c r="E1852" s="1">
        <v>140</v>
      </c>
      <c r="F1852" s="1" t="s">
        <v>2749</v>
      </c>
      <c r="G1852" s="1" t="s">
        <v>1095</v>
      </c>
      <c r="H1852" s="1" t="s">
        <v>141</v>
      </c>
      <c r="I1852" s="1" t="s">
        <v>65</v>
      </c>
      <c r="J1852" s="1">
        <v>3</v>
      </c>
      <c r="K1852" s="1" t="s">
        <v>142</v>
      </c>
      <c r="L1852" s="1" t="s">
        <v>143</v>
      </c>
      <c r="M1852" s="1" t="s">
        <v>1256</v>
      </c>
      <c r="N1852" s="1" t="str">
        <f>HYPERLINK("https://klocwork.india.ti.com:443/review/insight-review.html#issuedetails_goto:problemid=120746,project=MCU_PLUS_SDK_AM263X,searchquery=taxonomy:'C and C++' build:Build_Apr_13_2023_11_11_AM grouping:off ","KW Issue Link")</f>
        <v>KW Issue Link</v>
      </c>
      <c r="O1852" s="1" t="s">
        <v>1083</v>
      </c>
    </row>
    <row r="1853" spans="1:15" ht="90" x14ac:dyDescent="0.25">
      <c r="A1853" s="1" t="s">
        <v>1266</v>
      </c>
      <c r="B1853" s="1" t="s">
        <v>2732</v>
      </c>
      <c r="C1853" s="1" t="s">
        <v>1093</v>
      </c>
      <c r="D1853" s="1">
        <v>120747</v>
      </c>
      <c r="E1853" s="1">
        <v>386</v>
      </c>
      <c r="F1853" s="1" t="s">
        <v>2750</v>
      </c>
      <c r="G1853" s="1" t="s">
        <v>2748</v>
      </c>
      <c r="H1853" s="1" t="s">
        <v>141</v>
      </c>
      <c r="I1853" s="1" t="s">
        <v>65</v>
      </c>
      <c r="J1853" s="1">
        <v>3</v>
      </c>
      <c r="K1853" s="1" t="s">
        <v>142</v>
      </c>
      <c r="L1853" s="1" t="s">
        <v>143</v>
      </c>
      <c r="M1853" s="1" t="s">
        <v>1256</v>
      </c>
      <c r="N1853" s="1" t="str">
        <f>HYPERLINK("https://klocwork.india.ti.com:443/review/insight-review.html#issuedetails_goto:problemid=120747,project=MCU_PLUS_SDK_AM263X,searchquery=taxonomy:'C and C++' build:Build_Apr_13_2023_11_11_AM grouping:off ","KW Issue Link")</f>
        <v>KW Issue Link</v>
      </c>
      <c r="O1853" s="1" t="s">
        <v>1083</v>
      </c>
    </row>
    <row r="1854" spans="1:15" ht="135" x14ac:dyDescent="0.25">
      <c r="A1854" s="1" t="s">
        <v>1268</v>
      </c>
      <c r="B1854" s="1" t="s">
        <v>2737</v>
      </c>
      <c r="C1854" s="1" t="s">
        <v>1093</v>
      </c>
      <c r="D1854" s="1">
        <v>120748</v>
      </c>
      <c r="E1854" s="1">
        <v>140</v>
      </c>
      <c r="F1854" s="1" t="s">
        <v>2751</v>
      </c>
      <c r="G1854" s="1" t="s">
        <v>1095</v>
      </c>
      <c r="H1854" s="1" t="s">
        <v>141</v>
      </c>
      <c r="I1854" s="1" t="s">
        <v>65</v>
      </c>
      <c r="J1854" s="1">
        <v>3</v>
      </c>
      <c r="K1854" s="1" t="s">
        <v>142</v>
      </c>
      <c r="L1854" s="1" t="s">
        <v>143</v>
      </c>
      <c r="M1854" s="1" t="s">
        <v>1256</v>
      </c>
      <c r="N1854" s="1" t="str">
        <f>HYPERLINK("https://klocwork.india.ti.com:443/review/insight-review.html#issuedetails_goto:problemid=120748,project=MCU_PLUS_SDK_AM263X,searchquery=taxonomy:'C and C++' build:Build_Apr_13_2023_11_11_AM grouping:off ","KW Issue Link")</f>
        <v>KW Issue Link</v>
      </c>
      <c r="O1854" s="1" t="s">
        <v>1083</v>
      </c>
    </row>
    <row r="1855" spans="1:15" ht="135" x14ac:dyDescent="0.25">
      <c r="A1855" s="1" t="s">
        <v>1268</v>
      </c>
      <c r="B1855" s="1" t="s">
        <v>2737</v>
      </c>
      <c r="C1855" s="1" t="s">
        <v>1093</v>
      </c>
      <c r="D1855" s="1">
        <v>120749</v>
      </c>
      <c r="E1855" s="1">
        <v>386</v>
      </c>
      <c r="F1855" s="1" t="s">
        <v>2752</v>
      </c>
      <c r="G1855" s="1" t="s">
        <v>2748</v>
      </c>
      <c r="H1855" s="1" t="s">
        <v>141</v>
      </c>
      <c r="I1855" s="1" t="s">
        <v>65</v>
      </c>
      <c r="J1855" s="1">
        <v>3</v>
      </c>
      <c r="K1855" s="1" t="s">
        <v>142</v>
      </c>
      <c r="L1855" s="1" t="s">
        <v>143</v>
      </c>
      <c r="M1855" s="1" t="s">
        <v>1256</v>
      </c>
      <c r="N1855" s="1" t="str">
        <f>HYPERLINK("https://klocwork.india.ti.com:443/review/insight-review.html#issuedetails_goto:problemid=120749,project=MCU_PLUS_SDK_AM263X,searchquery=taxonomy:'C and C++' build:Build_Apr_13_2023_11_11_AM grouping:off ","KW Issue Link")</f>
        <v>KW Issue Link</v>
      </c>
      <c r="O1855" s="1" t="s">
        <v>1083</v>
      </c>
    </row>
    <row r="1856" spans="1:15" ht="75" x14ac:dyDescent="0.25">
      <c r="A1856" s="1" t="s">
        <v>1257</v>
      </c>
      <c r="B1856" s="1" t="s">
        <v>2718</v>
      </c>
      <c r="C1856" s="1" t="s">
        <v>2753</v>
      </c>
      <c r="D1856" s="1">
        <v>120750</v>
      </c>
      <c r="E1856" s="1">
        <v>109</v>
      </c>
      <c r="F1856" s="1" t="s">
        <v>2754</v>
      </c>
      <c r="G1856" s="1" t="s">
        <v>2755</v>
      </c>
      <c r="H1856" s="1" t="s">
        <v>141</v>
      </c>
      <c r="I1856" s="1" t="s">
        <v>65</v>
      </c>
      <c r="J1856" s="1">
        <v>3</v>
      </c>
      <c r="K1856" s="1" t="s">
        <v>142</v>
      </c>
      <c r="L1856" s="1" t="s">
        <v>143</v>
      </c>
      <c r="M1856" s="1" t="s">
        <v>1256</v>
      </c>
      <c r="N1856" s="1" t="str">
        <f>HYPERLINK("https://klocwork.india.ti.com:443/review/insight-review.html#issuedetails_goto:problemid=120750,project=MCU_PLUS_SDK_AM263X,searchquery=taxonomy:'C and C++' build:Build_Apr_13_2023_11_11_AM grouping:off ","KW Issue Link")</f>
        <v>KW Issue Link</v>
      </c>
      <c r="O1856" s="1" t="s">
        <v>1083</v>
      </c>
    </row>
    <row r="1857" spans="1:15" ht="75" x14ac:dyDescent="0.25">
      <c r="A1857" s="1" t="s">
        <v>1257</v>
      </c>
      <c r="B1857" s="1" t="s">
        <v>2718</v>
      </c>
      <c r="C1857" s="1" t="s">
        <v>2756</v>
      </c>
      <c r="D1857" s="1">
        <v>120753</v>
      </c>
      <c r="E1857" s="1">
        <v>302</v>
      </c>
      <c r="F1857" s="1" t="s">
        <v>2757</v>
      </c>
      <c r="G1857" s="1" t="s">
        <v>2758</v>
      </c>
      <c r="H1857" s="1" t="s">
        <v>141</v>
      </c>
      <c r="I1857" s="1" t="s">
        <v>65</v>
      </c>
      <c r="J1857" s="1">
        <v>3</v>
      </c>
      <c r="K1857" s="1" t="s">
        <v>142</v>
      </c>
      <c r="L1857" s="1" t="s">
        <v>143</v>
      </c>
      <c r="M1857" s="1" t="s">
        <v>1256</v>
      </c>
      <c r="N1857" s="1" t="str">
        <f>HYPERLINK("https://klocwork.india.ti.com:443/review/insight-review.html#issuedetails_goto:problemid=120753,project=MCU_PLUS_SDK_AM263X,searchquery=taxonomy:'C and C++' build:Build_Apr_13_2023_11_11_AM grouping:off ","KW Issue Link")</f>
        <v>KW Issue Link</v>
      </c>
      <c r="O1857" s="1" t="s">
        <v>1083</v>
      </c>
    </row>
    <row r="1858" spans="1:15" ht="75" x14ac:dyDescent="0.25">
      <c r="A1858" s="1" t="s">
        <v>1257</v>
      </c>
      <c r="B1858" s="1" t="s">
        <v>2718</v>
      </c>
      <c r="C1858" s="1" t="s">
        <v>1176</v>
      </c>
      <c r="D1858" s="1">
        <v>120755</v>
      </c>
      <c r="E1858" s="1">
        <v>124</v>
      </c>
      <c r="F1858" s="1" t="s">
        <v>2759</v>
      </c>
      <c r="G1858" s="1" t="s">
        <v>2760</v>
      </c>
      <c r="H1858" s="1" t="s">
        <v>141</v>
      </c>
      <c r="I1858" s="1" t="s">
        <v>65</v>
      </c>
      <c r="J1858" s="1">
        <v>3</v>
      </c>
      <c r="K1858" s="1" t="s">
        <v>142</v>
      </c>
      <c r="L1858" s="1" t="s">
        <v>143</v>
      </c>
      <c r="M1858" s="1" t="s">
        <v>1256</v>
      </c>
      <c r="N1858" s="1" t="str">
        <f>HYPERLINK("https://klocwork.india.ti.com:443/review/insight-review.html#issuedetails_goto:problemid=120755,project=MCU_PLUS_SDK_AM263X,searchquery=taxonomy:'C and C++' build:Build_Apr_13_2023_11_11_AM grouping:off ","KW Issue Link")</f>
        <v>KW Issue Link</v>
      </c>
      <c r="O1858" s="1" t="s">
        <v>1083</v>
      </c>
    </row>
    <row r="1859" spans="1:15" ht="75" x14ac:dyDescent="0.25">
      <c r="A1859" s="1" t="s">
        <v>1257</v>
      </c>
      <c r="B1859" s="1"/>
      <c r="C1859" s="1" t="s">
        <v>626</v>
      </c>
      <c r="D1859" s="1">
        <v>120756</v>
      </c>
      <c r="E1859" s="1">
        <v>451</v>
      </c>
      <c r="F1859" s="1" t="s">
        <v>2761</v>
      </c>
      <c r="G1859" s="1" t="s">
        <v>638</v>
      </c>
      <c r="H1859" s="1" t="s">
        <v>141</v>
      </c>
      <c r="I1859" s="1" t="s">
        <v>65</v>
      </c>
      <c r="J1859" s="1">
        <v>3</v>
      </c>
      <c r="K1859" s="1" t="s">
        <v>142</v>
      </c>
      <c r="L1859" s="1" t="s">
        <v>153</v>
      </c>
      <c r="M1859" s="1" t="s">
        <v>1256</v>
      </c>
      <c r="N1859" s="1" t="str">
        <f>HYPERLINK("https://klocwork.india.ti.com:443/review/insight-review.html#issuedetails_goto:problemid=120756,project=MCU_PLUS_SDK_AM263X,searchquery=taxonomy:'C and C++' build:Build_Apr_13_2023_11_11_AM grouping:off ","KW Issue Link")</f>
        <v>KW Issue Link</v>
      </c>
      <c r="O1859" s="1" t="s">
        <v>353</v>
      </c>
    </row>
    <row r="1860" spans="1:15" ht="75" x14ac:dyDescent="0.25">
      <c r="A1860" s="1" t="s">
        <v>1257</v>
      </c>
      <c r="B1860" s="1"/>
      <c r="C1860" s="1" t="s">
        <v>626</v>
      </c>
      <c r="D1860" s="1">
        <v>120757</v>
      </c>
      <c r="E1860" s="1">
        <v>1031</v>
      </c>
      <c r="F1860" s="1" t="s">
        <v>2762</v>
      </c>
      <c r="G1860" s="1" t="s">
        <v>2763</v>
      </c>
      <c r="H1860" s="1" t="s">
        <v>141</v>
      </c>
      <c r="I1860" s="1" t="s">
        <v>65</v>
      </c>
      <c r="J1860" s="1">
        <v>3</v>
      </c>
      <c r="K1860" s="1" t="s">
        <v>142</v>
      </c>
      <c r="L1860" s="1" t="s">
        <v>153</v>
      </c>
      <c r="M1860" s="1" t="s">
        <v>1256</v>
      </c>
      <c r="N1860" s="1" t="str">
        <f>HYPERLINK("https://klocwork.india.ti.com:443/review/insight-review.html#issuedetails_goto:problemid=120757,project=MCU_PLUS_SDK_AM263X,searchquery=taxonomy:'C and C++' build:Build_Apr_13_2023_11_11_AM grouping:off ","KW Issue Link")</f>
        <v>KW Issue Link</v>
      </c>
      <c r="O1860" s="1" t="s">
        <v>353</v>
      </c>
    </row>
    <row r="1861" spans="1:15" ht="75" x14ac:dyDescent="0.25">
      <c r="A1861" s="1" t="s">
        <v>1257</v>
      </c>
      <c r="B1861" s="1"/>
      <c r="C1861" s="1" t="s">
        <v>626</v>
      </c>
      <c r="D1861" s="1">
        <v>120758</v>
      </c>
      <c r="E1861" s="1">
        <v>1168</v>
      </c>
      <c r="F1861" s="1" t="s">
        <v>2764</v>
      </c>
      <c r="G1861" s="1" t="s">
        <v>645</v>
      </c>
      <c r="H1861" s="1" t="s">
        <v>141</v>
      </c>
      <c r="I1861" s="1" t="s">
        <v>65</v>
      </c>
      <c r="J1861" s="1">
        <v>3</v>
      </c>
      <c r="K1861" s="1" t="s">
        <v>142</v>
      </c>
      <c r="L1861" s="1" t="s">
        <v>153</v>
      </c>
      <c r="M1861" s="1" t="s">
        <v>1256</v>
      </c>
      <c r="N1861" s="1" t="str">
        <f>HYPERLINK("https://klocwork.india.ti.com:443/review/insight-review.html#issuedetails_goto:problemid=120758,project=MCU_PLUS_SDK_AM263X,searchquery=taxonomy:'C and C++' build:Build_Apr_13_2023_11_11_AM grouping:off ","KW Issue Link")</f>
        <v>KW Issue Link</v>
      </c>
      <c r="O1861" s="1" t="s">
        <v>353</v>
      </c>
    </row>
    <row r="1862" spans="1:15" ht="75" x14ac:dyDescent="0.25">
      <c r="A1862" s="1" t="s">
        <v>1266</v>
      </c>
      <c r="B1862" s="1"/>
      <c r="C1862" s="1" t="s">
        <v>626</v>
      </c>
      <c r="D1862" s="1">
        <v>120760</v>
      </c>
      <c r="E1862" s="1">
        <v>1031</v>
      </c>
      <c r="F1862" s="1" t="s">
        <v>2765</v>
      </c>
      <c r="G1862" s="1" t="s">
        <v>2763</v>
      </c>
      <c r="H1862" s="1" t="s">
        <v>141</v>
      </c>
      <c r="I1862" s="1" t="s">
        <v>65</v>
      </c>
      <c r="J1862" s="1">
        <v>3</v>
      </c>
      <c r="K1862" s="1" t="s">
        <v>142</v>
      </c>
      <c r="L1862" s="1" t="s">
        <v>153</v>
      </c>
      <c r="M1862" s="1" t="s">
        <v>1256</v>
      </c>
      <c r="N1862" s="1" t="str">
        <f>HYPERLINK("https://klocwork.india.ti.com:443/review/insight-review.html#issuedetails_goto:problemid=120760,project=MCU_PLUS_SDK_AM263X,searchquery=taxonomy:'C and C++' build:Build_Apr_13_2023_11_11_AM grouping:off ","KW Issue Link")</f>
        <v>KW Issue Link</v>
      </c>
      <c r="O1862" s="1" t="s">
        <v>353</v>
      </c>
    </row>
    <row r="1863" spans="1:15" ht="75" x14ac:dyDescent="0.25">
      <c r="A1863" s="1" t="s">
        <v>1266</v>
      </c>
      <c r="B1863" s="1"/>
      <c r="C1863" s="1" t="s">
        <v>626</v>
      </c>
      <c r="D1863" s="1">
        <v>120761</v>
      </c>
      <c r="E1863" s="1">
        <v>1168</v>
      </c>
      <c r="F1863" s="1" t="s">
        <v>2766</v>
      </c>
      <c r="G1863" s="1" t="s">
        <v>645</v>
      </c>
      <c r="H1863" s="1" t="s">
        <v>141</v>
      </c>
      <c r="I1863" s="1" t="s">
        <v>65</v>
      </c>
      <c r="J1863" s="1">
        <v>3</v>
      </c>
      <c r="K1863" s="1" t="s">
        <v>142</v>
      </c>
      <c r="L1863" s="1" t="s">
        <v>153</v>
      </c>
      <c r="M1863" s="1" t="s">
        <v>1256</v>
      </c>
      <c r="N1863" s="1" t="str">
        <f>HYPERLINK("https://klocwork.india.ti.com:443/review/insight-review.html#issuedetails_goto:problemid=120761,project=MCU_PLUS_SDK_AM263X,searchquery=taxonomy:'C and C++' build:Build_Apr_13_2023_11_11_AM grouping:off ","KW Issue Link")</f>
        <v>KW Issue Link</v>
      </c>
      <c r="O1863" s="1" t="s">
        <v>353</v>
      </c>
    </row>
    <row r="1864" spans="1:15" ht="75" x14ac:dyDescent="0.25">
      <c r="A1864" s="1" t="s">
        <v>1266</v>
      </c>
      <c r="B1864" s="1"/>
      <c r="C1864" s="1" t="s">
        <v>626</v>
      </c>
      <c r="D1864" s="1">
        <v>120762</v>
      </c>
      <c r="E1864" s="1">
        <v>1243</v>
      </c>
      <c r="F1864" s="1" t="s">
        <v>2767</v>
      </c>
      <c r="G1864" s="1" t="s">
        <v>647</v>
      </c>
      <c r="H1864" s="1" t="s">
        <v>141</v>
      </c>
      <c r="I1864" s="1" t="s">
        <v>65</v>
      </c>
      <c r="J1864" s="1">
        <v>3</v>
      </c>
      <c r="K1864" s="1" t="s">
        <v>142</v>
      </c>
      <c r="L1864" s="1" t="s">
        <v>153</v>
      </c>
      <c r="M1864" s="1" t="s">
        <v>1256</v>
      </c>
      <c r="N1864" s="1" t="str">
        <f>HYPERLINK("https://klocwork.india.ti.com:443/review/insight-review.html#issuedetails_goto:problemid=120762,project=MCU_PLUS_SDK_AM263X,searchquery=taxonomy:'C and C++' build:Build_Apr_13_2023_11_11_AM grouping:off ","KW Issue Link")</f>
        <v>KW Issue Link</v>
      </c>
      <c r="O1864" s="1" t="s">
        <v>353</v>
      </c>
    </row>
    <row r="1865" spans="1:15" ht="75" x14ac:dyDescent="0.25">
      <c r="A1865" s="1" t="s">
        <v>1268</v>
      </c>
      <c r="B1865" s="1"/>
      <c r="C1865" s="1" t="s">
        <v>626</v>
      </c>
      <c r="D1865" s="1">
        <v>120763</v>
      </c>
      <c r="E1865" s="1">
        <v>1031</v>
      </c>
      <c r="F1865" s="1" t="s">
        <v>2768</v>
      </c>
      <c r="G1865" s="1" t="s">
        <v>2763</v>
      </c>
      <c r="H1865" s="1" t="s">
        <v>141</v>
      </c>
      <c r="I1865" s="1" t="s">
        <v>65</v>
      </c>
      <c r="J1865" s="1">
        <v>3</v>
      </c>
      <c r="K1865" s="1" t="s">
        <v>142</v>
      </c>
      <c r="L1865" s="1" t="s">
        <v>153</v>
      </c>
      <c r="M1865" s="1" t="s">
        <v>1256</v>
      </c>
      <c r="N1865" s="1" t="str">
        <f>HYPERLINK("https://klocwork.india.ti.com:443/review/insight-review.html#issuedetails_goto:problemid=120763,project=MCU_PLUS_SDK_AM263X,searchquery=taxonomy:'C and C++' build:Build_Apr_13_2023_11_11_AM grouping:off ","KW Issue Link")</f>
        <v>KW Issue Link</v>
      </c>
      <c r="O1865" s="1" t="s">
        <v>353</v>
      </c>
    </row>
    <row r="1866" spans="1:15" ht="75" x14ac:dyDescent="0.25">
      <c r="A1866" s="1" t="s">
        <v>1268</v>
      </c>
      <c r="B1866" s="1"/>
      <c r="C1866" s="1" t="s">
        <v>626</v>
      </c>
      <c r="D1866" s="1">
        <v>120764</v>
      </c>
      <c r="E1866" s="1">
        <v>1168</v>
      </c>
      <c r="F1866" s="1" t="s">
        <v>2769</v>
      </c>
      <c r="G1866" s="1" t="s">
        <v>645</v>
      </c>
      <c r="H1866" s="1" t="s">
        <v>141</v>
      </c>
      <c r="I1866" s="1" t="s">
        <v>65</v>
      </c>
      <c r="J1866" s="1">
        <v>3</v>
      </c>
      <c r="K1866" s="1" t="s">
        <v>142</v>
      </c>
      <c r="L1866" s="1" t="s">
        <v>153</v>
      </c>
      <c r="M1866" s="1" t="s">
        <v>1256</v>
      </c>
      <c r="N1866" s="1" t="str">
        <f>HYPERLINK("https://klocwork.india.ti.com:443/review/insight-review.html#issuedetails_goto:problemid=120764,project=MCU_PLUS_SDK_AM263X,searchquery=taxonomy:'C and C++' build:Build_Apr_13_2023_11_11_AM grouping:off ","KW Issue Link")</f>
        <v>KW Issue Link</v>
      </c>
      <c r="O1866" s="1" t="s">
        <v>353</v>
      </c>
    </row>
    <row r="1867" spans="1:15" ht="60" x14ac:dyDescent="0.25">
      <c r="A1867" s="1" t="s">
        <v>1257</v>
      </c>
      <c r="B1867" s="1"/>
      <c r="C1867" s="1" t="s">
        <v>2770</v>
      </c>
      <c r="D1867" s="1">
        <v>120765</v>
      </c>
      <c r="E1867" s="1">
        <v>214</v>
      </c>
      <c r="F1867" s="1" t="s">
        <v>2771</v>
      </c>
      <c r="G1867" s="1" t="s">
        <v>2772</v>
      </c>
      <c r="H1867" s="1" t="s">
        <v>141</v>
      </c>
      <c r="I1867" s="1" t="s">
        <v>65</v>
      </c>
      <c r="J1867" s="1">
        <v>3</v>
      </c>
      <c r="K1867" s="1" t="s">
        <v>142</v>
      </c>
      <c r="L1867" s="1" t="s">
        <v>153</v>
      </c>
      <c r="M1867" s="1" t="s">
        <v>1256</v>
      </c>
      <c r="N1867" s="1" t="str">
        <f>HYPERLINK("https://klocwork.india.ti.com:443/review/insight-review.html#issuedetails_goto:problemid=120765,project=MCU_PLUS_SDK_AM263X,searchquery=taxonomy:'C and C++' build:Build_Apr_13_2023_11_11_AM grouping:off ","KW Issue Link")</f>
        <v>KW Issue Link</v>
      </c>
      <c r="O1867" s="1" t="s">
        <v>1083</v>
      </c>
    </row>
    <row r="1868" spans="1:15" ht="60" x14ac:dyDescent="0.25">
      <c r="A1868" s="1" t="s">
        <v>1257</v>
      </c>
      <c r="B1868" s="1"/>
      <c r="C1868" s="1" t="s">
        <v>2770</v>
      </c>
      <c r="D1868" s="1">
        <v>120766</v>
      </c>
      <c r="E1868" s="1">
        <v>277</v>
      </c>
      <c r="F1868" s="1" t="s">
        <v>2773</v>
      </c>
      <c r="G1868" s="1" t="s">
        <v>2774</v>
      </c>
      <c r="H1868" s="1" t="s">
        <v>141</v>
      </c>
      <c r="I1868" s="1" t="s">
        <v>65</v>
      </c>
      <c r="J1868" s="1">
        <v>3</v>
      </c>
      <c r="K1868" s="1" t="s">
        <v>142</v>
      </c>
      <c r="L1868" s="1" t="s">
        <v>153</v>
      </c>
      <c r="M1868" s="1" t="s">
        <v>1256</v>
      </c>
      <c r="N1868" s="1" t="str">
        <f>HYPERLINK("https://klocwork.india.ti.com:443/review/insight-review.html#issuedetails_goto:problemid=120766,project=MCU_PLUS_SDK_AM263X,searchquery=taxonomy:'C and C++' build:Build_Apr_13_2023_11_11_AM grouping:off ","KW Issue Link")</f>
        <v>KW Issue Link</v>
      </c>
      <c r="O1868" s="1" t="s">
        <v>1083</v>
      </c>
    </row>
    <row r="1869" spans="1:15" ht="60" x14ac:dyDescent="0.25">
      <c r="A1869" s="1" t="s">
        <v>1266</v>
      </c>
      <c r="B1869" s="1"/>
      <c r="C1869" s="1" t="s">
        <v>2770</v>
      </c>
      <c r="D1869" s="1">
        <v>120767</v>
      </c>
      <c r="E1869" s="1">
        <v>368</v>
      </c>
      <c r="F1869" s="1" t="s">
        <v>2775</v>
      </c>
      <c r="G1869" s="1" t="s">
        <v>2776</v>
      </c>
      <c r="H1869" s="1" t="s">
        <v>141</v>
      </c>
      <c r="I1869" s="1" t="s">
        <v>65</v>
      </c>
      <c r="J1869" s="1">
        <v>3</v>
      </c>
      <c r="K1869" s="1" t="s">
        <v>142</v>
      </c>
      <c r="L1869" s="1" t="s">
        <v>153</v>
      </c>
      <c r="M1869" s="1" t="s">
        <v>1256</v>
      </c>
      <c r="N1869" s="1" t="str">
        <f>HYPERLINK("https://klocwork.india.ti.com:443/review/insight-review.html#issuedetails_goto:problemid=120767,project=MCU_PLUS_SDK_AM263X,searchquery=taxonomy:'C and C++' build:Build_Apr_13_2023_11_11_AM grouping:off ","KW Issue Link")</f>
        <v>KW Issue Link</v>
      </c>
      <c r="O1869" s="1" t="s">
        <v>1083</v>
      </c>
    </row>
    <row r="1870" spans="1:15" ht="60" x14ac:dyDescent="0.25">
      <c r="A1870" s="1" t="s">
        <v>1268</v>
      </c>
      <c r="B1870" s="1"/>
      <c r="C1870" s="1" t="s">
        <v>2770</v>
      </c>
      <c r="D1870" s="1">
        <v>120768</v>
      </c>
      <c r="E1870" s="1">
        <v>368</v>
      </c>
      <c r="F1870" s="1" t="s">
        <v>2777</v>
      </c>
      <c r="G1870" s="1" t="s">
        <v>2776</v>
      </c>
      <c r="H1870" s="1" t="s">
        <v>141</v>
      </c>
      <c r="I1870" s="1" t="s">
        <v>65</v>
      </c>
      <c r="J1870" s="1">
        <v>3</v>
      </c>
      <c r="K1870" s="1" t="s">
        <v>142</v>
      </c>
      <c r="L1870" s="1" t="s">
        <v>153</v>
      </c>
      <c r="M1870" s="1" t="s">
        <v>1256</v>
      </c>
      <c r="N1870" s="1" t="str">
        <f>HYPERLINK("https://klocwork.india.ti.com:443/review/insight-review.html#issuedetails_goto:problemid=120768,project=MCU_PLUS_SDK_AM263X,searchquery=taxonomy:'C and C++' build:Build_Apr_13_2023_11_11_AM grouping:off ","KW Issue Link")</f>
        <v>KW Issue Link</v>
      </c>
      <c r="O1870" s="1" t="s">
        <v>1083</v>
      </c>
    </row>
    <row r="1871" spans="1:15" ht="60" x14ac:dyDescent="0.25">
      <c r="A1871" s="1" t="s">
        <v>1257</v>
      </c>
      <c r="B1871" s="1"/>
      <c r="C1871" s="1" t="s">
        <v>648</v>
      </c>
      <c r="D1871" s="1">
        <v>120769</v>
      </c>
      <c r="E1871" s="1">
        <v>116</v>
      </c>
      <c r="F1871" s="1" t="s">
        <v>2778</v>
      </c>
      <c r="G1871" s="1" t="s">
        <v>650</v>
      </c>
      <c r="H1871" s="1" t="s">
        <v>141</v>
      </c>
      <c r="I1871" s="1" t="s">
        <v>65</v>
      </c>
      <c r="J1871" s="1">
        <v>3</v>
      </c>
      <c r="K1871" s="1" t="s">
        <v>142</v>
      </c>
      <c r="L1871" s="1" t="s">
        <v>153</v>
      </c>
      <c r="M1871" s="1" t="s">
        <v>1256</v>
      </c>
      <c r="N1871" s="1" t="str">
        <f>HYPERLINK("https://klocwork.india.ti.com:443/review/insight-review.html#issuedetails_goto:problemid=120769,project=MCU_PLUS_SDK_AM263X,searchquery=taxonomy:'C and C++' build:Build_Apr_13_2023_11_11_AM grouping:off ","KW Issue Link")</f>
        <v>KW Issue Link</v>
      </c>
      <c r="O1871" s="1" t="s">
        <v>291</v>
      </c>
    </row>
    <row r="1872" spans="1:15" ht="60" x14ac:dyDescent="0.25">
      <c r="A1872" s="1" t="s">
        <v>1257</v>
      </c>
      <c r="B1872" s="1"/>
      <c r="C1872" s="1" t="s">
        <v>648</v>
      </c>
      <c r="D1872" s="1">
        <v>120770</v>
      </c>
      <c r="E1872" s="1">
        <v>207</v>
      </c>
      <c r="F1872" s="1" t="s">
        <v>2779</v>
      </c>
      <c r="G1872" s="1" t="s">
        <v>653</v>
      </c>
      <c r="H1872" s="1" t="s">
        <v>141</v>
      </c>
      <c r="I1872" s="1" t="s">
        <v>65</v>
      </c>
      <c r="J1872" s="1">
        <v>3</v>
      </c>
      <c r="K1872" s="1" t="s">
        <v>142</v>
      </c>
      <c r="L1872" s="1" t="s">
        <v>153</v>
      </c>
      <c r="M1872" s="1" t="s">
        <v>1256</v>
      </c>
      <c r="N1872" s="1" t="str">
        <f>HYPERLINK("https://klocwork.india.ti.com:443/review/insight-review.html#issuedetails_goto:problemid=120770,project=MCU_PLUS_SDK_AM263X,searchquery=taxonomy:'C and C++' build:Build_Apr_13_2023_11_11_AM grouping:off ","KW Issue Link")</f>
        <v>KW Issue Link</v>
      </c>
      <c r="O1872" s="1" t="s">
        <v>291</v>
      </c>
    </row>
    <row r="1873" spans="1:15" ht="60" x14ac:dyDescent="0.25">
      <c r="A1873" s="1" t="s">
        <v>1257</v>
      </c>
      <c r="B1873" s="1"/>
      <c r="C1873" s="1" t="s">
        <v>648</v>
      </c>
      <c r="D1873" s="1">
        <v>120771</v>
      </c>
      <c r="E1873" s="1">
        <v>360</v>
      </c>
      <c r="F1873" s="1" t="s">
        <v>2780</v>
      </c>
      <c r="G1873" s="1" t="s">
        <v>2781</v>
      </c>
      <c r="H1873" s="1" t="s">
        <v>141</v>
      </c>
      <c r="I1873" s="1" t="s">
        <v>65</v>
      </c>
      <c r="J1873" s="1">
        <v>3</v>
      </c>
      <c r="K1873" s="1" t="s">
        <v>142</v>
      </c>
      <c r="L1873" s="1" t="s">
        <v>153</v>
      </c>
      <c r="M1873" s="1" t="s">
        <v>1256</v>
      </c>
      <c r="N1873" s="1" t="str">
        <f>HYPERLINK("https://klocwork.india.ti.com:443/review/insight-review.html#issuedetails_goto:problemid=120771,project=MCU_PLUS_SDK_AM263X,searchquery=taxonomy:'C and C++' build:Build_Apr_13_2023_11_11_AM grouping:off ","KW Issue Link")</f>
        <v>KW Issue Link</v>
      </c>
      <c r="O1873" s="1" t="s">
        <v>291</v>
      </c>
    </row>
    <row r="1874" spans="1:15" ht="60" x14ac:dyDescent="0.25">
      <c r="A1874" s="1" t="s">
        <v>1266</v>
      </c>
      <c r="B1874" s="1"/>
      <c r="C1874" s="1" t="s">
        <v>648</v>
      </c>
      <c r="D1874" s="1">
        <v>120773</v>
      </c>
      <c r="E1874" s="1">
        <v>116</v>
      </c>
      <c r="F1874" s="1" t="s">
        <v>2782</v>
      </c>
      <c r="G1874" s="1" t="s">
        <v>650</v>
      </c>
      <c r="H1874" s="1" t="s">
        <v>141</v>
      </c>
      <c r="I1874" s="1" t="s">
        <v>65</v>
      </c>
      <c r="J1874" s="1">
        <v>3</v>
      </c>
      <c r="K1874" s="1" t="s">
        <v>142</v>
      </c>
      <c r="L1874" s="1" t="s">
        <v>153</v>
      </c>
      <c r="M1874" s="1" t="s">
        <v>1256</v>
      </c>
      <c r="N1874" s="1" t="str">
        <f>HYPERLINK("https://klocwork.india.ti.com:443/review/insight-review.html#issuedetails_goto:problemid=120773,project=MCU_PLUS_SDK_AM263X,searchquery=taxonomy:'C and C++' build:Build_Apr_13_2023_11_11_AM grouping:off ","KW Issue Link")</f>
        <v>KW Issue Link</v>
      </c>
      <c r="O1874" s="1" t="s">
        <v>291</v>
      </c>
    </row>
    <row r="1875" spans="1:15" ht="60" x14ac:dyDescent="0.25">
      <c r="A1875" s="1" t="s">
        <v>1266</v>
      </c>
      <c r="B1875" s="1"/>
      <c r="C1875" s="1" t="s">
        <v>648</v>
      </c>
      <c r="D1875" s="1">
        <v>120774</v>
      </c>
      <c r="E1875" s="1">
        <v>207</v>
      </c>
      <c r="F1875" s="1" t="s">
        <v>2783</v>
      </c>
      <c r="G1875" s="1" t="s">
        <v>653</v>
      </c>
      <c r="H1875" s="1" t="s">
        <v>141</v>
      </c>
      <c r="I1875" s="1" t="s">
        <v>65</v>
      </c>
      <c r="J1875" s="1">
        <v>3</v>
      </c>
      <c r="K1875" s="1" t="s">
        <v>142</v>
      </c>
      <c r="L1875" s="1" t="s">
        <v>153</v>
      </c>
      <c r="M1875" s="1" t="s">
        <v>1256</v>
      </c>
      <c r="N1875" s="1" t="str">
        <f>HYPERLINK("https://klocwork.india.ti.com:443/review/insight-review.html#issuedetails_goto:problemid=120774,project=MCU_PLUS_SDK_AM263X,searchquery=taxonomy:'C and C++' build:Build_Apr_13_2023_11_11_AM grouping:off ","KW Issue Link")</f>
        <v>KW Issue Link</v>
      </c>
      <c r="O1875" s="1" t="s">
        <v>291</v>
      </c>
    </row>
    <row r="1876" spans="1:15" ht="60" x14ac:dyDescent="0.25">
      <c r="A1876" s="1" t="s">
        <v>1266</v>
      </c>
      <c r="B1876" s="1"/>
      <c r="C1876" s="1" t="s">
        <v>648</v>
      </c>
      <c r="D1876" s="1">
        <v>120775</v>
      </c>
      <c r="E1876" s="1">
        <v>360</v>
      </c>
      <c r="F1876" s="1" t="s">
        <v>2784</v>
      </c>
      <c r="G1876" s="1" t="s">
        <v>2781</v>
      </c>
      <c r="H1876" s="1" t="s">
        <v>141</v>
      </c>
      <c r="I1876" s="1" t="s">
        <v>65</v>
      </c>
      <c r="J1876" s="1">
        <v>3</v>
      </c>
      <c r="K1876" s="1" t="s">
        <v>142</v>
      </c>
      <c r="L1876" s="1" t="s">
        <v>153</v>
      </c>
      <c r="M1876" s="1" t="s">
        <v>1256</v>
      </c>
      <c r="N1876" s="1" t="str">
        <f>HYPERLINK("https://klocwork.india.ti.com:443/review/insight-review.html#issuedetails_goto:problemid=120775,project=MCU_PLUS_SDK_AM263X,searchquery=taxonomy:'C and C++' build:Build_Apr_13_2023_11_11_AM grouping:off ","KW Issue Link")</f>
        <v>KW Issue Link</v>
      </c>
      <c r="O1876" s="1" t="s">
        <v>291</v>
      </c>
    </row>
    <row r="1877" spans="1:15" ht="60" x14ac:dyDescent="0.25">
      <c r="A1877" s="1" t="s">
        <v>1268</v>
      </c>
      <c r="B1877" s="1"/>
      <c r="C1877" s="1" t="s">
        <v>648</v>
      </c>
      <c r="D1877" s="1">
        <v>120777</v>
      </c>
      <c r="E1877" s="1">
        <v>116</v>
      </c>
      <c r="F1877" s="1" t="s">
        <v>2785</v>
      </c>
      <c r="G1877" s="1" t="s">
        <v>650</v>
      </c>
      <c r="H1877" s="1" t="s">
        <v>141</v>
      </c>
      <c r="I1877" s="1" t="s">
        <v>65</v>
      </c>
      <c r="J1877" s="1">
        <v>3</v>
      </c>
      <c r="K1877" s="1" t="s">
        <v>142</v>
      </c>
      <c r="L1877" s="1" t="s">
        <v>153</v>
      </c>
      <c r="M1877" s="1" t="s">
        <v>1256</v>
      </c>
      <c r="N1877" s="1" t="str">
        <f>HYPERLINK("https://klocwork.india.ti.com:443/review/insight-review.html#issuedetails_goto:problemid=120777,project=MCU_PLUS_SDK_AM263X,searchquery=taxonomy:'C and C++' build:Build_Apr_13_2023_11_11_AM grouping:off ","KW Issue Link")</f>
        <v>KW Issue Link</v>
      </c>
      <c r="O1877" s="1" t="s">
        <v>291</v>
      </c>
    </row>
    <row r="1878" spans="1:15" ht="60" x14ac:dyDescent="0.25">
      <c r="A1878" s="1" t="s">
        <v>1268</v>
      </c>
      <c r="B1878" s="1"/>
      <c r="C1878" s="1" t="s">
        <v>648</v>
      </c>
      <c r="D1878" s="1">
        <v>120778</v>
      </c>
      <c r="E1878" s="1">
        <v>207</v>
      </c>
      <c r="F1878" s="1" t="s">
        <v>2786</v>
      </c>
      <c r="G1878" s="1" t="s">
        <v>653</v>
      </c>
      <c r="H1878" s="1" t="s">
        <v>141</v>
      </c>
      <c r="I1878" s="1" t="s">
        <v>65</v>
      </c>
      <c r="J1878" s="1">
        <v>3</v>
      </c>
      <c r="K1878" s="1" t="s">
        <v>142</v>
      </c>
      <c r="L1878" s="1" t="s">
        <v>153</v>
      </c>
      <c r="M1878" s="1" t="s">
        <v>1256</v>
      </c>
      <c r="N1878" s="1" t="str">
        <f>HYPERLINK("https://klocwork.india.ti.com:443/review/insight-review.html#issuedetails_goto:problemid=120778,project=MCU_PLUS_SDK_AM263X,searchquery=taxonomy:'C and C++' build:Build_Apr_13_2023_11_11_AM grouping:off ","KW Issue Link")</f>
        <v>KW Issue Link</v>
      </c>
      <c r="O1878" s="1" t="s">
        <v>291</v>
      </c>
    </row>
    <row r="1879" spans="1:15" ht="60" x14ac:dyDescent="0.25">
      <c r="A1879" s="1" t="s">
        <v>1268</v>
      </c>
      <c r="B1879" s="1"/>
      <c r="C1879" s="1" t="s">
        <v>648</v>
      </c>
      <c r="D1879" s="1">
        <v>120779</v>
      </c>
      <c r="E1879" s="1">
        <v>360</v>
      </c>
      <c r="F1879" s="1" t="s">
        <v>2787</v>
      </c>
      <c r="G1879" s="1" t="s">
        <v>2781</v>
      </c>
      <c r="H1879" s="1" t="s">
        <v>141</v>
      </c>
      <c r="I1879" s="1" t="s">
        <v>65</v>
      </c>
      <c r="J1879" s="1">
        <v>3</v>
      </c>
      <c r="K1879" s="1" t="s">
        <v>142</v>
      </c>
      <c r="L1879" s="1" t="s">
        <v>153</v>
      </c>
      <c r="M1879" s="1" t="s">
        <v>1256</v>
      </c>
      <c r="N1879" s="1" t="str">
        <f>HYPERLINK("https://klocwork.india.ti.com:443/review/insight-review.html#issuedetails_goto:problemid=120779,project=MCU_PLUS_SDK_AM263X,searchquery=taxonomy:'C and C++' build:Build_Apr_13_2023_11_11_AM grouping:off ","KW Issue Link")</f>
        <v>KW Issue Link</v>
      </c>
      <c r="O1879" s="1" t="s">
        <v>291</v>
      </c>
    </row>
    <row r="1880" spans="1:15" ht="75" x14ac:dyDescent="0.25">
      <c r="A1880" s="1" t="s">
        <v>1257</v>
      </c>
      <c r="B1880" s="1"/>
      <c r="C1880" s="1" t="s">
        <v>660</v>
      </c>
      <c r="D1880" s="1">
        <v>120781</v>
      </c>
      <c r="E1880" s="1">
        <v>402</v>
      </c>
      <c r="F1880" s="1" t="s">
        <v>2788</v>
      </c>
      <c r="G1880" s="1" t="s">
        <v>2789</v>
      </c>
      <c r="H1880" s="1" t="s">
        <v>141</v>
      </c>
      <c r="I1880" s="1" t="s">
        <v>65</v>
      </c>
      <c r="J1880" s="1">
        <v>3</v>
      </c>
      <c r="K1880" s="1" t="s">
        <v>142</v>
      </c>
      <c r="L1880" s="1" t="s">
        <v>153</v>
      </c>
      <c r="M1880" s="1" t="s">
        <v>1256</v>
      </c>
      <c r="N1880" s="1" t="str">
        <f>HYPERLINK("https://klocwork.india.ti.com:443/review/insight-review.html#issuedetails_goto:problemid=120781,project=MCU_PLUS_SDK_AM263X,searchquery=taxonomy:'C and C++' build:Build_Apr_13_2023_11_11_AM grouping:off ","KW Issue Link")</f>
        <v>KW Issue Link</v>
      </c>
      <c r="O1880" s="1" t="s">
        <v>291</v>
      </c>
    </row>
    <row r="1881" spans="1:15" ht="75" x14ac:dyDescent="0.25">
      <c r="A1881" s="1" t="s">
        <v>1257</v>
      </c>
      <c r="B1881" s="1"/>
      <c r="C1881" s="1" t="s">
        <v>660</v>
      </c>
      <c r="D1881" s="1">
        <v>120782</v>
      </c>
      <c r="E1881" s="1">
        <v>484</v>
      </c>
      <c r="F1881" s="1" t="s">
        <v>2790</v>
      </c>
      <c r="G1881" s="1" t="s">
        <v>662</v>
      </c>
      <c r="H1881" s="1" t="s">
        <v>141</v>
      </c>
      <c r="I1881" s="1" t="s">
        <v>65</v>
      </c>
      <c r="J1881" s="1">
        <v>3</v>
      </c>
      <c r="K1881" s="1" t="s">
        <v>142</v>
      </c>
      <c r="L1881" s="1" t="s">
        <v>153</v>
      </c>
      <c r="M1881" s="1" t="s">
        <v>1256</v>
      </c>
      <c r="N1881" s="1" t="str">
        <f>HYPERLINK("https://klocwork.india.ti.com:443/review/insight-review.html#issuedetails_goto:problemid=120782,project=MCU_PLUS_SDK_AM263X,searchquery=taxonomy:'C and C++' build:Build_Apr_13_2023_11_11_AM grouping:off ","KW Issue Link")</f>
        <v>KW Issue Link</v>
      </c>
      <c r="O1881" s="1" t="s">
        <v>291</v>
      </c>
    </row>
    <row r="1882" spans="1:15" ht="75" x14ac:dyDescent="0.25">
      <c r="A1882" s="1" t="s">
        <v>1257</v>
      </c>
      <c r="B1882" s="1"/>
      <c r="C1882" s="1" t="s">
        <v>660</v>
      </c>
      <c r="D1882" s="1">
        <v>120785</v>
      </c>
      <c r="E1882" s="1">
        <v>721</v>
      </c>
      <c r="F1882" s="1" t="s">
        <v>2791</v>
      </c>
      <c r="G1882" s="1" t="s">
        <v>2792</v>
      </c>
      <c r="H1882" s="1" t="s">
        <v>141</v>
      </c>
      <c r="I1882" s="1" t="s">
        <v>65</v>
      </c>
      <c r="J1882" s="1">
        <v>3</v>
      </c>
      <c r="K1882" s="1" t="s">
        <v>142</v>
      </c>
      <c r="L1882" s="1" t="s">
        <v>153</v>
      </c>
      <c r="M1882" s="1" t="s">
        <v>1256</v>
      </c>
      <c r="N1882" s="1" t="str">
        <f>HYPERLINK("https://klocwork.india.ti.com:443/review/insight-review.html#issuedetails_goto:problemid=120785,project=MCU_PLUS_SDK_AM263X,searchquery=taxonomy:'C and C++' build:Build_Apr_13_2023_11_11_AM grouping:off ","KW Issue Link")</f>
        <v>KW Issue Link</v>
      </c>
      <c r="O1882" s="1" t="s">
        <v>291</v>
      </c>
    </row>
    <row r="1883" spans="1:15" ht="75" x14ac:dyDescent="0.25">
      <c r="A1883" s="1" t="s">
        <v>1257</v>
      </c>
      <c r="B1883" s="1"/>
      <c r="C1883" s="1" t="s">
        <v>660</v>
      </c>
      <c r="D1883" s="1">
        <v>120786</v>
      </c>
      <c r="E1883" s="1">
        <v>794</v>
      </c>
      <c r="F1883" s="1" t="s">
        <v>2793</v>
      </c>
      <c r="G1883" s="1" t="s">
        <v>2794</v>
      </c>
      <c r="H1883" s="1" t="s">
        <v>141</v>
      </c>
      <c r="I1883" s="1" t="s">
        <v>65</v>
      </c>
      <c r="J1883" s="1">
        <v>3</v>
      </c>
      <c r="K1883" s="1" t="s">
        <v>142</v>
      </c>
      <c r="L1883" s="1" t="s">
        <v>153</v>
      </c>
      <c r="M1883" s="1" t="s">
        <v>1256</v>
      </c>
      <c r="N1883" s="1" t="str">
        <f>HYPERLINK("https://klocwork.india.ti.com:443/review/insight-review.html#issuedetails_goto:problemid=120786,project=MCU_PLUS_SDK_AM263X,searchquery=taxonomy:'C and C++' build:Build_Apr_13_2023_11_11_AM grouping:off ","KW Issue Link")</f>
        <v>KW Issue Link</v>
      </c>
      <c r="O1883" s="1" t="s">
        <v>291</v>
      </c>
    </row>
    <row r="1884" spans="1:15" ht="75" x14ac:dyDescent="0.25">
      <c r="A1884" s="1" t="s">
        <v>1257</v>
      </c>
      <c r="B1884" s="1"/>
      <c r="C1884" s="1" t="s">
        <v>660</v>
      </c>
      <c r="D1884" s="1">
        <v>120787</v>
      </c>
      <c r="E1884" s="1">
        <v>830</v>
      </c>
      <c r="F1884" s="1" t="s">
        <v>2795</v>
      </c>
      <c r="G1884" s="1" t="s">
        <v>2796</v>
      </c>
      <c r="H1884" s="1" t="s">
        <v>141</v>
      </c>
      <c r="I1884" s="1" t="s">
        <v>65</v>
      </c>
      <c r="J1884" s="1">
        <v>3</v>
      </c>
      <c r="K1884" s="1" t="s">
        <v>142</v>
      </c>
      <c r="L1884" s="1" t="s">
        <v>153</v>
      </c>
      <c r="M1884" s="1" t="s">
        <v>1256</v>
      </c>
      <c r="N1884" s="1" t="str">
        <f>HYPERLINK("https://klocwork.india.ti.com:443/review/insight-review.html#issuedetails_goto:problemid=120787,project=MCU_PLUS_SDK_AM263X,searchquery=taxonomy:'C and C++' build:Build_Apr_13_2023_11_11_AM grouping:off ","KW Issue Link")</f>
        <v>KW Issue Link</v>
      </c>
      <c r="O1884" s="1" t="s">
        <v>291</v>
      </c>
    </row>
    <row r="1885" spans="1:15" ht="75" x14ac:dyDescent="0.25">
      <c r="A1885" s="1" t="s">
        <v>1257</v>
      </c>
      <c r="B1885" s="1"/>
      <c r="C1885" s="1" t="s">
        <v>660</v>
      </c>
      <c r="D1885" s="1">
        <v>120788</v>
      </c>
      <c r="E1885" s="1">
        <v>844</v>
      </c>
      <c r="F1885" s="1" t="s">
        <v>2797</v>
      </c>
      <c r="G1885" s="1" t="s">
        <v>2798</v>
      </c>
      <c r="H1885" s="1" t="s">
        <v>141</v>
      </c>
      <c r="I1885" s="1" t="s">
        <v>65</v>
      </c>
      <c r="J1885" s="1">
        <v>3</v>
      </c>
      <c r="K1885" s="1" t="s">
        <v>142</v>
      </c>
      <c r="L1885" s="1" t="s">
        <v>153</v>
      </c>
      <c r="M1885" s="1" t="s">
        <v>1256</v>
      </c>
      <c r="N1885" s="1" t="str">
        <f>HYPERLINK("https://klocwork.india.ti.com:443/review/insight-review.html#issuedetails_goto:problemid=120788,project=MCU_PLUS_SDK_AM263X,searchquery=taxonomy:'C and C++' build:Build_Apr_13_2023_11_11_AM grouping:off ","KW Issue Link")</f>
        <v>KW Issue Link</v>
      </c>
      <c r="O1885" s="1" t="s">
        <v>291</v>
      </c>
    </row>
    <row r="1886" spans="1:15" ht="75" x14ac:dyDescent="0.25">
      <c r="A1886" s="1" t="s">
        <v>1257</v>
      </c>
      <c r="B1886" s="1"/>
      <c r="C1886" s="1" t="s">
        <v>660</v>
      </c>
      <c r="D1886" s="1">
        <v>120789</v>
      </c>
      <c r="E1886" s="1">
        <v>863</v>
      </c>
      <c r="F1886" s="1" t="s">
        <v>2799</v>
      </c>
      <c r="G1886" s="1" t="s">
        <v>2800</v>
      </c>
      <c r="H1886" s="1" t="s">
        <v>141</v>
      </c>
      <c r="I1886" s="1" t="s">
        <v>65</v>
      </c>
      <c r="J1886" s="1">
        <v>3</v>
      </c>
      <c r="K1886" s="1" t="s">
        <v>142</v>
      </c>
      <c r="L1886" s="1" t="s">
        <v>153</v>
      </c>
      <c r="M1886" s="1" t="s">
        <v>1256</v>
      </c>
      <c r="N1886" s="1" t="str">
        <f>HYPERLINK("https://klocwork.india.ti.com:443/review/insight-review.html#issuedetails_goto:problemid=120789,project=MCU_PLUS_SDK_AM263X,searchquery=taxonomy:'C and C++' build:Build_Apr_13_2023_11_11_AM grouping:off ","KW Issue Link")</f>
        <v>KW Issue Link</v>
      </c>
      <c r="O1886" s="1" t="s">
        <v>291</v>
      </c>
    </row>
    <row r="1887" spans="1:15" ht="75" x14ac:dyDescent="0.25">
      <c r="A1887" s="1" t="s">
        <v>1257</v>
      </c>
      <c r="B1887" s="1"/>
      <c r="C1887" s="1" t="s">
        <v>660</v>
      </c>
      <c r="D1887" s="1">
        <v>120792</v>
      </c>
      <c r="E1887" s="1">
        <v>1054</v>
      </c>
      <c r="F1887" s="1" t="s">
        <v>2801</v>
      </c>
      <c r="G1887" s="1" t="s">
        <v>2802</v>
      </c>
      <c r="H1887" s="1" t="s">
        <v>141</v>
      </c>
      <c r="I1887" s="1" t="s">
        <v>65</v>
      </c>
      <c r="J1887" s="1">
        <v>3</v>
      </c>
      <c r="K1887" s="1" t="s">
        <v>142</v>
      </c>
      <c r="L1887" s="1" t="s">
        <v>153</v>
      </c>
      <c r="M1887" s="1" t="s">
        <v>1256</v>
      </c>
      <c r="N1887" s="1" t="str">
        <f>HYPERLINK("https://klocwork.india.ti.com:443/review/insight-review.html#issuedetails_goto:problemid=120792,project=MCU_PLUS_SDK_AM263X,searchquery=taxonomy:'C and C++' build:Build_Apr_13_2023_11_11_AM grouping:off ","KW Issue Link")</f>
        <v>KW Issue Link</v>
      </c>
      <c r="O1887" s="1" t="s">
        <v>291</v>
      </c>
    </row>
    <row r="1888" spans="1:15" ht="75" x14ac:dyDescent="0.25">
      <c r="A1888" s="1" t="s">
        <v>1257</v>
      </c>
      <c r="B1888" s="1"/>
      <c r="C1888" s="1" t="s">
        <v>660</v>
      </c>
      <c r="D1888" s="1">
        <v>120799</v>
      </c>
      <c r="E1888" s="1">
        <v>1215</v>
      </c>
      <c r="F1888" s="1" t="s">
        <v>2803</v>
      </c>
      <c r="G1888" s="1" t="s">
        <v>2804</v>
      </c>
      <c r="H1888" s="1" t="s">
        <v>141</v>
      </c>
      <c r="I1888" s="1" t="s">
        <v>65</v>
      </c>
      <c r="J1888" s="1">
        <v>3</v>
      </c>
      <c r="K1888" s="1" t="s">
        <v>142</v>
      </c>
      <c r="L1888" s="1" t="s">
        <v>153</v>
      </c>
      <c r="M1888" s="1" t="s">
        <v>1256</v>
      </c>
      <c r="N1888" s="1" t="str">
        <f>HYPERLINK("https://klocwork.india.ti.com:443/review/insight-review.html#issuedetails_goto:problemid=120799,project=MCU_PLUS_SDK_AM263X,searchquery=taxonomy:'C and C++' build:Build_Apr_13_2023_11_11_AM grouping:off ","KW Issue Link")</f>
        <v>KW Issue Link</v>
      </c>
      <c r="O1888" s="1" t="s">
        <v>291</v>
      </c>
    </row>
    <row r="1889" spans="1:15" ht="75" x14ac:dyDescent="0.25">
      <c r="A1889" s="1" t="s">
        <v>1257</v>
      </c>
      <c r="B1889" s="1"/>
      <c r="C1889" s="1" t="s">
        <v>660</v>
      </c>
      <c r="D1889" s="1">
        <v>120800</v>
      </c>
      <c r="E1889" s="1">
        <v>1265</v>
      </c>
      <c r="F1889" s="1" t="s">
        <v>2805</v>
      </c>
      <c r="G1889" s="1" t="s">
        <v>669</v>
      </c>
      <c r="H1889" s="1" t="s">
        <v>141</v>
      </c>
      <c r="I1889" s="1" t="s">
        <v>65</v>
      </c>
      <c r="J1889" s="1">
        <v>3</v>
      </c>
      <c r="K1889" s="1" t="s">
        <v>142</v>
      </c>
      <c r="L1889" s="1" t="s">
        <v>153</v>
      </c>
      <c r="M1889" s="1" t="s">
        <v>1256</v>
      </c>
      <c r="N1889" s="1" t="str">
        <f>HYPERLINK("https://klocwork.india.ti.com:443/review/insight-review.html#issuedetails_goto:problemid=120800,project=MCU_PLUS_SDK_AM263X,searchquery=taxonomy:'C and C++' build:Build_Apr_13_2023_11_11_AM grouping:off ","KW Issue Link")</f>
        <v>KW Issue Link</v>
      </c>
      <c r="O1889" s="1" t="s">
        <v>291</v>
      </c>
    </row>
    <row r="1890" spans="1:15" ht="75" x14ac:dyDescent="0.25">
      <c r="A1890" s="1" t="s">
        <v>1266</v>
      </c>
      <c r="B1890" s="1"/>
      <c r="C1890" s="1" t="s">
        <v>660</v>
      </c>
      <c r="D1890" s="1">
        <v>120801</v>
      </c>
      <c r="E1890" s="1">
        <v>402</v>
      </c>
      <c r="F1890" s="1" t="s">
        <v>2806</v>
      </c>
      <c r="G1890" s="1" t="s">
        <v>2789</v>
      </c>
      <c r="H1890" s="1" t="s">
        <v>141</v>
      </c>
      <c r="I1890" s="1" t="s">
        <v>65</v>
      </c>
      <c r="J1890" s="1">
        <v>3</v>
      </c>
      <c r="K1890" s="1" t="s">
        <v>142</v>
      </c>
      <c r="L1890" s="1" t="s">
        <v>153</v>
      </c>
      <c r="M1890" s="1" t="s">
        <v>1256</v>
      </c>
      <c r="N1890" s="1" t="str">
        <f>HYPERLINK("https://klocwork.india.ti.com:443/review/insight-review.html#issuedetails_goto:problemid=120801,project=MCU_PLUS_SDK_AM263X,searchquery=taxonomy:'C and C++' build:Build_Apr_13_2023_11_11_AM grouping:off ","KW Issue Link")</f>
        <v>KW Issue Link</v>
      </c>
      <c r="O1890" s="1" t="s">
        <v>291</v>
      </c>
    </row>
    <row r="1891" spans="1:15" ht="75" x14ac:dyDescent="0.25">
      <c r="A1891" s="1" t="s">
        <v>1266</v>
      </c>
      <c r="B1891" s="1"/>
      <c r="C1891" s="1" t="s">
        <v>660</v>
      </c>
      <c r="D1891" s="1">
        <v>120802</v>
      </c>
      <c r="E1891" s="1">
        <v>484</v>
      </c>
      <c r="F1891" s="1" t="s">
        <v>2807</v>
      </c>
      <c r="G1891" s="1" t="s">
        <v>662</v>
      </c>
      <c r="H1891" s="1" t="s">
        <v>141</v>
      </c>
      <c r="I1891" s="1" t="s">
        <v>65</v>
      </c>
      <c r="J1891" s="1">
        <v>3</v>
      </c>
      <c r="K1891" s="1" t="s">
        <v>142</v>
      </c>
      <c r="L1891" s="1" t="s">
        <v>153</v>
      </c>
      <c r="M1891" s="1" t="s">
        <v>1256</v>
      </c>
      <c r="N1891" s="1" t="str">
        <f>HYPERLINK("https://klocwork.india.ti.com:443/review/insight-review.html#issuedetails_goto:problemid=120802,project=MCU_PLUS_SDK_AM263X,searchquery=taxonomy:'C and C++' build:Build_Apr_13_2023_11_11_AM grouping:off ","KW Issue Link")</f>
        <v>KW Issue Link</v>
      </c>
      <c r="O1891" s="1" t="s">
        <v>291</v>
      </c>
    </row>
    <row r="1892" spans="1:15" ht="75" x14ac:dyDescent="0.25">
      <c r="A1892" s="1" t="s">
        <v>1266</v>
      </c>
      <c r="B1892" s="1"/>
      <c r="C1892" s="1" t="s">
        <v>660</v>
      </c>
      <c r="D1892" s="1">
        <v>120803</v>
      </c>
      <c r="E1892" s="1">
        <v>640</v>
      </c>
      <c r="F1892" s="1" t="s">
        <v>2808</v>
      </c>
      <c r="G1892" s="1" t="s">
        <v>2809</v>
      </c>
      <c r="H1892" s="1" t="s">
        <v>141</v>
      </c>
      <c r="I1892" s="1" t="s">
        <v>65</v>
      </c>
      <c r="J1892" s="1">
        <v>3</v>
      </c>
      <c r="K1892" s="1" t="s">
        <v>142</v>
      </c>
      <c r="L1892" s="1" t="s">
        <v>153</v>
      </c>
      <c r="M1892" s="1" t="s">
        <v>1256</v>
      </c>
      <c r="N1892" s="1" t="str">
        <f>HYPERLINK("https://klocwork.india.ti.com:443/review/insight-review.html#issuedetails_goto:problemid=120803,project=MCU_PLUS_SDK_AM263X,searchquery=taxonomy:'C and C++' build:Build_Apr_13_2023_11_11_AM grouping:off ","KW Issue Link")</f>
        <v>KW Issue Link</v>
      </c>
      <c r="O1892" s="1" t="s">
        <v>291</v>
      </c>
    </row>
    <row r="1893" spans="1:15" ht="75" x14ac:dyDescent="0.25">
      <c r="A1893" s="1" t="s">
        <v>1266</v>
      </c>
      <c r="B1893" s="1"/>
      <c r="C1893" s="1" t="s">
        <v>660</v>
      </c>
      <c r="D1893" s="1">
        <v>120804</v>
      </c>
      <c r="E1893" s="1">
        <v>721</v>
      </c>
      <c r="F1893" s="1" t="s">
        <v>2810</v>
      </c>
      <c r="G1893" s="1" t="s">
        <v>2792</v>
      </c>
      <c r="H1893" s="1" t="s">
        <v>141</v>
      </c>
      <c r="I1893" s="1" t="s">
        <v>65</v>
      </c>
      <c r="J1893" s="1">
        <v>3</v>
      </c>
      <c r="K1893" s="1" t="s">
        <v>142</v>
      </c>
      <c r="L1893" s="1" t="s">
        <v>153</v>
      </c>
      <c r="M1893" s="1" t="s">
        <v>1256</v>
      </c>
      <c r="N1893" s="1" t="str">
        <f>HYPERLINK("https://klocwork.india.ti.com:443/review/insight-review.html#issuedetails_goto:problemid=120804,project=MCU_PLUS_SDK_AM263X,searchquery=taxonomy:'C and C++' build:Build_Apr_13_2023_11_11_AM grouping:off ","KW Issue Link")</f>
        <v>KW Issue Link</v>
      </c>
      <c r="O1893" s="1" t="s">
        <v>291</v>
      </c>
    </row>
    <row r="1894" spans="1:15" ht="75" x14ac:dyDescent="0.25">
      <c r="A1894" s="1" t="s">
        <v>1266</v>
      </c>
      <c r="B1894" s="1"/>
      <c r="C1894" s="1" t="s">
        <v>660</v>
      </c>
      <c r="D1894" s="1">
        <v>120805</v>
      </c>
      <c r="E1894" s="1">
        <v>844</v>
      </c>
      <c r="F1894" s="1" t="s">
        <v>2811</v>
      </c>
      <c r="G1894" s="1" t="s">
        <v>2798</v>
      </c>
      <c r="H1894" s="1" t="s">
        <v>141</v>
      </c>
      <c r="I1894" s="1" t="s">
        <v>65</v>
      </c>
      <c r="J1894" s="1">
        <v>3</v>
      </c>
      <c r="K1894" s="1" t="s">
        <v>142</v>
      </c>
      <c r="L1894" s="1" t="s">
        <v>153</v>
      </c>
      <c r="M1894" s="1" t="s">
        <v>1256</v>
      </c>
      <c r="N1894" s="1" t="str">
        <f>HYPERLINK("https://klocwork.india.ti.com:443/review/insight-review.html#issuedetails_goto:problemid=120805,project=MCU_PLUS_SDK_AM263X,searchquery=taxonomy:'C and C++' build:Build_Apr_13_2023_11_11_AM grouping:off ","KW Issue Link")</f>
        <v>KW Issue Link</v>
      </c>
      <c r="O1894" s="1" t="s">
        <v>291</v>
      </c>
    </row>
    <row r="1895" spans="1:15" ht="75" x14ac:dyDescent="0.25">
      <c r="A1895" s="1" t="s">
        <v>1266</v>
      </c>
      <c r="B1895" s="1"/>
      <c r="C1895" s="1" t="s">
        <v>660</v>
      </c>
      <c r="D1895" s="1">
        <v>120806</v>
      </c>
      <c r="E1895" s="1">
        <v>863</v>
      </c>
      <c r="F1895" s="1" t="s">
        <v>2812</v>
      </c>
      <c r="G1895" s="1" t="s">
        <v>2800</v>
      </c>
      <c r="H1895" s="1" t="s">
        <v>141</v>
      </c>
      <c r="I1895" s="1" t="s">
        <v>65</v>
      </c>
      <c r="J1895" s="1">
        <v>3</v>
      </c>
      <c r="K1895" s="1" t="s">
        <v>142</v>
      </c>
      <c r="L1895" s="1" t="s">
        <v>153</v>
      </c>
      <c r="M1895" s="1" t="s">
        <v>1256</v>
      </c>
      <c r="N1895" s="1" t="str">
        <f>HYPERLINK("https://klocwork.india.ti.com:443/review/insight-review.html#issuedetails_goto:problemid=120806,project=MCU_PLUS_SDK_AM263X,searchquery=taxonomy:'C and C++' build:Build_Apr_13_2023_11_11_AM grouping:off ","KW Issue Link")</f>
        <v>KW Issue Link</v>
      </c>
      <c r="O1895" s="1" t="s">
        <v>291</v>
      </c>
    </row>
    <row r="1896" spans="1:15" ht="75" x14ac:dyDescent="0.25">
      <c r="A1896" s="1" t="s">
        <v>1266</v>
      </c>
      <c r="B1896" s="1"/>
      <c r="C1896" s="1" t="s">
        <v>660</v>
      </c>
      <c r="D1896" s="1">
        <v>120807</v>
      </c>
      <c r="E1896" s="1">
        <v>914</v>
      </c>
      <c r="F1896" s="1" t="s">
        <v>2813</v>
      </c>
      <c r="G1896" s="1" t="s">
        <v>2814</v>
      </c>
      <c r="H1896" s="1" t="s">
        <v>141</v>
      </c>
      <c r="I1896" s="1" t="s">
        <v>65</v>
      </c>
      <c r="J1896" s="1">
        <v>3</v>
      </c>
      <c r="K1896" s="1" t="s">
        <v>142</v>
      </c>
      <c r="L1896" s="1" t="s">
        <v>153</v>
      </c>
      <c r="M1896" s="1" t="s">
        <v>1256</v>
      </c>
      <c r="N1896" s="1" t="str">
        <f>HYPERLINK("https://klocwork.india.ti.com:443/review/insight-review.html#issuedetails_goto:problemid=120807,project=MCU_PLUS_SDK_AM263X,searchquery=taxonomy:'C and C++' build:Build_Apr_13_2023_11_11_AM grouping:off ","KW Issue Link")</f>
        <v>KW Issue Link</v>
      </c>
      <c r="O1896" s="1" t="s">
        <v>291</v>
      </c>
    </row>
    <row r="1897" spans="1:15" ht="75" x14ac:dyDescent="0.25">
      <c r="A1897" s="1" t="s">
        <v>1266</v>
      </c>
      <c r="B1897" s="1"/>
      <c r="C1897" s="1" t="s">
        <v>660</v>
      </c>
      <c r="D1897" s="1">
        <v>120812</v>
      </c>
      <c r="E1897" s="1">
        <v>1215</v>
      </c>
      <c r="F1897" s="1" t="s">
        <v>2815</v>
      </c>
      <c r="G1897" s="1" t="s">
        <v>2804</v>
      </c>
      <c r="H1897" s="1" t="s">
        <v>141</v>
      </c>
      <c r="I1897" s="1" t="s">
        <v>65</v>
      </c>
      <c r="J1897" s="1">
        <v>3</v>
      </c>
      <c r="K1897" s="1" t="s">
        <v>142</v>
      </c>
      <c r="L1897" s="1" t="s">
        <v>153</v>
      </c>
      <c r="M1897" s="1" t="s">
        <v>1256</v>
      </c>
      <c r="N1897" s="1" t="str">
        <f>HYPERLINK("https://klocwork.india.ti.com:443/review/insight-review.html#issuedetails_goto:problemid=120812,project=MCU_PLUS_SDK_AM263X,searchquery=taxonomy:'C and C++' build:Build_Apr_13_2023_11_11_AM grouping:off ","KW Issue Link")</f>
        <v>KW Issue Link</v>
      </c>
      <c r="O1897" s="1" t="s">
        <v>291</v>
      </c>
    </row>
    <row r="1898" spans="1:15" ht="75" x14ac:dyDescent="0.25">
      <c r="A1898" s="1" t="s">
        <v>1266</v>
      </c>
      <c r="B1898" s="1"/>
      <c r="C1898" s="1" t="s">
        <v>660</v>
      </c>
      <c r="D1898" s="1">
        <v>120813</v>
      </c>
      <c r="E1898" s="1">
        <v>1265</v>
      </c>
      <c r="F1898" s="1" t="s">
        <v>2816</v>
      </c>
      <c r="G1898" s="1" t="s">
        <v>669</v>
      </c>
      <c r="H1898" s="1" t="s">
        <v>141</v>
      </c>
      <c r="I1898" s="1" t="s">
        <v>65</v>
      </c>
      <c r="J1898" s="1">
        <v>3</v>
      </c>
      <c r="K1898" s="1" t="s">
        <v>142</v>
      </c>
      <c r="L1898" s="1" t="s">
        <v>153</v>
      </c>
      <c r="M1898" s="1" t="s">
        <v>1256</v>
      </c>
      <c r="N1898" s="1" t="str">
        <f>HYPERLINK("https://klocwork.india.ti.com:443/review/insight-review.html#issuedetails_goto:problemid=120813,project=MCU_PLUS_SDK_AM263X,searchquery=taxonomy:'C and C++' build:Build_Apr_13_2023_11_11_AM grouping:off ","KW Issue Link")</f>
        <v>KW Issue Link</v>
      </c>
      <c r="O1898" s="1" t="s">
        <v>291</v>
      </c>
    </row>
    <row r="1899" spans="1:15" ht="75" x14ac:dyDescent="0.25">
      <c r="A1899" s="1" t="s">
        <v>1268</v>
      </c>
      <c r="B1899" s="1"/>
      <c r="C1899" s="1" t="s">
        <v>660</v>
      </c>
      <c r="D1899" s="1">
        <v>120814</v>
      </c>
      <c r="E1899" s="1">
        <v>484</v>
      </c>
      <c r="F1899" s="1" t="s">
        <v>2817</v>
      </c>
      <c r="G1899" s="1" t="s">
        <v>662</v>
      </c>
      <c r="H1899" s="1" t="s">
        <v>141</v>
      </c>
      <c r="I1899" s="1" t="s">
        <v>65</v>
      </c>
      <c r="J1899" s="1">
        <v>3</v>
      </c>
      <c r="K1899" s="1" t="s">
        <v>142</v>
      </c>
      <c r="L1899" s="1" t="s">
        <v>153</v>
      </c>
      <c r="M1899" s="1" t="s">
        <v>1256</v>
      </c>
      <c r="N1899" s="1" t="str">
        <f>HYPERLINK("https://klocwork.india.ti.com:443/review/insight-review.html#issuedetails_goto:problemid=120814,project=MCU_PLUS_SDK_AM263X,searchquery=taxonomy:'C and C++' build:Build_Apr_13_2023_11_11_AM grouping:off ","KW Issue Link")</f>
        <v>KW Issue Link</v>
      </c>
      <c r="O1899" s="1" t="s">
        <v>291</v>
      </c>
    </row>
    <row r="1900" spans="1:15" ht="75" x14ac:dyDescent="0.25">
      <c r="A1900" s="1" t="s">
        <v>1268</v>
      </c>
      <c r="B1900" s="1"/>
      <c r="C1900" s="1" t="s">
        <v>660</v>
      </c>
      <c r="D1900" s="1">
        <v>120815</v>
      </c>
      <c r="E1900" s="1">
        <v>640</v>
      </c>
      <c r="F1900" s="1" t="s">
        <v>2818</v>
      </c>
      <c r="G1900" s="1" t="s">
        <v>2809</v>
      </c>
      <c r="H1900" s="1" t="s">
        <v>141</v>
      </c>
      <c r="I1900" s="1" t="s">
        <v>65</v>
      </c>
      <c r="J1900" s="1">
        <v>3</v>
      </c>
      <c r="K1900" s="1" t="s">
        <v>142</v>
      </c>
      <c r="L1900" s="1" t="s">
        <v>153</v>
      </c>
      <c r="M1900" s="1" t="s">
        <v>1256</v>
      </c>
      <c r="N1900" s="1" t="str">
        <f>HYPERLINK("https://klocwork.india.ti.com:443/review/insight-review.html#issuedetails_goto:problemid=120815,project=MCU_PLUS_SDK_AM263X,searchquery=taxonomy:'C and C++' build:Build_Apr_13_2023_11_11_AM grouping:off ","KW Issue Link")</f>
        <v>KW Issue Link</v>
      </c>
      <c r="O1900" s="1" t="s">
        <v>291</v>
      </c>
    </row>
    <row r="1901" spans="1:15" ht="75" x14ac:dyDescent="0.25">
      <c r="A1901" s="1" t="s">
        <v>1268</v>
      </c>
      <c r="B1901" s="1"/>
      <c r="C1901" s="1" t="s">
        <v>660</v>
      </c>
      <c r="D1901" s="1">
        <v>120816</v>
      </c>
      <c r="E1901" s="1">
        <v>863</v>
      </c>
      <c r="F1901" s="1" t="s">
        <v>2819</v>
      </c>
      <c r="G1901" s="1" t="s">
        <v>2800</v>
      </c>
      <c r="H1901" s="1" t="s">
        <v>141</v>
      </c>
      <c r="I1901" s="1" t="s">
        <v>65</v>
      </c>
      <c r="J1901" s="1">
        <v>3</v>
      </c>
      <c r="K1901" s="1" t="s">
        <v>142</v>
      </c>
      <c r="L1901" s="1" t="s">
        <v>153</v>
      </c>
      <c r="M1901" s="1" t="s">
        <v>1256</v>
      </c>
      <c r="N1901" s="1" t="str">
        <f>HYPERLINK("https://klocwork.india.ti.com:443/review/insight-review.html#issuedetails_goto:problemid=120816,project=MCU_PLUS_SDK_AM263X,searchquery=taxonomy:'C and C++' build:Build_Apr_13_2023_11_11_AM grouping:off ","KW Issue Link")</f>
        <v>KW Issue Link</v>
      </c>
      <c r="O1901" s="1" t="s">
        <v>291</v>
      </c>
    </row>
    <row r="1902" spans="1:15" ht="75" x14ac:dyDescent="0.25">
      <c r="A1902" s="1" t="s">
        <v>1268</v>
      </c>
      <c r="B1902" s="1"/>
      <c r="C1902" s="1" t="s">
        <v>660</v>
      </c>
      <c r="D1902" s="1">
        <v>120819</v>
      </c>
      <c r="E1902" s="1">
        <v>1215</v>
      </c>
      <c r="F1902" s="1" t="s">
        <v>2820</v>
      </c>
      <c r="G1902" s="1" t="s">
        <v>2804</v>
      </c>
      <c r="H1902" s="1" t="s">
        <v>141</v>
      </c>
      <c r="I1902" s="1" t="s">
        <v>65</v>
      </c>
      <c r="J1902" s="1">
        <v>3</v>
      </c>
      <c r="K1902" s="1" t="s">
        <v>142</v>
      </c>
      <c r="L1902" s="1" t="s">
        <v>153</v>
      </c>
      <c r="M1902" s="1" t="s">
        <v>1256</v>
      </c>
      <c r="N1902" s="1" t="str">
        <f>HYPERLINK("https://klocwork.india.ti.com:443/review/insight-review.html#issuedetails_goto:problemid=120819,project=MCU_PLUS_SDK_AM263X,searchquery=taxonomy:'C and C++' build:Build_Apr_13_2023_11_11_AM grouping:off ","KW Issue Link")</f>
        <v>KW Issue Link</v>
      </c>
      <c r="O1902" s="1" t="s">
        <v>291</v>
      </c>
    </row>
    <row r="1903" spans="1:15" ht="75" x14ac:dyDescent="0.25">
      <c r="A1903" s="1" t="s">
        <v>1268</v>
      </c>
      <c r="B1903" s="1"/>
      <c r="C1903" s="1" t="s">
        <v>660</v>
      </c>
      <c r="D1903" s="1">
        <v>120820</v>
      </c>
      <c r="E1903" s="1">
        <v>1265</v>
      </c>
      <c r="F1903" s="1" t="s">
        <v>2821</v>
      </c>
      <c r="G1903" s="1" t="s">
        <v>669</v>
      </c>
      <c r="H1903" s="1" t="s">
        <v>141</v>
      </c>
      <c r="I1903" s="1" t="s">
        <v>65</v>
      </c>
      <c r="J1903" s="1">
        <v>3</v>
      </c>
      <c r="K1903" s="1" t="s">
        <v>142</v>
      </c>
      <c r="L1903" s="1" t="s">
        <v>153</v>
      </c>
      <c r="M1903" s="1" t="s">
        <v>1256</v>
      </c>
      <c r="N1903" s="1" t="str">
        <f>HYPERLINK("https://klocwork.india.ti.com:443/review/insight-review.html#issuedetails_goto:problemid=120820,project=MCU_PLUS_SDK_AM263X,searchquery=taxonomy:'C and C++' build:Build_Apr_13_2023_11_11_AM grouping:off ","KW Issue Link")</f>
        <v>KW Issue Link</v>
      </c>
      <c r="O1903" s="1" t="s">
        <v>291</v>
      </c>
    </row>
    <row r="1904" spans="1:15" ht="75" x14ac:dyDescent="0.25">
      <c r="A1904" s="1" t="s">
        <v>1252</v>
      </c>
      <c r="B1904" s="1"/>
      <c r="C1904" s="1" t="s">
        <v>660</v>
      </c>
      <c r="D1904" s="1">
        <v>120821</v>
      </c>
      <c r="E1904" s="1">
        <v>585</v>
      </c>
      <c r="F1904" s="1" t="s">
        <v>2822</v>
      </c>
      <c r="G1904" s="1" t="s">
        <v>2823</v>
      </c>
      <c r="H1904" s="1" t="s">
        <v>141</v>
      </c>
      <c r="I1904" s="1" t="s">
        <v>65</v>
      </c>
      <c r="J1904" s="1">
        <v>3</v>
      </c>
      <c r="K1904" s="1" t="s">
        <v>142</v>
      </c>
      <c r="L1904" s="1" t="s">
        <v>153</v>
      </c>
      <c r="M1904" s="1" t="s">
        <v>1256</v>
      </c>
      <c r="N1904" s="1" t="str">
        <f>HYPERLINK("https://klocwork.india.ti.com:443/review/insight-review.html#issuedetails_goto:problemid=120821,project=MCU_PLUS_SDK_AM263X,searchquery=taxonomy:'C and C++' build:Build_Apr_13_2023_11_11_AM grouping:off ","KW Issue Link")</f>
        <v>KW Issue Link</v>
      </c>
      <c r="O1904" s="1" t="s">
        <v>291</v>
      </c>
    </row>
    <row r="1905" spans="1:15" ht="75" x14ac:dyDescent="0.25">
      <c r="A1905" s="1" t="s">
        <v>1252</v>
      </c>
      <c r="B1905" s="1"/>
      <c r="C1905" s="1" t="s">
        <v>660</v>
      </c>
      <c r="D1905" s="1">
        <v>120822</v>
      </c>
      <c r="E1905" s="1">
        <v>640</v>
      </c>
      <c r="F1905" s="1" t="s">
        <v>2824</v>
      </c>
      <c r="G1905" s="1" t="s">
        <v>2809</v>
      </c>
      <c r="H1905" s="1" t="s">
        <v>141</v>
      </c>
      <c r="I1905" s="1" t="s">
        <v>65</v>
      </c>
      <c r="J1905" s="1">
        <v>3</v>
      </c>
      <c r="K1905" s="1" t="s">
        <v>142</v>
      </c>
      <c r="L1905" s="1" t="s">
        <v>153</v>
      </c>
      <c r="M1905" s="1" t="s">
        <v>1256</v>
      </c>
      <c r="N1905" s="1" t="str">
        <f>HYPERLINK("https://klocwork.india.ti.com:443/review/insight-review.html#issuedetails_goto:problemid=120822,project=MCU_PLUS_SDK_AM263X,searchquery=taxonomy:'C and C++' build:Build_Apr_13_2023_11_11_AM grouping:off ","KW Issue Link")</f>
        <v>KW Issue Link</v>
      </c>
      <c r="O1905" s="1" t="s">
        <v>291</v>
      </c>
    </row>
    <row r="1906" spans="1:15" ht="75" x14ac:dyDescent="0.25">
      <c r="A1906" s="1" t="s">
        <v>1266</v>
      </c>
      <c r="B1906" s="1"/>
      <c r="C1906" s="1" t="s">
        <v>670</v>
      </c>
      <c r="D1906" s="1">
        <v>120823</v>
      </c>
      <c r="E1906" s="1">
        <v>57</v>
      </c>
      <c r="F1906" s="1" t="s">
        <v>2825</v>
      </c>
      <c r="G1906" s="1" t="s">
        <v>2826</v>
      </c>
      <c r="H1906" s="1" t="s">
        <v>141</v>
      </c>
      <c r="I1906" s="1" t="s">
        <v>65</v>
      </c>
      <c r="J1906" s="1">
        <v>3</v>
      </c>
      <c r="K1906" s="1" t="s">
        <v>142</v>
      </c>
      <c r="L1906" s="1" t="s">
        <v>153</v>
      </c>
      <c r="M1906" s="1" t="s">
        <v>1256</v>
      </c>
      <c r="N1906" s="1" t="str">
        <f>HYPERLINK("https://klocwork.india.ti.com:443/review/insight-review.html#issuedetails_goto:problemid=120823,project=MCU_PLUS_SDK_AM263X,searchquery=taxonomy:'C and C++' build:Build_Apr_13_2023_11_11_AM grouping:off ","KW Issue Link")</f>
        <v>KW Issue Link</v>
      </c>
      <c r="O1906" s="1" t="s">
        <v>291</v>
      </c>
    </row>
    <row r="1907" spans="1:15" ht="75" x14ac:dyDescent="0.25">
      <c r="A1907" s="1" t="s">
        <v>1266</v>
      </c>
      <c r="B1907" s="1"/>
      <c r="C1907" s="1" t="s">
        <v>670</v>
      </c>
      <c r="D1907" s="1">
        <v>120824</v>
      </c>
      <c r="E1907" s="1">
        <v>356</v>
      </c>
      <c r="F1907" s="1" t="s">
        <v>2827</v>
      </c>
      <c r="G1907" s="1" t="s">
        <v>671</v>
      </c>
      <c r="H1907" s="1" t="s">
        <v>141</v>
      </c>
      <c r="I1907" s="1" t="s">
        <v>65</v>
      </c>
      <c r="J1907" s="1">
        <v>3</v>
      </c>
      <c r="K1907" s="1" t="s">
        <v>142</v>
      </c>
      <c r="L1907" s="1" t="s">
        <v>153</v>
      </c>
      <c r="M1907" s="1" t="s">
        <v>1256</v>
      </c>
      <c r="N1907" s="1" t="str">
        <f>HYPERLINK("https://klocwork.india.ti.com:443/review/insight-review.html#issuedetails_goto:problemid=120824,project=MCU_PLUS_SDK_AM263X,searchquery=taxonomy:'C and C++' build:Build_Apr_13_2023_11_11_AM grouping:off ","KW Issue Link")</f>
        <v>KW Issue Link</v>
      </c>
      <c r="O1907" s="1" t="s">
        <v>291</v>
      </c>
    </row>
    <row r="1908" spans="1:15" ht="75" x14ac:dyDescent="0.25">
      <c r="A1908" s="1" t="s">
        <v>1266</v>
      </c>
      <c r="B1908" s="1"/>
      <c r="C1908" s="1" t="s">
        <v>670</v>
      </c>
      <c r="D1908" s="1">
        <v>120825</v>
      </c>
      <c r="E1908" s="1">
        <v>498</v>
      </c>
      <c r="F1908" s="1" t="s">
        <v>2828</v>
      </c>
      <c r="G1908" s="1" t="s">
        <v>2829</v>
      </c>
      <c r="H1908" s="1" t="s">
        <v>141</v>
      </c>
      <c r="I1908" s="1" t="s">
        <v>65</v>
      </c>
      <c r="J1908" s="1">
        <v>3</v>
      </c>
      <c r="K1908" s="1" t="s">
        <v>142</v>
      </c>
      <c r="L1908" s="1" t="s">
        <v>153</v>
      </c>
      <c r="M1908" s="1" t="s">
        <v>1256</v>
      </c>
      <c r="N1908" s="1" t="str">
        <f>HYPERLINK("https://klocwork.india.ti.com:443/review/insight-review.html#issuedetails_goto:problemid=120825,project=MCU_PLUS_SDK_AM263X,searchquery=taxonomy:'C and C++' build:Build_Apr_13_2023_11_11_AM grouping:off ","KW Issue Link")</f>
        <v>KW Issue Link</v>
      </c>
      <c r="O1908" s="1" t="s">
        <v>291</v>
      </c>
    </row>
    <row r="1909" spans="1:15" ht="75" x14ac:dyDescent="0.25">
      <c r="A1909" s="1" t="s">
        <v>1257</v>
      </c>
      <c r="B1909" s="1"/>
      <c r="C1909" s="1" t="s">
        <v>670</v>
      </c>
      <c r="D1909" s="1">
        <v>120826</v>
      </c>
      <c r="E1909" s="1">
        <v>206</v>
      </c>
      <c r="F1909" s="1" t="s">
        <v>2830</v>
      </c>
      <c r="G1909" s="1" t="s">
        <v>2831</v>
      </c>
      <c r="H1909" s="1" t="s">
        <v>141</v>
      </c>
      <c r="I1909" s="1" t="s">
        <v>65</v>
      </c>
      <c r="J1909" s="1">
        <v>3</v>
      </c>
      <c r="K1909" s="1" t="s">
        <v>142</v>
      </c>
      <c r="L1909" s="1" t="s">
        <v>153</v>
      </c>
      <c r="M1909" s="1" t="s">
        <v>1256</v>
      </c>
      <c r="N1909" s="1" t="str">
        <f>HYPERLINK("https://klocwork.india.ti.com:443/review/insight-review.html#issuedetails_goto:problemid=120826,project=MCU_PLUS_SDK_AM263X,searchquery=taxonomy:'C and C++' build:Build_Apr_13_2023_11_11_AM grouping:off ","KW Issue Link")</f>
        <v>KW Issue Link</v>
      </c>
      <c r="O1909" s="1" t="s">
        <v>291</v>
      </c>
    </row>
    <row r="1910" spans="1:15" ht="75" x14ac:dyDescent="0.25">
      <c r="A1910" s="1" t="s">
        <v>1257</v>
      </c>
      <c r="B1910" s="1"/>
      <c r="C1910" s="1" t="s">
        <v>670</v>
      </c>
      <c r="D1910" s="1">
        <v>120827</v>
      </c>
      <c r="E1910" s="1">
        <v>275</v>
      </c>
      <c r="F1910" s="1" t="s">
        <v>2832</v>
      </c>
      <c r="G1910" s="1" t="s">
        <v>2833</v>
      </c>
      <c r="H1910" s="1" t="s">
        <v>141</v>
      </c>
      <c r="I1910" s="1" t="s">
        <v>65</v>
      </c>
      <c r="J1910" s="1">
        <v>3</v>
      </c>
      <c r="K1910" s="1" t="s">
        <v>142</v>
      </c>
      <c r="L1910" s="1" t="s">
        <v>153</v>
      </c>
      <c r="M1910" s="1" t="s">
        <v>1256</v>
      </c>
      <c r="N1910" s="1" t="str">
        <f>HYPERLINK("https://klocwork.india.ti.com:443/review/insight-review.html#issuedetails_goto:problemid=120827,project=MCU_PLUS_SDK_AM263X,searchquery=taxonomy:'C and C++' build:Build_Apr_13_2023_11_11_AM grouping:off ","KW Issue Link")</f>
        <v>KW Issue Link</v>
      </c>
      <c r="O1910" s="1" t="s">
        <v>291</v>
      </c>
    </row>
    <row r="1911" spans="1:15" ht="75" x14ac:dyDescent="0.25">
      <c r="A1911" s="1" t="s">
        <v>1257</v>
      </c>
      <c r="B1911" s="1"/>
      <c r="C1911" s="1" t="s">
        <v>670</v>
      </c>
      <c r="D1911" s="1">
        <v>120828</v>
      </c>
      <c r="E1911" s="1">
        <v>356</v>
      </c>
      <c r="F1911" s="1" t="s">
        <v>2834</v>
      </c>
      <c r="G1911" s="1" t="s">
        <v>671</v>
      </c>
      <c r="H1911" s="1" t="s">
        <v>141</v>
      </c>
      <c r="I1911" s="1" t="s">
        <v>65</v>
      </c>
      <c r="J1911" s="1">
        <v>3</v>
      </c>
      <c r="K1911" s="1" t="s">
        <v>142</v>
      </c>
      <c r="L1911" s="1" t="s">
        <v>153</v>
      </c>
      <c r="M1911" s="1" t="s">
        <v>1256</v>
      </c>
      <c r="N1911" s="1" t="str">
        <f>HYPERLINK("https://klocwork.india.ti.com:443/review/insight-review.html#issuedetails_goto:problemid=120828,project=MCU_PLUS_SDK_AM263X,searchquery=taxonomy:'C and C++' build:Build_Apr_13_2023_11_11_AM grouping:off ","KW Issue Link")</f>
        <v>KW Issue Link</v>
      </c>
      <c r="O1911" s="1" t="s">
        <v>291</v>
      </c>
    </row>
    <row r="1912" spans="1:15" ht="75" x14ac:dyDescent="0.25">
      <c r="A1912" s="1" t="s">
        <v>1257</v>
      </c>
      <c r="B1912" s="1"/>
      <c r="C1912" s="1" t="s">
        <v>670</v>
      </c>
      <c r="D1912" s="1">
        <v>120829</v>
      </c>
      <c r="E1912" s="1">
        <v>421</v>
      </c>
      <c r="F1912" s="1" t="s">
        <v>2835</v>
      </c>
      <c r="G1912" s="1" t="s">
        <v>672</v>
      </c>
      <c r="H1912" s="1" t="s">
        <v>141</v>
      </c>
      <c r="I1912" s="1" t="s">
        <v>65</v>
      </c>
      <c r="J1912" s="1">
        <v>3</v>
      </c>
      <c r="K1912" s="1" t="s">
        <v>142</v>
      </c>
      <c r="L1912" s="1" t="s">
        <v>153</v>
      </c>
      <c r="M1912" s="1" t="s">
        <v>1256</v>
      </c>
      <c r="N1912" s="1" t="str">
        <f>HYPERLINK("https://klocwork.india.ti.com:443/review/insight-review.html#issuedetails_goto:problemid=120829,project=MCU_PLUS_SDK_AM263X,searchquery=taxonomy:'C and C++' build:Build_Apr_13_2023_11_11_AM grouping:off ","KW Issue Link")</f>
        <v>KW Issue Link</v>
      </c>
      <c r="O1912" s="1" t="s">
        <v>291</v>
      </c>
    </row>
    <row r="1913" spans="1:15" ht="75" x14ac:dyDescent="0.25">
      <c r="A1913" s="1" t="s">
        <v>1257</v>
      </c>
      <c r="B1913" s="1"/>
      <c r="C1913" s="1" t="s">
        <v>670</v>
      </c>
      <c r="D1913" s="1">
        <v>120830</v>
      </c>
      <c r="E1913" s="1">
        <v>498</v>
      </c>
      <c r="F1913" s="1" t="s">
        <v>2836</v>
      </c>
      <c r="G1913" s="1" t="s">
        <v>2829</v>
      </c>
      <c r="H1913" s="1" t="s">
        <v>141</v>
      </c>
      <c r="I1913" s="1" t="s">
        <v>65</v>
      </c>
      <c r="J1913" s="1">
        <v>3</v>
      </c>
      <c r="K1913" s="1" t="s">
        <v>142</v>
      </c>
      <c r="L1913" s="1" t="s">
        <v>153</v>
      </c>
      <c r="M1913" s="1" t="s">
        <v>1256</v>
      </c>
      <c r="N1913" s="1" t="str">
        <f>HYPERLINK("https://klocwork.india.ti.com:443/review/insight-review.html#issuedetails_goto:problemid=120830,project=MCU_PLUS_SDK_AM263X,searchquery=taxonomy:'C and C++' build:Build_Apr_13_2023_11_11_AM grouping:off ","KW Issue Link")</f>
        <v>KW Issue Link</v>
      </c>
      <c r="O1913" s="1" t="s">
        <v>291</v>
      </c>
    </row>
    <row r="1914" spans="1:15" ht="75" x14ac:dyDescent="0.25">
      <c r="A1914" s="1" t="s">
        <v>1257</v>
      </c>
      <c r="B1914" s="1"/>
      <c r="C1914" s="1" t="s">
        <v>670</v>
      </c>
      <c r="D1914" s="1">
        <v>120831</v>
      </c>
      <c r="E1914" s="1">
        <v>644</v>
      </c>
      <c r="F1914" s="1" t="s">
        <v>2837</v>
      </c>
      <c r="G1914" s="1" t="s">
        <v>673</v>
      </c>
      <c r="H1914" s="1" t="s">
        <v>141</v>
      </c>
      <c r="I1914" s="1" t="s">
        <v>65</v>
      </c>
      <c r="J1914" s="1">
        <v>3</v>
      </c>
      <c r="K1914" s="1" t="s">
        <v>142</v>
      </c>
      <c r="L1914" s="1" t="s">
        <v>153</v>
      </c>
      <c r="M1914" s="1" t="s">
        <v>1256</v>
      </c>
      <c r="N1914" s="1" t="str">
        <f>HYPERLINK("https://klocwork.india.ti.com:443/review/insight-review.html#issuedetails_goto:problemid=120831,project=MCU_PLUS_SDK_AM263X,searchquery=taxonomy:'C and C++' build:Build_Apr_13_2023_11_11_AM grouping:off ","KW Issue Link")</f>
        <v>KW Issue Link</v>
      </c>
      <c r="O1914" s="1" t="s">
        <v>291</v>
      </c>
    </row>
    <row r="1915" spans="1:15" ht="75" x14ac:dyDescent="0.25">
      <c r="A1915" s="1" t="s">
        <v>1257</v>
      </c>
      <c r="B1915" s="1"/>
      <c r="C1915" s="1" t="s">
        <v>674</v>
      </c>
      <c r="D1915" s="1">
        <v>120833</v>
      </c>
      <c r="E1915" s="1">
        <v>440</v>
      </c>
      <c r="F1915" s="1" t="s">
        <v>2838</v>
      </c>
      <c r="G1915" s="1" t="s">
        <v>2839</v>
      </c>
      <c r="H1915" s="1" t="s">
        <v>141</v>
      </c>
      <c r="I1915" s="1" t="s">
        <v>65</v>
      </c>
      <c r="J1915" s="1">
        <v>3</v>
      </c>
      <c r="K1915" s="1" t="s">
        <v>142</v>
      </c>
      <c r="L1915" s="1" t="s">
        <v>153</v>
      </c>
      <c r="M1915" s="1" t="s">
        <v>1256</v>
      </c>
      <c r="N1915" s="1" t="str">
        <f>HYPERLINK("https://klocwork.india.ti.com:443/review/insight-review.html#issuedetails_goto:problemid=120833,project=MCU_PLUS_SDK_AM263X,searchquery=taxonomy:'C and C++' build:Build_Apr_13_2023_11_11_AM grouping:off ","KW Issue Link")</f>
        <v>KW Issue Link</v>
      </c>
      <c r="O1915" s="1" t="s">
        <v>291</v>
      </c>
    </row>
    <row r="1916" spans="1:15" ht="75" x14ac:dyDescent="0.25">
      <c r="A1916" s="1" t="s">
        <v>1257</v>
      </c>
      <c r="B1916" s="1"/>
      <c r="C1916" s="1" t="s">
        <v>674</v>
      </c>
      <c r="D1916" s="1">
        <v>120838</v>
      </c>
      <c r="E1916" s="1">
        <v>681</v>
      </c>
      <c r="F1916" s="1" t="s">
        <v>2840</v>
      </c>
      <c r="G1916" s="1" t="s">
        <v>680</v>
      </c>
      <c r="H1916" s="1" t="s">
        <v>141</v>
      </c>
      <c r="I1916" s="1" t="s">
        <v>65</v>
      </c>
      <c r="J1916" s="1">
        <v>3</v>
      </c>
      <c r="K1916" s="1" t="s">
        <v>142</v>
      </c>
      <c r="L1916" s="1" t="s">
        <v>153</v>
      </c>
      <c r="M1916" s="1" t="s">
        <v>1256</v>
      </c>
      <c r="N1916" s="1" t="str">
        <f>HYPERLINK("https://klocwork.india.ti.com:443/review/insight-review.html#issuedetails_goto:problemid=120838,project=MCU_PLUS_SDK_AM263X,searchquery=taxonomy:'C and C++' build:Build_Apr_13_2023_11_11_AM grouping:off ","KW Issue Link")</f>
        <v>KW Issue Link</v>
      </c>
      <c r="O1916" s="1" t="s">
        <v>291</v>
      </c>
    </row>
    <row r="1917" spans="1:15" ht="75" x14ac:dyDescent="0.25">
      <c r="A1917" s="1" t="s">
        <v>1257</v>
      </c>
      <c r="B1917" s="1"/>
      <c r="C1917" s="1" t="s">
        <v>674</v>
      </c>
      <c r="D1917" s="1">
        <v>120839</v>
      </c>
      <c r="E1917" s="1">
        <v>726</v>
      </c>
      <c r="F1917" s="1" t="s">
        <v>2841</v>
      </c>
      <c r="G1917" s="1" t="s">
        <v>682</v>
      </c>
      <c r="H1917" s="1" t="s">
        <v>141</v>
      </c>
      <c r="I1917" s="1" t="s">
        <v>65</v>
      </c>
      <c r="J1917" s="1">
        <v>3</v>
      </c>
      <c r="K1917" s="1" t="s">
        <v>142</v>
      </c>
      <c r="L1917" s="1" t="s">
        <v>153</v>
      </c>
      <c r="M1917" s="1" t="s">
        <v>1256</v>
      </c>
      <c r="N1917" s="1" t="str">
        <f>HYPERLINK("https://klocwork.india.ti.com:443/review/insight-review.html#issuedetails_goto:problemid=120839,project=MCU_PLUS_SDK_AM263X,searchquery=taxonomy:'C and C++' build:Build_Apr_13_2023_11_11_AM grouping:off ","KW Issue Link")</f>
        <v>KW Issue Link</v>
      </c>
      <c r="O1917" s="1" t="s">
        <v>291</v>
      </c>
    </row>
    <row r="1918" spans="1:15" ht="75" x14ac:dyDescent="0.25">
      <c r="A1918" s="1" t="s">
        <v>1257</v>
      </c>
      <c r="B1918" s="1"/>
      <c r="C1918" s="1" t="s">
        <v>674</v>
      </c>
      <c r="D1918" s="1">
        <v>120841</v>
      </c>
      <c r="E1918" s="1">
        <v>771</v>
      </c>
      <c r="F1918" s="1" t="s">
        <v>2842</v>
      </c>
      <c r="G1918" s="1" t="s">
        <v>2843</v>
      </c>
      <c r="H1918" s="1" t="s">
        <v>141</v>
      </c>
      <c r="I1918" s="1" t="s">
        <v>65</v>
      </c>
      <c r="J1918" s="1">
        <v>3</v>
      </c>
      <c r="K1918" s="1" t="s">
        <v>142</v>
      </c>
      <c r="L1918" s="1" t="s">
        <v>153</v>
      </c>
      <c r="M1918" s="1" t="s">
        <v>1256</v>
      </c>
      <c r="N1918" s="1" t="str">
        <f>HYPERLINK("https://klocwork.india.ti.com:443/review/insight-review.html#issuedetails_goto:problemid=120841,project=MCU_PLUS_SDK_AM263X,searchquery=taxonomy:'C and C++' build:Build_Apr_13_2023_11_11_AM grouping:off ","KW Issue Link")</f>
        <v>KW Issue Link</v>
      </c>
      <c r="O1918" s="1" t="s">
        <v>291</v>
      </c>
    </row>
    <row r="1919" spans="1:15" ht="75" x14ac:dyDescent="0.25">
      <c r="A1919" s="1" t="s">
        <v>1257</v>
      </c>
      <c r="B1919" s="1"/>
      <c r="C1919" s="1" t="s">
        <v>674</v>
      </c>
      <c r="D1919" s="1">
        <v>120842</v>
      </c>
      <c r="E1919" s="1">
        <v>811</v>
      </c>
      <c r="F1919" s="1" t="s">
        <v>2844</v>
      </c>
      <c r="G1919" s="1" t="s">
        <v>2845</v>
      </c>
      <c r="H1919" s="1" t="s">
        <v>141</v>
      </c>
      <c r="I1919" s="1" t="s">
        <v>65</v>
      </c>
      <c r="J1919" s="1">
        <v>3</v>
      </c>
      <c r="K1919" s="1" t="s">
        <v>142</v>
      </c>
      <c r="L1919" s="1" t="s">
        <v>153</v>
      </c>
      <c r="M1919" s="1" t="s">
        <v>1256</v>
      </c>
      <c r="N1919" s="1" t="str">
        <f>HYPERLINK("https://klocwork.india.ti.com:443/review/insight-review.html#issuedetails_goto:problemid=120842,project=MCU_PLUS_SDK_AM263X,searchquery=taxonomy:'C and C++' build:Build_Apr_13_2023_11_11_AM grouping:off ","KW Issue Link")</f>
        <v>KW Issue Link</v>
      </c>
      <c r="O1919" s="1" t="s">
        <v>291</v>
      </c>
    </row>
    <row r="1920" spans="1:15" ht="75" x14ac:dyDescent="0.25">
      <c r="A1920" s="1" t="s">
        <v>1257</v>
      </c>
      <c r="B1920" s="1"/>
      <c r="C1920" s="1" t="s">
        <v>674</v>
      </c>
      <c r="D1920" s="1">
        <v>120843</v>
      </c>
      <c r="E1920" s="1">
        <v>1017</v>
      </c>
      <c r="F1920" s="1" t="s">
        <v>2846</v>
      </c>
      <c r="G1920" s="1" t="s">
        <v>2847</v>
      </c>
      <c r="H1920" s="1" t="s">
        <v>141</v>
      </c>
      <c r="I1920" s="1" t="s">
        <v>65</v>
      </c>
      <c r="J1920" s="1">
        <v>3</v>
      </c>
      <c r="K1920" s="1" t="s">
        <v>142</v>
      </c>
      <c r="L1920" s="1" t="s">
        <v>153</v>
      </c>
      <c r="M1920" s="1" t="s">
        <v>1256</v>
      </c>
      <c r="N1920" s="1" t="str">
        <f>HYPERLINK("https://klocwork.india.ti.com:443/review/insight-review.html#issuedetails_goto:problemid=120843,project=MCU_PLUS_SDK_AM263X,searchquery=taxonomy:'C and C++' build:Build_Apr_13_2023_11_11_AM grouping:off ","KW Issue Link")</f>
        <v>KW Issue Link</v>
      </c>
      <c r="O1920" s="1" t="s">
        <v>291</v>
      </c>
    </row>
    <row r="1921" spans="1:15" ht="75" x14ac:dyDescent="0.25">
      <c r="A1921" s="1" t="s">
        <v>1257</v>
      </c>
      <c r="B1921" s="1"/>
      <c r="C1921" s="1" t="s">
        <v>674</v>
      </c>
      <c r="D1921" s="1">
        <v>120844</v>
      </c>
      <c r="E1921" s="1">
        <v>1149</v>
      </c>
      <c r="F1921" s="1" t="s">
        <v>2848</v>
      </c>
      <c r="G1921" s="1" t="s">
        <v>2849</v>
      </c>
      <c r="H1921" s="1" t="s">
        <v>141</v>
      </c>
      <c r="I1921" s="1" t="s">
        <v>65</v>
      </c>
      <c r="J1921" s="1">
        <v>3</v>
      </c>
      <c r="K1921" s="1" t="s">
        <v>142</v>
      </c>
      <c r="L1921" s="1" t="s">
        <v>153</v>
      </c>
      <c r="M1921" s="1" t="s">
        <v>1256</v>
      </c>
      <c r="N1921" s="1" t="str">
        <f>HYPERLINK("https://klocwork.india.ti.com:443/review/insight-review.html#issuedetails_goto:problemid=120844,project=MCU_PLUS_SDK_AM263X,searchquery=taxonomy:'C and C++' build:Build_Apr_13_2023_11_11_AM grouping:off ","KW Issue Link")</f>
        <v>KW Issue Link</v>
      </c>
      <c r="O1921" s="1" t="s">
        <v>291</v>
      </c>
    </row>
    <row r="1922" spans="1:15" ht="75" x14ac:dyDescent="0.25">
      <c r="A1922" s="1" t="s">
        <v>1257</v>
      </c>
      <c r="B1922" s="1"/>
      <c r="C1922" s="1" t="s">
        <v>674</v>
      </c>
      <c r="D1922" s="1">
        <v>120845</v>
      </c>
      <c r="E1922" s="1">
        <v>1215</v>
      </c>
      <c r="F1922" s="1" t="s">
        <v>2850</v>
      </c>
      <c r="G1922" s="1" t="s">
        <v>2851</v>
      </c>
      <c r="H1922" s="1" t="s">
        <v>141</v>
      </c>
      <c r="I1922" s="1" t="s">
        <v>65</v>
      </c>
      <c r="J1922" s="1">
        <v>3</v>
      </c>
      <c r="K1922" s="1" t="s">
        <v>142</v>
      </c>
      <c r="L1922" s="1" t="s">
        <v>153</v>
      </c>
      <c r="M1922" s="1" t="s">
        <v>1256</v>
      </c>
      <c r="N1922" s="1" t="str">
        <f>HYPERLINK("https://klocwork.india.ti.com:443/review/insight-review.html#issuedetails_goto:problemid=120845,project=MCU_PLUS_SDK_AM263X,searchquery=taxonomy:'C and C++' build:Build_Apr_13_2023_11_11_AM grouping:off ","KW Issue Link")</f>
        <v>KW Issue Link</v>
      </c>
      <c r="O1922" s="1" t="s">
        <v>291</v>
      </c>
    </row>
    <row r="1923" spans="1:15" ht="75" x14ac:dyDescent="0.25">
      <c r="A1923" s="1" t="s">
        <v>1266</v>
      </c>
      <c r="B1923" s="1"/>
      <c r="C1923" s="1" t="s">
        <v>674</v>
      </c>
      <c r="D1923" s="1">
        <v>120847</v>
      </c>
      <c r="E1923" s="1">
        <v>623</v>
      </c>
      <c r="F1923" s="1" t="s">
        <v>2852</v>
      </c>
      <c r="G1923" s="1" t="s">
        <v>677</v>
      </c>
      <c r="H1923" s="1" t="s">
        <v>141</v>
      </c>
      <c r="I1923" s="1" t="s">
        <v>65</v>
      </c>
      <c r="J1923" s="1">
        <v>3</v>
      </c>
      <c r="K1923" s="1" t="s">
        <v>142</v>
      </c>
      <c r="L1923" s="1" t="s">
        <v>153</v>
      </c>
      <c r="M1923" s="1" t="s">
        <v>1256</v>
      </c>
      <c r="N1923" s="1" t="str">
        <f>HYPERLINK("https://klocwork.india.ti.com:443/review/insight-review.html#issuedetails_goto:problemid=120847,project=MCU_PLUS_SDK_AM263X,searchquery=taxonomy:'C and C++' build:Build_Apr_13_2023_11_11_AM grouping:off ","KW Issue Link")</f>
        <v>KW Issue Link</v>
      </c>
      <c r="O1923" s="1" t="s">
        <v>291</v>
      </c>
    </row>
    <row r="1924" spans="1:15" ht="75" x14ac:dyDescent="0.25">
      <c r="A1924" s="1" t="s">
        <v>1266</v>
      </c>
      <c r="B1924" s="1"/>
      <c r="C1924" s="1" t="s">
        <v>674</v>
      </c>
      <c r="D1924" s="1">
        <v>120848</v>
      </c>
      <c r="E1924" s="1">
        <v>681</v>
      </c>
      <c r="F1924" s="1" t="s">
        <v>2853</v>
      </c>
      <c r="G1924" s="1" t="s">
        <v>680</v>
      </c>
      <c r="H1924" s="1" t="s">
        <v>141</v>
      </c>
      <c r="I1924" s="1" t="s">
        <v>65</v>
      </c>
      <c r="J1924" s="1">
        <v>3</v>
      </c>
      <c r="K1924" s="1" t="s">
        <v>142</v>
      </c>
      <c r="L1924" s="1" t="s">
        <v>153</v>
      </c>
      <c r="M1924" s="1" t="s">
        <v>1256</v>
      </c>
      <c r="N1924" s="1" t="str">
        <f>HYPERLINK("https://klocwork.india.ti.com:443/review/insight-review.html#issuedetails_goto:problemid=120848,project=MCU_PLUS_SDK_AM263X,searchquery=taxonomy:'C and C++' build:Build_Apr_13_2023_11_11_AM grouping:off ","KW Issue Link")</f>
        <v>KW Issue Link</v>
      </c>
      <c r="O1924" s="1" t="s">
        <v>291</v>
      </c>
    </row>
    <row r="1925" spans="1:15" ht="75" x14ac:dyDescent="0.25">
      <c r="A1925" s="1" t="s">
        <v>1266</v>
      </c>
      <c r="B1925" s="1"/>
      <c r="C1925" s="1" t="s">
        <v>674</v>
      </c>
      <c r="D1925" s="1">
        <v>120851</v>
      </c>
      <c r="E1925" s="1">
        <v>771</v>
      </c>
      <c r="F1925" s="1" t="s">
        <v>2854</v>
      </c>
      <c r="G1925" s="1" t="s">
        <v>2843</v>
      </c>
      <c r="H1925" s="1" t="s">
        <v>141</v>
      </c>
      <c r="I1925" s="1" t="s">
        <v>65</v>
      </c>
      <c r="J1925" s="1">
        <v>3</v>
      </c>
      <c r="K1925" s="1" t="s">
        <v>142</v>
      </c>
      <c r="L1925" s="1" t="s">
        <v>153</v>
      </c>
      <c r="M1925" s="1" t="s">
        <v>1256</v>
      </c>
      <c r="N1925" s="1" t="str">
        <f>HYPERLINK("https://klocwork.india.ti.com:443/review/insight-review.html#issuedetails_goto:problemid=120851,project=MCU_PLUS_SDK_AM263X,searchquery=taxonomy:'C and C++' build:Build_Apr_13_2023_11_11_AM grouping:off ","KW Issue Link")</f>
        <v>KW Issue Link</v>
      </c>
      <c r="O1925" s="1" t="s">
        <v>291</v>
      </c>
    </row>
    <row r="1926" spans="1:15" ht="75" x14ac:dyDescent="0.25">
      <c r="A1926" s="1" t="s">
        <v>1266</v>
      </c>
      <c r="B1926" s="1"/>
      <c r="C1926" s="1" t="s">
        <v>674</v>
      </c>
      <c r="D1926" s="1">
        <v>120852</v>
      </c>
      <c r="E1926" s="1">
        <v>811</v>
      </c>
      <c r="F1926" s="1" t="s">
        <v>2855</v>
      </c>
      <c r="G1926" s="1" t="s">
        <v>2845</v>
      </c>
      <c r="H1926" s="1" t="s">
        <v>141</v>
      </c>
      <c r="I1926" s="1" t="s">
        <v>65</v>
      </c>
      <c r="J1926" s="1">
        <v>3</v>
      </c>
      <c r="K1926" s="1" t="s">
        <v>142</v>
      </c>
      <c r="L1926" s="1" t="s">
        <v>153</v>
      </c>
      <c r="M1926" s="1" t="s">
        <v>1256</v>
      </c>
      <c r="N1926" s="1" t="str">
        <f>HYPERLINK("https://klocwork.india.ti.com:443/review/insight-review.html#issuedetails_goto:problemid=120852,project=MCU_PLUS_SDK_AM263X,searchquery=taxonomy:'C and C++' build:Build_Apr_13_2023_11_11_AM grouping:off ","KW Issue Link")</f>
        <v>KW Issue Link</v>
      </c>
      <c r="O1926" s="1" t="s">
        <v>291</v>
      </c>
    </row>
    <row r="1927" spans="1:15" ht="75" x14ac:dyDescent="0.25">
      <c r="A1927" s="1" t="s">
        <v>1266</v>
      </c>
      <c r="B1927" s="1"/>
      <c r="C1927" s="1" t="s">
        <v>674</v>
      </c>
      <c r="D1927" s="1">
        <v>120853</v>
      </c>
      <c r="E1927" s="1">
        <v>1017</v>
      </c>
      <c r="F1927" s="1" t="s">
        <v>2856</v>
      </c>
      <c r="G1927" s="1" t="s">
        <v>2847</v>
      </c>
      <c r="H1927" s="1" t="s">
        <v>141</v>
      </c>
      <c r="I1927" s="1" t="s">
        <v>65</v>
      </c>
      <c r="J1927" s="1">
        <v>3</v>
      </c>
      <c r="K1927" s="1" t="s">
        <v>142</v>
      </c>
      <c r="L1927" s="1" t="s">
        <v>153</v>
      </c>
      <c r="M1927" s="1" t="s">
        <v>1256</v>
      </c>
      <c r="N1927" s="1" t="str">
        <f>HYPERLINK("https://klocwork.india.ti.com:443/review/insight-review.html#issuedetails_goto:problemid=120853,project=MCU_PLUS_SDK_AM263X,searchquery=taxonomy:'C and C++' build:Build_Apr_13_2023_11_11_AM grouping:off ","KW Issue Link")</f>
        <v>KW Issue Link</v>
      </c>
      <c r="O1927" s="1" t="s">
        <v>291</v>
      </c>
    </row>
    <row r="1928" spans="1:15" ht="75" x14ac:dyDescent="0.25">
      <c r="A1928" s="1" t="s">
        <v>1268</v>
      </c>
      <c r="B1928" s="1"/>
      <c r="C1928" s="1" t="s">
        <v>674</v>
      </c>
      <c r="D1928" s="1">
        <v>120854</v>
      </c>
      <c r="E1928" s="1">
        <v>623</v>
      </c>
      <c r="F1928" s="1" t="s">
        <v>2857</v>
      </c>
      <c r="G1928" s="1" t="s">
        <v>677</v>
      </c>
      <c r="H1928" s="1" t="s">
        <v>141</v>
      </c>
      <c r="I1928" s="1" t="s">
        <v>65</v>
      </c>
      <c r="J1928" s="1">
        <v>3</v>
      </c>
      <c r="K1928" s="1" t="s">
        <v>142</v>
      </c>
      <c r="L1928" s="1" t="s">
        <v>153</v>
      </c>
      <c r="M1928" s="1" t="s">
        <v>1256</v>
      </c>
      <c r="N1928" s="1" t="str">
        <f>HYPERLINK("https://klocwork.india.ti.com:443/review/insight-review.html#issuedetails_goto:problemid=120854,project=MCU_PLUS_SDK_AM263X,searchquery=taxonomy:'C and C++' build:Build_Apr_13_2023_11_11_AM grouping:off ","KW Issue Link")</f>
        <v>KW Issue Link</v>
      </c>
      <c r="O1928" s="1" t="s">
        <v>291</v>
      </c>
    </row>
    <row r="1929" spans="1:15" ht="75" x14ac:dyDescent="0.25">
      <c r="A1929" s="1" t="s">
        <v>1268</v>
      </c>
      <c r="B1929" s="1"/>
      <c r="C1929" s="1" t="s">
        <v>674</v>
      </c>
      <c r="D1929" s="1">
        <v>120855</v>
      </c>
      <c r="E1929" s="1">
        <v>681</v>
      </c>
      <c r="F1929" s="1" t="s">
        <v>2858</v>
      </c>
      <c r="G1929" s="1" t="s">
        <v>680</v>
      </c>
      <c r="H1929" s="1" t="s">
        <v>141</v>
      </c>
      <c r="I1929" s="1" t="s">
        <v>65</v>
      </c>
      <c r="J1929" s="1">
        <v>3</v>
      </c>
      <c r="K1929" s="1" t="s">
        <v>142</v>
      </c>
      <c r="L1929" s="1" t="s">
        <v>153</v>
      </c>
      <c r="M1929" s="1" t="s">
        <v>1256</v>
      </c>
      <c r="N1929" s="1" t="str">
        <f>HYPERLINK("https://klocwork.india.ti.com:443/review/insight-review.html#issuedetails_goto:problemid=120855,project=MCU_PLUS_SDK_AM263X,searchquery=taxonomy:'C and C++' build:Build_Apr_13_2023_11_11_AM grouping:off ","KW Issue Link")</f>
        <v>KW Issue Link</v>
      </c>
      <c r="O1929" s="1" t="s">
        <v>291</v>
      </c>
    </row>
    <row r="1930" spans="1:15" ht="75" x14ac:dyDescent="0.25">
      <c r="A1930" s="1" t="s">
        <v>1268</v>
      </c>
      <c r="B1930" s="1"/>
      <c r="C1930" s="1" t="s">
        <v>674</v>
      </c>
      <c r="D1930" s="1">
        <v>120857</v>
      </c>
      <c r="E1930" s="1">
        <v>771</v>
      </c>
      <c r="F1930" s="1" t="s">
        <v>2859</v>
      </c>
      <c r="G1930" s="1" t="s">
        <v>2843</v>
      </c>
      <c r="H1930" s="1" t="s">
        <v>141</v>
      </c>
      <c r="I1930" s="1" t="s">
        <v>65</v>
      </c>
      <c r="J1930" s="1">
        <v>3</v>
      </c>
      <c r="K1930" s="1" t="s">
        <v>142</v>
      </c>
      <c r="L1930" s="1" t="s">
        <v>153</v>
      </c>
      <c r="M1930" s="1" t="s">
        <v>1256</v>
      </c>
      <c r="N1930" s="1" t="str">
        <f>HYPERLINK("https://klocwork.india.ti.com:443/review/insight-review.html#issuedetails_goto:problemid=120857,project=MCU_PLUS_SDK_AM263X,searchquery=taxonomy:'C and C++' build:Build_Apr_13_2023_11_11_AM grouping:off ","KW Issue Link")</f>
        <v>KW Issue Link</v>
      </c>
      <c r="O1930" s="1" t="s">
        <v>291</v>
      </c>
    </row>
    <row r="1931" spans="1:15" ht="75" x14ac:dyDescent="0.25">
      <c r="A1931" s="1" t="s">
        <v>1268</v>
      </c>
      <c r="B1931" s="1"/>
      <c r="C1931" s="1" t="s">
        <v>674</v>
      </c>
      <c r="D1931" s="1">
        <v>120858</v>
      </c>
      <c r="E1931" s="1">
        <v>811</v>
      </c>
      <c r="F1931" s="1" t="s">
        <v>2860</v>
      </c>
      <c r="G1931" s="1" t="s">
        <v>2845</v>
      </c>
      <c r="H1931" s="1" t="s">
        <v>141</v>
      </c>
      <c r="I1931" s="1" t="s">
        <v>65</v>
      </c>
      <c r="J1931" s="1">
        <v>3</v>
      </c>
      <c r="K1931" s="1" t="s">
        <v>142</v>
      </c>
      <c r="L1931" s="1" t="s">
        <v>153</v>
      </c>
      <c r="M1931" s="1" t="s">
        <v>1256</v>
      </c>
      <c r="N1931" s="1" t="str">
        <f>HYPERLINK("https://klocwork.india.ti.com:443/review/insight-review.html#issuedetails_goto:problemid=120858,project=MCU_PLUS_SDK_AM263X,searchquery=taxonomy:'C and C++' build:Build_Apr_13_2023_11_11_AM grouping:off ","KW Issue Link")</f>
        <v>KW Issue Link</v>
      </c>
      <c r="O1931" s="1" t="s">
        <v>291</v>
      </c>
    </row>
    <row r="1932" spans="1:15" ht="75" x14ac:dyDescent="0.25">
      <c r="A1932" s="1" t="s">
        <v>1268</v>
      </c>
      <c r="B1932" s="1"/>
      <c r="C1932" s="1" t="s">
        <v>674</v>
      </c>
      <c r="D1932" s="1">
        <v>120859</v>
      </c>
      <c r="E1932" s="1">
        <v>1017</v>
      </c>
      <c r="F1932" s="1" t="s">
        <v>2861</v>
      </c>
      <c r="G1932" s="1" t="s">
        <v>2847</v>
      </c>
      <c r="H1932" s="1" t="s">
        <v>141</v>
      </c>
      <c r="I1932" s="1" t="s">
        <v>65</v>
      </c>
      <c r="J1932" s="1">
        <v>3</v>
      </c>
      <c r="K1932" s="1" t="s">
        <v>142</v>
      </c>
      <c r="L1932" s="1" t="s">
        <v>153</v>
      </c>
      <c r="M1932" s="1" t="s">
        <v>1256</v>
      </c>
      <c r="N1932" s="1" t="str">
        <f>HYPERLINK("https://klocwork.india.ti.com:443/review/insight-review.html#issuedetails_goto:problemid=120859,project=MCU_PLUS_SDK_AM263X,searchquery=taxonomy:'C and C++' build:Build_Apr_13_2023_11_11_AM grouping:off ","KW Issue Link")</f>
        <v>KW Issue Link</v>
      </c>
      <c r="O1932" s="1" t="s">
        <v>291</v>
      </c>
    </row>
    <row r="1933" spans="1:15" ht="75" x14ac:dyDescent="0.25">
      <c r="A1933" s="1" t="s">
        <v>1252</v>
      </c>
      <c r="B1933" s="1"/>
      <c r="C1933" s="1" t="s">
        <v>674</v>
      </c>
      <c r="D1933" s="1">
        <v>120860</v>
      </c>
      <c r="E1933" s="1">
        <v>811</v>
      </c>
      <c r="F1933" s="1" t="s">
        <v>2862</v>
      </c>
      <c r="G1933" s="1" t="s">
        <v>2845</v>
      </c>
      <c r="H1933" s="1" t="s">
        <v>141</v>
      </c>
      <c r="I1933" s="1" t="s">
        <v>65</v>
      </c>
      <c r="J1933" s="1">
        <v>3</v>
      </c>
      <c r="K1933" s="1" t="s">
        <v>142</v>
      </c>
      <c r="L1933" s="1" t="s">
        <v>153</v>
      </c>
      <c r="M1933" s="1" t="s">
        <v>1256</v>
      </c>
      <c r="N1933" s="1" t="str">
        <f>HYPERLINK("https://klocwork.india.ti.com:443/review/insight-review.html#issuedetails_goto:problemid=120860,project=MCU_PLUS_SDK_AM263X,searchquery=taxonomy:'C and C++' build:Build_Apr_13_2023_11_11_AM grouping:off ","KW Issue Link")</f>
        <v>KW Issue Link</v>
      </c>
      <c r="O1933" s="1" t="s">
        <v>291</v>
      </c>
    </row>
    <row r="1934" spans="1:15" ht="75" x14ac:dyDescent="0.25">
      <c r="A1934" s="1" t="s">
        <v>1257</v>
      </c>
      <c r="B1934" s="1"/>
      <c r="C1934" s="1" t="s">
        <v>2863</v>
      </c>
      <c r="D1934" s="1">
        <v>120861</v>
      </c>
      <c r="E1934" s="1">
        <v>59</v>
      </c>
      <c r="F1934" s="1" t="s">
        <v>2864</v>
      </c>
      <c r="G1934" s="1" t="s">
        <v>2865</v>
      </c>
      <c r="H1934" s="1" t="s">
        <v>141</v>
      </c>
      <c r="I1934" s="1" t="s">
        <v>65</v>
      </c>
      <c r="J1934" s="1">
        <v>3</v>
      </c>
      <c r="K1934" s="1" t="s">
        <v>142</v>
      </c>
      <c r="L1934" s="1" t="s">
        <v>153</v>
      </c>
      <c r="M1934" s="1" t="s">
        <v>1256</v>
      </c>
      <c r="N1934" s="1" t="str">
        <f>HYPERLINK("https://klocwork.india.ti.com:443/review/insight-review.html#issuedetails_goto:problemid=120861,project=MCU_PLUS_SDK_AM263X,searchquery=taxonomy:'C and C++' build:Build_Apr_13_2023_11_11_AM grouping:off ","KW Issue Link")</f>
        <v>KW Issue Link</v>
      </c>
      <c r="O1934" s="1" t="s">
        <v>291</v>
      </c>
    </row>
    <row r="1935" spans="1:15" ht="75" x14ac:dyDescent="0.25">
      <c r="A1935" s="1" t="s">
        <v>1266</v>
      </c>
      <c r="B1935" s="1"/>
      <c r="C1935" s="1" t="s">
        <v>2863</v>
      </c>
      <c r="D1935" s="1">
        <v>120862</v>
      </c>
      <c r="E1935" s="1">
        <v>59</v>
      </c>
      <c r="F1935" s="1" t="s">
        <v>2866</v>
      </c>
      <c r="G1935" s="1" t="s">
        <v>2865</v>
      </c>
      <c r="H1935" s="1" t="s">
        <v>141</v>
      </c>
      <c r="I1935" s="1" t="s">
        <v>65</v>
      </c>
      <c r="J1935" s="1">
        <v>3</v>
      </c>
      <c r="K1935" s="1" t="s">
        <v>142</v>
      </c>
      <c r="L1935" s="1" t="s">
        <v>153</v>
      </c>
      <c r="M1935" s="1" t="s">
        <v>1256</v>
      </c>
      <c r="N1935" s="1" t="str">
        <f>HYPERLINK("https://klocwork.india.ti.com:443/review/insight-review.html#issuedetails_goto:problemid=120862,project=MCU_PLUS_SDK_AM263X,searchquery=taxonomy:'C and C++' build:Build_Apr_13_2023_11_11_AM grouping:off ","KW Issue Link")</f>
        <v>KW Issue Link</v>
      </c>
      <c r="O1935" s="1" t="s">
        <v>291</v>
      </c>
    </row>
    <row r="1936" spans="1:15" ht="75" x14ac:dyDescent="0.25">
      <c r="A1936" s="1" t="s">
        <v>1266</v>
      </c>
      <c r="B1936" s="1"/>
      <c r="C1936" s="1" t="s">
        <v>2867</v>
      </c>
      <c r="D1936" s="1">
        <v>120863</v>
      </c>
      <c r="E1936" s="1">
        <v>157</v>
      </c>
      <c r="F1936" s="1" t="s">
        <v>2868</v>
      </c>
      <c r="G1936" s="1" t="s">
        <v>2869</v>
      </c>
      <c r="H1936" s="1" t="s">
        <v>141</v>
      </c>
      <c r="I1936" s="1" t="s">
        <v>65</v>
      </c>
      <c r="J1936" s="1">
        <v>3</v>
      </c>
      <c r="K1936" s="1" t="s">
        <v>142</v>
      </c>
      <c r="L1936" s="1" t="s">
        <v>153</v>
      </c>
      <c r="M1936" s="1" t="s">
        <v>1256</v>
      </c>
      <c r="N1936" s="1" t="str">
        <f>HYPERLINK("https://klocwork.india.ti.com:443/review/insight-review.html#issuedetails_goto:problemid=120863,project=MCU_PLUS_SDK_AM263X,searchquery=taxonomy:'C and C++' build:Build_Apr_13_2023_11_11_AM grouping:off ","KW Issue Link")</f>
        <v>KW Issue Link</v>
      </c>
      <c r="O1936" s="1" t="s">
        <v>291</v>
      </c>
    </row>
    <row r="1937" spans="1:15" ht="75" x14ac:dyDescent="0.25">
      <c r="A1937" s="1" t="s">
        <v>1257</v>
      </c>
      <c r="B1937" s="1"/>
      <c r="C1937" s="1" t="s">
        <v>2870</v>
      </c>
      <c r="D1937" s="1">
        <v>120864</v>
      </c>
      <c r="E1937" s="1">
        <v>62</v>
      </c>
      <c r="F1937" s="1" t="s">
        <v>2871</v>
      </c>
      <c r="G1937" s="1" t="s">
        <v>2872</v>
      </c>
      <c r="H1937" s="1" t="s">
        <v>141</v>
      </c>
      <c r="I1937" s="1" t="s">
        <v>65</v>
      </c>
      <c r="J1937" s="1">
        <v>3</v>
      </c>
      <c r="K1937" s="1" t="s">
        <v>142</v>
      </c>
      <c r="L1937" s="1" t="s">
        <v>153</v>
      </c>
      <c r="M1937" s="1" t="s">
        <v>1256</v>
      </c>
      <c r="N1937" s="1" t="str">
        <f>HYPERLINK("https://klocwork.india.ti.com:443/review/insight-review.html#issuedetails_goto:problemid=120864,project=MCU_PLUS_SDK_AM263X,searchquery=taxonomy:'C and C++' build:Build_Apr_13_2023_11_11_AM grouping:off ","KW Issue Link")</f>
        <v>KW Issue Link</v>
      </c>
      <c r="O1937" s="1" t="s">
        <v>291</v>
      </c>
    </row>
    <row r="1938" spans="1:15" ht="75" x14ac:dyDescent="0.25">
      <c r="A1938" s="1" t="s">
        <v>1257</v>
      </c>
      <c r="B1938" s="1"/>
      <c r="C1938" s="1" t="s">
        <v>2870</v>
      </c>
      <c r="D1938" s="1">
        <v>120865</v>
      </c>
      <c r="E1938" s="1">
        <v>157</v>
      </c>
      <c r="F1938" s="1" t="s">
        <v>2873</v>
      </c>
      <c r="G1938" s="1" t="s">
        <v>2874</v>
      </c>
      <c r="H1938" s="1" t="s">
        <v>141</v>
      </c>
      <c r="I1938" s="1" t="s">
        <v>65</v>
      </c>
      <c r="J1938" s="1">
        <v>3</v>
      </c>
      <c r="K1938" s="1" t="s">
        <v>142</v>
      </c>
      <c r="L1938" s="1" t="s">
        <v>153</v>
      </c>
      <c r="M1938" s="1" t="s">
        <v>1256</v>
      </c>
      <c r="N1938" s="1" t="str">
        <f>HYPERLINK("https://klocwork.india.ti.com:443/review/insight-review.html#issuedetails_goto:problemid=120865,project=MCU_PLUS_SDK_AM263X,searchquery=taxonomy:'C and C++' build:Build_Apr_13_2023_11_11_AM grouping:off ","KW Issue Link")</f>
        <v>KW Issue Link</v>
      </c>
      <c r="O1938" s="1" t="s">
        <v>291</v>
      </c>
    </row>
    <row r="1939" spans="1:15" ht="75" x14ac:dyDescent="0.25">
      <c r="A1939" s="1" t="s">
        <v>1266</v>
      </c>
      <c r="B1939" s="1"/>
      <c r="C1939" s="1" t="s">
        <v>2870</v>
      </c>
      <c r="D1939" s="1">
        <v>120866</v>
      </c>
      <c r="E1939" s="1">
        <v>62</v>
      </c>
      <c r="F1939" s="1" t="s">
        <v>2875</v>
      </c>
      <c r="G1939" s="1" t="s">
        <v>2872</v>
      </c>
      <c r="H1939" s="1" t="s">
        <v>141</v>
      </c>
      <c r="I1939" s="1" t="s">
        <v>65</v>
      </c>
      <c r="J1939" s="1">
        <v>3</v>
      </c>
      <c r="K1939" s="1" t="s">
        <v>142</v>
      </c>
      <c r="L1939" s="1" t="s">
        <v>153</v>
      </c>
      <c r="M1939" s="1" t="s">
        <v>1256</v>
      </c>
      <c r="N1939" s="1" t="str">
        <f>HYPERLINK("https://klocwork.india.ti.com:443/review/insight-review.html#issuedetails_goto:problemid=120866,project=MCU_PLUS_SDK_AM263X,searchquery=taxonomy:'C and C++' build:Build_Apr_13_2023_11_11_AM grouping:off ","KW Issue Link")</f>
        <v>KW Issue Link</v>
      </c>
      <c r="O1939" s="1" t="s">
        <v>291</v>
      </c>
    </row>
    <row r="1940" spans="1:15" ht="75" x14ac:dyDescent="0.25">
      <c r="A1940" s="1" t="s">
        <v>1266</v>
      </c>
      <c r="B1940" s="1"/>
      <c r="C1940" s="1" t="s">
        <v>2870</v>
      </c>
      <c r="D1940" s="1">
        <v>120868</v>
      </c>
      <c r="E1940" s="1">
        <v>317</v>
      </c>
      <c r="F1940" s="1" t="s">
        <v>2876</v>
      </c>
      <c r="G1940" s="1" t="s">
        <v>2877</v>
      </c>
      <c r="H1940" s="1" t="s">
        <v>141</v>
      </c>
      <c r="I1940" s="1" t="s">
        <v>65</v>
      </c>
      <c r="J1940" s="1">
        <v>3</v>
      </c>
      <c r="K1940" s="1" t="s">
        <v>142</v>
      </c>
      <c r="L1940" s="1" t="s">
        <v>153</v>
      </c>
      <c r="M1940" s="1" t="s">
        <v>1256</v>
      </c>
      <c r="N1940" s="1" t="str">
        <f>HYPERLINK("https://klocwork.india.ti.com:443/review/insight-review.html#issuedetails_goto:problemid=120868,project=MCU_PLUS_SDK_AM263X,searchquery=taxonomy:'C and C++' build:Build_Apr_13_2023_11_11_AM grouping:off ","KW Issue Link")</f>
        <v>KW Issue Link</v>
      </c>
      <c r="O1940" s="1" t="s">
        <v>291</v>
      </c>
    </row>
    <row r="1941" spans="1:15" ht="75" x14ac:dyDescent="0.25">
      <c r="A1941" s="1" t="s">
        <v>1257</v>
      </c>
      <c r="B1941" s="1"/>
      <c r="C1941" s="1" t="s">
        <v>2878</v>
      </c>
      <c r="D1941" s="1">
        <v>120869</v>
      </c>
      <c r="E1941" s="1">
        <v>49</v>
      </c>
      <c r="F1941" s="1" t="s">
        <v>2879</v>
      </c>
      <c r="G1941" s="1" t="s">
        <v>2880</v>
      </c>
      <c r="H1941" s="1" t="s">
        <v>141</v>
      </c>
      <c r="I1941" s="1" t="s">
        <v>65</v>
      </c>
      <c r="J1941" s="1">
        <v>3</v>
      </c>
      <c r="K1941" s="1" t="s">
        <v>142</v>
      </c>
      <c r="L1941" s="1" t="s">
        <v>153</v>
      </c>
      <c r="M1941" s="1" t="s">
        <v>1256</v>
      </c>
      <c r="N1941" s="1" t="str">
        <f>HYPERLINK("https://klocwork.india.ti.com:443/review/insight-review.html#issuedetails_goto:problemid=120869,project=MCU_PLUS_SDK_AM263X,searchquery=taxonomy:'C and C++' build:Build_Apr_13_2023_11_11_AM grouping:off ","KW Issue Link")</f>
        <v>KW Issue Link</v>
      </c>
      <c r="O1941" s="1" t="s">
        <v>291</v>
      </c>
    </row>
    <row r="1942" spans="1:15" ht="75" x14ac:dyDescent="0.25">
      <c r="A1942" s="1" t="s">
        <v>1266</v>
      </c>
      <c r="B1942" s="1"/>
      <c r="C1942" s="1" t="s">
        <v>2878</v>
      </c>
      <c r="D1942" s="1">
        <v>120870</v>
      </c>
      <c r="E1942" s="1">
        <v>49</v>
      </c>
      <c r="F1942" s="1" t="s">
        <v>2881</v>
      </c>
      <c r="G1942" s="1" t="s">
        <v>2880</v>
      </c>
      <c r="H1942" s="1" t="s">
        <v>141</v>
      </c>
      <c r="I1942" s="1" t="s">
        <v>65</v>
      </c>
      <c r="J1942" s="1">
        <v>3</v>
      </c>
      <c r="K1942" s="1" t="s">
        <v>142</v>
      </c>
      <c r="L1942" s="1" t="s">
        <v>153</v>
      </c>
      <c r="M1942" s="1" t="s">
        <v>1256</v>
      </c>
      <c r="N1942" s="1" t="str">
        <f>HYPERLINK("https://klocwork.india.ti.com:443/review/insight-review.html#issuedetails_goto:problemid=120870,project=MCU_PLUS_SDK_AM263X,searchquery=taxonomy:'C and C++' build:Build_Apr_13_2023_11_11_AM grouping:off ","KW Issue Link")</f>
        <v>KW Issue Link</v>
      </c>
      <c r="O1942" s="1" t="s">
        <v>291</v>
      </c>
    </row>
    <row r="1943" spans="1:15" ht="75" x14ac:dyDescent="0.25">
      <c r="A1943" s="1" t="s">
        <v>1257</v>
      </c>
      <c r="B1943" s="1"/>
      <c r="C1943" s="1" t="s">
        <v>685</v>
      </c>
      <c r="D1943" s="1">
        <v>120871</v>
      </c>
      <c r="E1943" s="1">
        <v>230</v>
      </c>
      <c r="F1943" s="1" t="s">
        <v>2882</v>
      </c>
      <c r="G1943" s="1" t="s">
        <v>687</v>
      </c>
      <c r="H1943" s="1" t="s">
        <v>141</v>
      </c>
      <c r="I1943" s="1" t="s">
        <v>65</v>
      </c>
      <c r="J1943" s="1">
        <v>3</v>
      </c>
      <c r="K1943" s="1" t="s">
        <v>142</v>
      </c>
      <c r="L1943" s="1" t="s">
        <v>153</v>
      </c>
      <c r="M1943" s="1" t="s">
        <v>1256</v>
      </c>
      <c r="N1943" s="1" t="str">
        <f>HYPERLINK("https://klocwork.india.ti.com:443/review/insight-review.html#issuedetails_goto:problemid=120871,project=MCU_PLUS_SDK_AM263X,searchquery=taxonomy:'C and C++' build:Build_Apr_13_2023_11_11_AM grouping:off ","KW Issue Link")</f>
        <v>KW Issue Link</v>
      </c>
      <c r="O1943" s="1" t="s">
        <v>291</v>
      </c>
    </row>
    <row r="1944" spans="1:15" ht="75" x14ac:dyDescent="0.25">
      <c r="A1944" s="1" t="s">
        <v>1257</v>
      </c>
      <c r="B1944" s="1"/>
      <c r="C1944" s="1" t="s">
        <v>685</v>
      </c>
      <c r="D1944" s="1">
        <v>120872</v>
      </c>
      <c r="E1944" s="1">
        <v>281</v>
      </c>
      <c r="F1944" s="1" t="s">
        <v>2883</v>
      </c>
      <c r="G1944" s="1" t="s">
        <v>2884</v>
      </c>
      <c r="H1944" s="1" t="s">
        <v>141</v>
      </c>
      <c r="I1944" s="1" t="s">
        <v>65</v>
      </c>
      <c r="J1944" s="1">
        <v>3</v>
      </c>
      <c r="K1944" s="1" t="s">
        <v>142</v>
      </c>
      <c r="L1944" s="1" t="s">
        <v>153</v>
      </c>
      <c r="M1944" s="1" t="s">
        <v>1256</v>
      </c>
      <c r="N1944" s="1" t="str">
        <f>HYPERLINK("https://klocwork.india.ti.com:443/review/insight-review.html#issuedetails_goto:problemid=120872,project=MCU_PLUS_SDK_AM263X,searchquery=taxonomy:'C and C++' build:Build_Apr_13_2023_11_11_AM grouping:off ","KW Issue Link")</f>
        <v>KW Issue Link</v>
      </c>
      <c r="O1944" s="1" t="s">
        <v>291</v>
      </c>
    </row>
    <row r="1945" spans="1:15" ht="75" x14ac:dyDescent="0.25">
      <c r="A1945" s="1" t="s">
        <v>1257</v>
      </c>
      <c r="B1945" s="1"/>
      <c r="C1945" s="1" t="s">
        <v>685</v>
      </c>
      <c r="D1945" s="1">
        <v>120873</v>
      </c>
      <c r="E1945" s="1">
        <v>327</v>
      </c>
      <c r="F1945" s="1" t="s">
        <v>2885</v>
      </c>
      <c r="G1945" s="1" t="s">
        <v>689</v>
      </c>
      <c r="H1945" s="1" t="s">
        <v>141</v>
      </c>
      <c r="I1945" s="1" t="s">
        <v>65</v>
      </c>
      <c r="J1945" s="1">
        <v>3</v>
      </c>
      <c r="K1945" s="1" t="s">
        <v>142</v>
      </c>
      <c r="L1945" s="1" t="s">
        <v>153</v>
      </c>
      <c r="M1945" s="1" t="s">
        <v>1256</v>
      </c>
      <c r="N1945" s="1" t="str">
        <f>HYPERLINK("https://klocwork.india.ti.com:443/review/insight-review.html#issuedetails_goto:problemid=120873,project=MCU_PLUS_SDK_AM263X,searchquery=taxonomy:'C and C++' build:Build_Apr_13_2023_11_11_AM grouping:off ","KW Issue Link")</f>
        <v>KW Issue Link</v>
      </c>
      <c r="O1945" s="1" t="s">
        <v>291</v>
      </c>
    </row>
    <row r="1946" spans="1:15" ht="75" x14ac:dyDescent="0.25">
      <c r="A1946" s="1" t="s">
        <v>1266</v>
      </c>
      <c r="B1946" s="1"/>
      <c r="C1946" s="1" t="s">
        <v>685</v>
      </c>
      <c r="D1946" s="1">
        <v>120874</v>
      </c>
      <c r="E1946" s="1">
        <v>230</v>
      </c>
      <c r="F1946" s="1" t="s">
        <v>2886</v>
      </c>
      <c r="G1946" s="1" t="s">
        <v>687</v>
      </c>
      <c r="H1946" s="1" t="s">
        <v>141</v>
      </c>
      <c r="I1946" s="1" t="s">
        <v>65</v>
      </c>
      <c r="J1946" s="1">
        <v>3</v>
      </c>
      <c r="K1946" s="1" t="s">
        <v>142</v>
      </c>
      <c r="L1946" s="1" t="s">
        <v>153</v>
      </c>
      <c r="M1946" s="1" t="s">
        <v>1256</v>
      </c>
      <c r="N1946" s="1" t="str">
        <f>HYPERLINK("https://klocwork.india.ti.com:443/review/insight-review.html#issuedetails_goto:problemid=120874,project=MCU_PLUS_SDK_AM263X,searchquery=taxonomy:'C and C++' build:Build_Apr_13_2023_11_11_AM grouping:off ","KW Issue Link")</f>
        <v>KW Issue Link</v>
      </c>
      <c r="O1946" s="1" t="s">
        <v>291</v>
      </c>
    </row>
    <row r="1947" spans="1:15" ht="75" x14ac:dyDescent="0.25">
      <c r="A1947" s="1" t="s">
        <v>1266</v>
      </c>
      <c r="B1947" s="1"/>
      <c r="C1947" s="1" t="s">
        <v>685</v>
      </c>
      <c r="D1947" s="1">
        <v>120875</v>
      </c>
      <c r="E1947" s="1">
        <v>281</v>
      </c>
      <c r="F1947" s="1" t="s">
        <v>2887</v>
      </c>
      <c r="G1947" s="1" t="s">
        <v>2884</v>
      </c>
      <c r="H1947" s="1" t="s">
        <v>141</v>
      </c>
      <c r="I1947" s="1" t="s">
        <v>65</v>
      </c>
      <c r="J1947" s="1">
        <v>3</v>
      </c>
      <c r="K1947" s="1" t="s">
        <v>142</v>
      </c>
      <c r="L1947" s="1" t="s">
        <v>153</v>
      </c>
      <c r="M1947" s="1" t="s">
        <v>1256</v>
      </c>
      <c r="N1947" s="1" t="str">
        <f>HYPERLINK("https://klocwork.india.ti.com:443/review/insight-review.html#issuedetails_goto:problemid=120875,project=MCU_PLUS_SDK_AM263X,searchquery=taxonomy:'C and C++' build:Build_Apr_13_2023_11_11_AM grouping:off ","KW Issue Link")</f>
        <v>KW Issue Link</v>
      </c>
      <c r="O1947" s="1" t="s">
        <v>291</v>
      </c>
    </row>
    <row r="1948" spans="1:15" ht="75" x14ac:dyDescent="0.25">
      <c r="A1948" s="1" t="s">
        <v>1266</v>
      </c>
      <c r="B1948" s="1"/>
      <c r="C1948" s="1" t="s">
        <v>685</v>
      </c>
      <c r="D1948" s="1">
        <v>120876</v>
      </c>
      <c r="E1948" s="1">
        <v>327</v>
      </c>
      <c r="F1948" s="1" t="s">
        <v>2888</v>
      </c>
      <c r="G1948" s="1" t="s">
        <v>689</v>
      </c>
      <c r="H1948" s="1" t="s">
        <v>141</v>
      </c>
      <c r="I1948" s="1" t="s">
        <v>65</v>
      </c>
      <c r="J1948" s="1">
        <v>3</v>
      </c>
      <c r="K1948" s="1" t="s">
        <v>142</v>
      </c>
      <c r="L1948" s="1" t="s">
        <v>153</v>
      </c>
      <c r="M1948" s="1" t="s">
        <v>1256</v>
      </c>
      <c r="N1948" s="1" t="str">
        <f>HYPERLINK("https://klocwork.india.ti.com:443/review/insight-review.html#issuedetails_goto:problemid=120876,project=MCU_PLUS_SDK_AM263X,searchquery=taxonomy:'C and C++' build:Build_Apr_13_2023_11_11_AM grouping:off ","KW Issue Link")</f>
        <v>KW Issue Link</v>
      </c>
      <c r="O1948" s="1" t="s">
        <v>291</v>
      </c>
    </row>
    <row r="1949" spans="1:15" ht="75" x14ac:dyDescent="0.25">
      <c r="A1949" s="1" t="s">
        <v>1257</v>
      </c>
      <c r="B1949" s="1"/>
      <c r="C1949" s="1" t="s">
        <v>691</v>
      </c>
      <c r="D1949" s="1">
        <v>120877</v>
      </c>
      <c r="E1949" s="1">
        <v>62</v>
      </c>
      <c r="F1949" s="1" t="s">
        <v>2889</v>
      </c>
      <c r="G1949" s="1" t="s">
        <v>2890</v>
      </c>
      <c r="H1949" s="1" t="s">
        <v>141</v>
      </c>
      <c r="I1949" s="1" t="s">
        <v>65</v>
      </c>
      <c r="J1949" s="1">
        <v>3</v>
      </c>
      <c r="K1949" s="1" t="s">
        <v>142</v>
      </c>
      <c r="L1949" s="1" t="s">
        <v>153</v>
      </c>
      <c r="M1949" s="1" t="s">
        <v>1256</v>
      </c>
      <c r="N1949" s="1" t="str">
        <f>HYPERLINK("https://klocwork.india.ti.com:443/review/insight-review.html#issuedetails_goto:problemid=120877,project=MCU_PLUS_SDK_AM263X,searchquery=taxonomy:'C and C++' build:Build_Apr_13_2023_11_11_AM grouping:off ","KW Issue Link")</f>
        <v>KW Issue Link</v>
      </c>
      <c r="O1949" s="1" t="s">
        <v>291</v>
      </c>
    </row>
    <row r="1950" spans="1:15" ht="75" x14ac:dyDescent="0.25">
      <c r="A1950" s="1" t="s">
        <v>1257</v>
      </c>
      <c r="B1950" s="1"/>
      <c r="C1950" s="1" t="s">
        <v>691</v>
      </c>
      <c r="D1950" s="1">
        <v>120878</v>
      </c>
      <c r="E1950" s="1">
        <v>165</v>
      </c>
      <c r="F1950" s="1" t="s">
        <v>2891</v>
      </c>
      <c r="G1950" s="1" t="s">
        <v>2892</v>
      </c>
      <c r="H1950" s="1" t="s">
        <v>141</v>
      </c>
      <c r="I1950" s="1" t="s">
        <v>65</v>
      </c>
      <c r="J1950" s="1">
        <v>3</v>
      </c>
      <c r="K1950" s="1" t="s">
        <v>142</v>
      </c>
      <c r="L1950" s="1" t="s">
        <v>153</v>
      </c>
      <c r="M1950" s="1" t="s">
        <v>1256</v>
      </c>
      <c r="N1950" s="1" t="str">
        <f>HYPERLINK("https://klocwork.india.ti.com:443/review/insight-review.html#issuedetails_goto:problemid=120878,project=MCU_PLUS_SDK_AM263X,searchquery=taxonomy:'C and C++' build:Build_Apr_13_2023_11_11_AM grouping:off ","KW Issue Link")</f>
        <v>KW Issue Link</v>
      </c>
      <c r="O1950" s="1" t="s">
        <v>291</v>
      </c>
    </row>
    <row r="1951" spans="1:15" ht="75" x14ac:dyDescent="0.25">
      <c r="A1951" s="1" t="s">
        <v>1257</v>
      </c>
      <c r="B1951" s="1"/>
      <c r="C1951" s="1" t="s">
        <v>691</v>
      </c>
      <c r="D1951" s="1">
        <v>120879</v>
      </c>
      <c r="E1951" s="1">
        <v>203</v>
      </c>
      <c r="F1951" s="1" t="s">
        <v>2893</v>
      </c>
      <c r="G1951" s="1" t="s">
        <v>2894</v>
      </c>
      <c r="H1951" s="1" t="s">
        <v>141</v>
      </c>
      <c r="I1951" s="1" t="s">
        <v>65</v>
      </c>
      <c r="J1951" s="1">
        <v>3</v>
      </c>
      <c r="K1951" s="1" t="s">
        <v>142</v>
      </c>
      <c r="L1951" s="1" t="s">
        <v>153</v>
      </c>
      <c r="M1951" s="1" t="s">
        <v>1256</v>
      </c>
      <c r="N1951" s="1" t="str">
        <f>HYPERLINK("https://klocwork.india.ti.com:443/review/insight-review.html#issuedetails_goto:problemid=120879,project=MCU_PLUS_SDK_AM263X,searchquery=taxonomy:'C and C++' build:Build_Apr_13_2023_11_11_AM grouping:off ","KW Issue Link")</f>
        <v>KW Issue Link</v>
      </c>
      <c r="O1951" s="1" t="s">
        <v>291</v>
      </c>
    </row>
    <row r="1952" spans="1:15" ht="90" x14ac:dyDescent="0.25">
      <c r="A1952" s="1" t="s">
        <v>1257</v>
      </c>
      <c r="B1952" s="1"/>
      <c r="C1952" s="1" t="s">
        <v>691</v>
      </c>
      <c r="D1952" s="1">
        <v>120880</v>
      </c>
      <c r="E1952" s="1">
        <v>256</v>
      </c>
      <c r="F1952" s="1" t="s">
        <v>2895</v>
      </c>
      <c r="G1952" s="1" t="s">
        <v>2896</v>
      </c>
      <c r="H1952" s="1" t="s">
        <v>141</v>
      </c>
      <c r="I1952" s="1" t="s">
        <v>65</v>
      </c>
      <c r="J1952" s="1">
        <v>3</v>
      </c>
      <c r="K1952" s="1" t="s">
        <v>142</v>
      </c>
      <c r="L1952" s="1" t="s">
        <v>153</v>
      </c>
      <c r="M1952" s="1" t="s">
        <v>1256</v>
      </c>
      <c r="N1952" s="1" t="str">
        <f>HYPERLINK("https://klocwork.india.ti.com:443/review/insight-review.html#issuedetails_goto:problemid=120880,project=MCU_PLUS_SDK_AM263X,searchquery=taxonomy:'C and C++' build:Build_Apr_13_2023_11_11_AM grouping:off ","KW Issue Link")</f>
        <v>KW Issue Link</v>
      </c>
      <c r="O1952" s="1" t="s">
        <v>291</v>
      </c>
    </row>
    <row r="1953" spans="1:15" ht="75" x14ac:dyDescent="0.25">
      <c r="A1953" s="1" t="s">
        <v>1266</v>
      </c>
      <c r="B1953" s="1"/>
      <c r="C1953" s="1" t="s">
        <v>691</v>
      </c>
      <c r="D1953" s="1">
        <v>120881</v>
      </c>
      <c r="E1953" s="1">
        <v>62</v>
      </c>
      <c r="F1953" s="1" t="s">
        <v>2897</v>
      </c>
      <c r="G1953" s="1" t="s">
        <v>2890</v>
      </c>
      <c r="H1953" s="1" t="s">
        <v>141</v>
      </c>
      <c r="I1953" s="1" t="s">
        <v>65</v>
      </c>
      <c r="J1953" s="1">
        <v>3</v>
      </c>
      <c r="K1953" s="1" t="s">
        <v>142</v>
      </c>
      <c r="L1953" s="1" t="s">
        <v>153</v>
      </c>
      <c r="M1953" s="1" t="s">
        <v>1256</v>
      </c>
      <c r="N1953" s="1" t="str">
        <f>HYPERLINK("https://klocwork.india.ti.com:443/review/insight-review.html#issuedetails_goto:problemid=120881,project=MCU_PLUS_SDK_AM263X,searchquery=taxonomy:'C and C++' build:Build_Apr_13_2023_11_11_AM grouping:off ","KW Issue Link")</f>
        <v>KW Issue Link</v>
      </c>
      <c r="O1953" s="1" t="s">
        <v>291</v>
      </c>
    </row>
    <row r="1954" spans="1:15" ht="75" x14ac:dyDescent="0.25">
      <c r="A1954" s="1" t="s">
        <v>1266</v>
      </c>
      <c r="B1954" s="1"/>
      <c r="C1954" s="1" t="s">
        <v>691</v>
      </c>
      <c r="D1954" s="1">
        <v>120882</v>
      </c>
      <c r="E1954" s="1">
        <v>165</v>
      </c>
      <c r="F1954" s="1" t="s">
        <v>2898</v>
      </c>
      <c r="G1954" s="1" t="s">
        <v>2892</v>
      </c>
      <c r="H1954" s="1" t="s">
        <v>141</v>
      </c>
      <c r="I1954" s="1" t="s">
        <v>65</v>
      </c>
      <c r="J1954" s="1">
        <v>3</v>
      </c>
      <c r="K1954" s="1" t="s">
        <v>142</v>
      </c>
      <c r="L1954" s="1" t="s">
        <v>153</v>
      </c>
      <c r="M1954" s="1" t="s">
        <v>1256</v>
      </c>
      <c r="N1954" s="1" t="str">
        <f>HYPERLINK("https://klocwork.india.ti.com:443/review/insight-review.html#issuedetails_goto:problemid=120882,project=MCU_PLUS_SDK_AM263X,searchquery=taxonomy:'C and C++' build:Build_Apr_13_2023_11_11_AM grouping:off ","KW Issue Link")</f>
        <v>KW Issue Link</v>
      </c>
      <c r="O1954" s="1" t="s">
        <v>291</v>
      </c>
    </row>
    <row r="1955" spans="1:15" ht="75" x14ac:dyDescent="0.25">
      <c r="A1955" s="1" t="s">
        <v>1257</v>
      </c>
      <c r="B1955" s="1"/>
      <c r="C1955" s="1" t="s">
        <v>694</v>
      </c>
      <c r="D1955" s="1">
        <v>120883</v>
      </c>
      <c r="E1955" s="1">
        <v>61</v>
      </c>
      <c r="F1955" s="1" t="s">
        <v>2899</v>
      </c>
      <c r="G1955" s="1" t="s">
        <v>2900</v>
      </c>
      <c r="H1955" s="1" t="s">
        <v>141</v>
      </c>
      <c r="I1955" s="1" t="s">
        <v>65</v>
      </c>
      <c r="J1955" s="1">
        <v>3</v>
      </c>
      <c r="K1955" s="1" t="s">
        <v>142</v>
      </c>
      <c r="L1955" s="1" t="s">
        <v>153</v>
      </c>
      <c r="M1955" s="1" t="s">
        <v>1256</v>
      </c>
      <c r="N1955" s="1" t="str">
        <f>HYPERLINK("https://klocwork.india.ti.com:443/review/insight-review.html#issuedetails_goto:problemid=120883,project=MCU_PLUS_SDK_AM263X,searchquery=taxonomy:'C and C++' build:Build_Apr_13_2023_11_11_AM grouping:off ","KW Issue Link")</f>
        <v>KW Issue Link</v>
      </c>
      <c r="O1955" s="1" t="s">
        <v>291</v>
      </c>
    </row>
    <row r="1956" spans="1:15" ht="75" x14ac:dyDescent="0.25">
      <c r="A1956" s="1" t="s">
        <v>1266</v>
      </c>
      <c r="B1956" s="1"/>
      <c r="C1956" s="1" t="s">
        <v>694</v>
      </c>
      <c r="D1956" s="1">
        <v>120884</v>
      </c>
      <c r="E1956" s="1">
        <v>61</v>
      </c>
      <c r="F1956" s="1" t="s">
        <v>2901</v>
      </c>
      <c r="G1956" s="1" t="s">
        <v>2900</v>
      </c>
      <c r="H1956" s="1" t="s">
        <v>141</v>
      </c>
      <c r="I1956" s="1" t="s">
        <v>65</v>
      </c>
      <c r="J1956" s="1">
        <v>3</v>
      </c>
      <c r="K1956" s="1" t="s">
        <v>142</v>
      </c>
      <c r="L1956" s="1" t="s">
        <v>153</v>
      </c>
      <c r="M1956" s="1" t="s">
        <v>1256</v>
      </c>
      <c r="N1956" s="1" t="str">
        <f>HYPERLINK("https://klocwork.india.ti.com:443/review/insight-review.html#issuedetails_goto:problemid=120884,project=MCU_PLUS_SDK_AM263X,searchquery=taxonomy:'C and C++' build:Build_Apr_13_2023_11_11_AM grouping:off ","KW Issue Link")</f>
        <v>KW Issue Link</v>
      </c>
      <c r="O1956" s="1" t="s">
        <v>291</v>
      </c>
    </row>
    <row r="1957" spans="1:15" ht="75" x14ac:dyDescent="0.25">
      <c r="A1957" s="1" t="s">
        <v>1257</v>
      </c>
      <c r="B1957" s="1"/>
      <c r="C1957" s="1" t="s">
        <v>696</v>
      </c>
      <c r="D1957" s="1">
        <v>120888</v>
      </c>
      <c r="E1957" s="1">
        <v>272</v>
      </c>
      <c r="F1957" s="1" t="s">
        <v>2902</v>
      </c>
      <c r="G1957" s="1" t="s">
        <v>700</v>
      </c>
      <c r="H1957" s="1" t="s">
        <v>141</v>
      </c>
      <c r="I1957" s="1" t="s">
        <v>65</v>
      </c>
      <c r="J1957" s="1">
        <v>3</v>
      </c>
      <c r="K1957" s="1" t="s">
        <v>142</v>
      </c>
      <c r="L1957" s="1" t="s">
        <v>153</v>
      </c>
      <c r="M1957" s="1" t="s">
        <v>1256</v>
      </c>
      <c r="N1957" s="1" t="str">
        <f>HYPERLINK("https://klocwork.india.ti.com:443/review/insight-review.html#issuedetails_goto:problemid=120888,project=MCU_PLUS_SDK_AM263X,searchquery=taxonomy:'C and C++' build:Build_Apr_13_2023_11_11_AM grouping:off ","KW Issue Link")</f>
        <v>KW Issue Link</v>
      </c>
      <c r="O1957" s="1" t="s">
        <v>291</v>
      </c>
    </row>
    <row r="1958" spans="1:15" ht="75" x14ac:dyDescent="0.25">
      <c r="A1958" s="1" t="s">
        <v>1257</v>
      </c>
      <c r="B1958" s="1"/>
      <c r="C1958" s="1" t="s">
        <v>696</v>
      </c>
      <c r="D1958" s="1">
        <v>120889</v>
      </c>
      <c r="E1958" s="1">
        <v>403</v>
      </c>
      <c r="F1958" s="1" t="s">
        <v>2903</v>
      </c>
      <c r="G1958" s="1" t="s">
        <v>2904</v>
      </c>
      <c r="H1958" s="1" t="s">
        <v>141</v>
      </c>
      <c r="I1958" s="1" t="s">
        <v>65</v>
      </c>
      <c r="J1958" s="1">
        <v>3</v>
      </c>
      <c r="K1958" s="1" t="s">
        <v>142</v>
      </c>
      <c r="L1958" s="1" t="s">
        <v>153</v>
      </c>
      <c r="M1958" s="1" t="s">
        <v>1256</v>
      </c>
      <c r="N1958" s="1" t="str">
        <f>HYPERLINK("https://klocwork.india.ti.com:443/review/insight-review.html#issuedetails_goto:problemid=120889,project=MCU_PLUS_SDK_AM263X,searchquery=taxonomy:'C and C++' build:Build_Apr_13_2023_11_11_AM grouping:off ","KW Issue Link")</f>
        <v>KW Issue Link</v>
      </c>
      <c r="O1958" s="1" t="s">
        <v>291</v>
      </c>
    </row>
    <row r="1959" spans="1:15" ht="75" x14ac:dyDescent="0.25">
      <c r="A1959" s="1" t="s">
        <v>1257</v>
      </c>
      <c r="B1959" s="1"/>
      <c r="C1959" s="1" t="s">
        <v>696</v>
      </c>
      <c r="D1959" s="1">
        <v>120890</v>
      </c>
      <c r="E1959" s="1">
        <v>484</v>
      </c>
      <c r="F1959" s="1" t="s">
        <v>2905</v>
      </c>
      <c r="G1959" s="1" t="s">
        <v>2906</v>
      </c>
      <c r="H1959" s="1" t="s">
        <v>141</v>
      </c>
      <c r="I1959" s="1" t="s">
        <v>65</v>
      </c>
      <c r="J1959" s="1">
        <v>3</v>
      </c>
      <c r="K1959" s="1" t="s">
        <v>142</v>
      </c>
      <c r="L1959" s="1" t="s">
        <v>153</v>
      </c>
      <c r="M1959" s="1" t="s">
        <v>1256</v>
      </c>
      <c r="N1959" s="1" t="str">
        <f>HYPERLINK("https://klocwork.india.ti.com:443/review/insight-review.html#issuedetails_goto:problemid=120890,project=MCU_PLUS_SDK_AM263X,searchquery=taxonomy:'C and C++' build:Build_Apr_13_2023_11_11_AM grouping:off ","KW Issue Link")</f>
        <v>KW Issue Link</v>
      </c>
      <c r="O1959" s="1" t="s">
        <v>291</v>
      </c>
    </row>
    <row r="1960" spans="1:15" ht="75" x14ac:dyDescent="0.25">
      <c r="A1960" s="1" t="s">
        <v>1257</v>
      </c>
      <c r="B1960" s="1"/>
      <c r="C1960" s="1" t="s">
        <v>696</v>
      </c>
      <c r="D1960" s="1">
        <v>120891</v>
      </c>
      <c r="E1960" s="1">
        <v>520</v>
      </c>
      <c r="F1960" s="1" t="s">
        <v>2907</v>
      </c>
      <c r="G1960" s="1" t="s">
        <v>2908</v>
      </c>
      <c r="H1960" s="1" t="s">
        <v>141</v>
      </c>
      <c r="I1960" s="1" t="s">
        <v>65</v>
      </c>
      <c r="J1960" s="1">
        <v>3</v>
      </c>
      <c r="K1960" s="1" t="s">
        <v>142</v>
      </c>
      <c r="L1960" s="1" t="s">
        <v>153</v>
      </c>
      <c r="M1960" s="1" t="s">
        <v>1256</v>
      </c>
      <c r="N1960" s="1" t="str">
        <f>HYPERLINK("https://klocwork.india.ti.com:443/review/insight-review.html#issuedetails_goto:problemid=120891,project=MCU_PLUS_SDK_AM263X,searchquery=taxonomy:'C and C++' build:Build_Apr_13_2023_11_11_AM grouping:off ","KW Issue Link")</f>
        <v>KW Issue Link</v>
      </c>
      <c r="O1960" s="1" t="s">
        <v>291</v>
      </c>
    </row>
    <row r="1961" spans="1:15" ht="75" x14ac:dyDescent="0.25">
      <c r="A1961" s="1" t="s">
        <v>1257</v>
      </c>
      <c r="B1961" s="1"/>
      <c r="C1961" s="1" t="s">
        <v>696</v>
      </c>
      <c r="D1961" s="1">
        <v>120892</v>
      </c>
      <c r="E1961" s="1">
        <v>556</v>
      </c>
      <c r="F1961" s="1" t="s">
        <v>2909</v>
      </c>
      <c r="G1961" s="1" t="s">
        <v>702</v>
      </c>
      <c r="H1961" s="1" t="s">
        <v>141</v>
      </c>
      <c r="I1961" s="1" t="s">
        <v>65</v>
      </c>
      <c r="J1961" s="1">
        <v>3</v>
      </c>
      <c r="K1961" s="1" t="s">
        <v>142</v>
      </c>
      <c r="L1961" s="1" t="s">
        <v>153</v>
      </c>
      <c r="M1961" s="1" t="s">
        <v>1256</v>
      </c>
      <c r="N1961" s="1" t="str">
        <f>HYPERLINK("https://klocwork.india.ti.com:443/review/insight-review.html#issuedetails_goto:problemid=120892,project=MCU_PLUS_SDK_AM263X,searchquery=taxonomy:'C and C++' build:Build_Apr_13_2023_11_11_AM grouping:off ","KW Issue Link")</f>
        <v>KW Issue Link</v>
      </c>
      <c r="O1961" s="1" t="s">
        <v>291</v>
      </c>
    </row>
    <row r="1962" spans="1:15" ht="75" x14ac:dyDescent="0.25">
      <c r="A1962" s="1" t="s">
        <v>1257</v>
      </c>
      <c r="B1962" s="1"/>
      <c r="C1962" s="1" t="s">
        <v>696</v>
      </c>
      <c r="D1962" s="1">
        <v>120893</v>
      </c>
      <c r="E1962" s="1">
        <v>654</v>
      </c>
      <c r="F1962" s="1" t="s">
        <v>2910</v>
      </c>
      <c r="G1962" s="1" t="s">
        <v>704</v>
      </c>
      <c r="H1962" s="1" t="s">
        <v>141</v>
      </c>
      <c r="I1962" s="1" t="s">
        <v>65</v>
      </c>
      <c r="J1962" s="1">
        <v>3</v>
      </c>
      <c r="K1962" s="1" t="s">
        <v>142</v>
      </c>
      <c r="L1962" s="1" t="s">
        <v>153</v>
      </c>
      <c r="M1962" s="1" t="s">
        <v>1256</v>
      </c>
      <c r="N1962" s="1" t="str">
        <f>HYPERLINK("https://klocwork.india.ti.com:443/review/insight-review.html#issuedetails_goto:problemid=120893,project=MCU_PLUS_SDK_AM263X,searchquery=taxonomy:'C and C++' build:Build_Apr_13_2023_11_11_AM grouping:off ","KW Issue Link")</f>
        <v>KW Issue Link</v>
      </c>
      <c r="O1962" s="1" t="s">
        <v>291</v>
      </c>
    </row>
    <row r="1963" spans="1:15" ht="75" x14ac:dyDescent="0.25">
      <c r="A1963" s="1" t="s">
        <v>1257</v>
      </c>
      <c r="B1963" s="1"/>
      <c r="C1963" s="1" t="s">
        <v>696</v>
      </c>
      <c r="D1963" s="1">
        <v>120894</v>
      </c>
      <c r="E1963" s="1">
        <v>766</v>
      </c>
      <c r="F1963" s="1" t="s">
        <v>2911</v>
      </c>
      <c r="G1963" s="1" t="s">
        <v>2912</v>
      </c>
      <c r="H1963" s="1" t="s">
        <v>141</v>
      </c>
      <c r="I1963" s="1" t="s">
        <v>65</v>
      </c>
      <c r="J1963" s="1">
        <v>3</v>
      </c>
      <c r="K1963" s="1" t="s">
        <v>142</v>
      </c>
      <c r="L1963" s="1" t="s">
        <v>153</v>
      </c>
      <c r="M1963" s="1" t="s">
        <v>1256</v>
      </c>
      <c r="N1963" s="1" t="str">
        <f>HYPERLINK("https://klocwork.india.ti.com:443/review/insight-review.html#issuedetails_goto:problemid=120894,project=MCU_PLUS_SDK_AM263X,searchquery=taxonomy:'C and C++' build:Build_Apr_13_2023_11_11_AM grouping:off ","KW Issue Link")</f>
        <v>KW Issue Link</v>
      </c>
      <c r="O1963" s="1" t="s">
        <v>291</v>
      </c>
    </row>
    <row r="1964" spans="1:15" ht="75" x14ac:dyDescent="0.25">
      <c r="A1964" s="1" t="s">
        <v>1257</v>
      </c>
      <c r="B1964" s="1"/>
      <c r="C1964" s="1" t="s">
        <v>696</v>
      </c>
      <c r="D1964" s="1">
        <v>120895</v>
      </c>
      <c r="E1964" s="1">
        <v>1268</v>
      </c>
      <c r="F1964" s="1" t="s">
        <v>2913</v>
      </c>
      <c r="G1964" s="1" t="s">
        <v>2914</v>
      </c>
      <c r="H1964" s="1" t="s">
        <v>141</v>
      </c>
      <c r="I1964" s="1" t="s">
        <v>65</v>
      </c>
      <c r="J1964" s="1">
        <v>3</v>
      </c>
      <c r="K1964" s="1" t="s">
        <v>142</v>
      </c>
      <c r="L1964" s="1" t="s">
        <v>153</v>
      </c>
      <c r="M1964" s="1" t="s">
        <v>1256</v>
      </c>
      <c r="N1964" s="1" t="str">
        <f>HYPERLINK("https://klocwork.india.ti.com:443/review/insight-review.html#issuedetails_goto:problemid=120895,project=MCU_PLUS_SDK_AM263X,searchquery=taxonomy:'C and C++' build:Build_Apr_13_2023_11_11_AM grouping:off ","KW Issue Link")</f>
        <v>KW Issue Link</v>
      </c>
      <c r="O1964" s="1" t="s">
        <v>291</v>
      </c>
    </row>
    <row r="1965" spans="1:15" ht="75" x14ac:dyDescent="0.25">
      <c r="A1965" s="1" t="s">
        <v>1257</v>
      </c>
      <c r="B1965" s="1"/>
      <c r="C1965" s="1" t="s">
        <v>696</v>
      </c>
      <c r="D1965" s="1">
        <v>120896</v>
      </c>
      <c r="E1965" s="1">
        <v>1465</v>
      </c>
      <c r="F1965" s="1" t="s">
        <v>2915</v>
      </c>
      <c r="G1965" s="1" t="s">
        <v>706</v>
      </c>
      <c r="H1965" s="1" t="s">
        <v>141</v>
      </c>
      <c r="I1965" s="1" t="s">
        <v>65</v>
      </c>
      <c r="J1965" s="1">
        <v>3</v>
      </c>
      <c r="K1965" s="1" t="s">
        <v>142</v>
      </c>
      <c r="L1965" s="1" t="s">
        <v>153</v>
      </c>
      <c r="M1965" s="1" t="s">
        <v>1256</v>
      </c>
      <c r="N1965" s="1" t="str">
        <f>HYPERLINK("https://klocwork.india.ti.com:443/review/insight-review.html#issuedetails_goto:problemid=120896,project=MCU_PLUS_SDK_AM263X,searchquery=taxonomy:'C and C++' build:Build_Apr_13_2023_11_11_AM grouping:off ","KW Issue Link")</f>
        <v>KW Issue Link</v>
      </c>
      <c r="O1965" s="1" t="s">
        <v>291</v>
      </c>
    </row>
    <row r="1966" spans="1:15" ht="75" x14ac:dyDescent="0.25">
      <c r="A1966" s="1" t="s">
        <v>1257</v>
      </c>
      <c r="B1966" s="1"/>
      <c r="C1966" s="1" t="s">
        <v>696</v>
      </c>
      <c r="D1966" s="1">
        <v>120897</v>
      </c>
      <c r="E1966" s="1">
        <v>1532</v>
      </c>
      <c r="F1966" s="1" t="s">
        <v>2916</v>
      </c>
      <c r="G1966" s="1" t="s">
        <v>2917</v>
      </c>
      <c r="H1966" s="1" t="s">
        <v>141</v>
      </c>
      <c r="I1966" s="1" t="s">
        <v>65</v>
      </c>
      <c r="J1966" s="1">
        <v>3</v>
      </c>
      <c r="K1966" s="1" t="s">
        <v>142</v>
      </c>
      <c r="L1966" s="1" t="s">
        <v>153</v>
      </c>
      <c r="M1966" s="1" t="s">
        <v>1256</v>
      </c>
      <c r="N1966" s="1" t="str">
        <f>HYPERLINK("https://klocwork.india.ti.com:443/review/insight-review.html#issuedetails_goto:problemid=120897,project=MCU_PLUS_SDK_AM263X,searchquery=taxonomy:'C and C++' build:Build_Apr_13_2023_11_11_AM grouping:off ","KW Issue Link")</f>
        <v>KW Issue Link</v>
      </c>
      <c r="O1966" s="1" t="s">
        <v>291</v>
      </c>
    </row>
    <row r="1967" spans="1:15" ht="75" x14ac:dyDescent="0.25">
      <c r="A1967" s="1" t="s">
        <v>1257</v>
      </c>
      <c r="B1967" s="1"/>
      <c r="C1967" s="1" t="s">
        <v>696</v>
      </c>
      <c r="D1967" s="1">
        <v>120898</v>
      </c>
      <c r="E1967" s="1">
        <v>1602</v>
      </c>
      <c r="F1967" s="1" t="s">
        <v>2918</v>
      </c>
      <c r="G1967" s="1" t="s">
        <v>2919</v>
      </c>
      <c r="H1967" s="1" t="s">
        <v>141</v>
      </c>
      <c r="I1967" s="1" t="s">
        <v>65</v>
      </c>
      <c r="J1967" s="1">
        <v>3</v>
      </c>
      <c r="K1967" s="1" t="s">
        <v>142</v>
      </c>
      <c r="L1967" s="1" t="s">
        <v>153</v>
      </c>
      <c r="M1967" s="1" t="s">
        <v>1256</v>
      </c>
      <c r="N1967" s="1" t="str">
        <f>HYPERLINK("https://klocwork.india.ti.com:443/review/insight-review.html#issuedetails_goto:problemid=120898,project=MCU_PLUS_SDK_AM263X,searchquery=taxonomy:'C and C++' build:Build_Apr_13_2023_11_11_AM grouping:off ","KW Issue Link")</f>
        <v>KW Issue Link</v>
      </c>
      <c r="O1967" s="1" t="s">
        <v>291</v>
      </c>
    </row>
    <row r="1968" spans="1:15" ht="75" x14ac:dyDescent="0.25">
      <c r="A1968" s="1" t="s">
        <v>1257</v>
      </c>
      <c r="B1968" s="1"/>
      <c r="C1968" s="1" t="s">
        <v>696</v>
      </c>
      <c r="D1968" s="1">
        <v>120899</v>
      </c>
      <c r="E1968" s="1">
        <v>1864</v>
      </c>
      <c r="F1968" s="1" t="s">
        <v>2920</v>
      </c>
      <c r="G1968" s="1" t="s">
        <v>2921</v>
      </c>
      <c r="H1968" s="1" t="s">
        <v>141</v>
      </c>
      <c r="I1968" s="1" t="s">
        <v>65</v>
      </c>
      <c r="J1968" s="1">
        <v>3</v>
      </c>
      <c r="K1968" s="1" t="s">
        <v>142</v>
      </c>
      <c r="L1968" s="1" t="s">
        <v>153</v>
      </c>
      <c r="M1968" s="1" t="s">
        <v>1256</v>
      </c>
      <c r="N1968" s="1" t="str">
        <f>HYPERLINK("https://klocwork.india.ti.com:443/review/insight-review.html#issuedetails_goto:problemid=120899,project=MCU_PLUS_SDK_AM263X,searchquery=taxonomy:'C and C++' build:Build_Apr_13_2023_11_11_AM grouping:off ","KW Issue Link")</f>
        <v>KW Issue Link</v>
      </c>
      <c r="O1968" s="1" t="s">
        <v>291</v>
      </c>
    </row>
    <row r="1969" spans="1:15" ht="75" x14ac:dyDescent="0.25">
      <c r="A1969" s="1" t="s">
        <v>1266</v>
      </c>
      <c r="B1969" s="1"/>
      <c r="C1969" s="1" t="s">
        <v>696</v>
      </c>
      <c r="D1969" s="1">
        <v>120901</v>
      </c>
      <c r="E1969" s="1">
        <v>272</v>
      </c>
      <c r="F1969" s="1" t="s">
        <v>2922</v>
      </c>
      <c r="G1969" s="1" t="s">
        <v>700</v>
      </c>
      <c r="H1969" s="1" t="s">
        <v>141</v>
      </c>
      <c r="I1969" s="1" t="s">
        <v>65</v>
      </c>
      <c r="J1969" s="1">
        <v>3</v>
      </c>
      <c r="K1969" s="1" t="s">
        <v>142</v>
      </c>
      <c r="L1969" s="1" t="s">
        <v>153</v>
      </c>
      <c r="M1969" s="1" t="s">
        <v>1256</v>
      </c>
      <c r="N1969" s="1" t="str">
        <f>HYPERLINK("https://klocwork.india.ti.com:443/review/insight-review.html#issuedetails_goto:problemid=120901,project=MCU_PLUS_SDK_AM263X,searchquery=taxonomy:'C and C++' build:Build_Apr_13_2023_11_11_AM grouping:off ","KW Issue Link")</f>
        <v>KW Issue Link</v>
      </c>
      <c r="O1969" s="1" t="s">
        <v>291</v>
      </c>
    </row>
    <row r="1970" spans="1:15" ht="75" x14ac:dyDescent="0.25">
      <c r="A1970" s="1" t="s">
        <v>1266</v>
      </c>
      <c r="B1970" s="1"/>
      <c r="C1970" s="1" t="s">
        <v>696</v>
      </c>
      <c r="D1970" s="1">
        <v>120902</v>
      </c>
      <c r="E1970" s="1">
        <v>403</v>
      </c>
      <c r="F1970" s="1" t="s">
        <v>2923</v>
      </c>
      <c r="G1970" s="1" t="s">
        <v>2904</v>
      </c>
      <c r="H1970" s="1" t="s">
        <v>141</v>
      </c>
      <c r="I1970" s="1" t="s">
        <v>65</v>
      </c>
      <c r="J1970" s="1">
        <v>3</v>
      </c>
      <c r="K1970" s="1" t="s">
        <v>142</v>
      </c>
      <c r="L1970" s="1" t="s">
        <v>153</v>
      </c>
      <c r="M1970" s="1" t="s">
        <v>1256</v>
      </c>
      <c r="N1970" s="1" t="str">
        <f>HYPERLINK("https://klocwork.india.ti.com:443/review/insight-review.html#issuedetails_goto:problemid=120902,project=MCU_PLUS_SDK_AM263X,searchquery=taxonomy:'C and C++' build:Build_Apr_13_2023_11_11_AM grouping:off ","KW Issue Link")</f>
        <v>KW Issue Link</v>
      </c>
      <c r="O1970" s="1" t="s">
        <v>291</v>
      </c>
    </row>
    <row r="1971" spans="1:15" ht="75" x14ac:dyDescent="0.25">
      <c r="A1971" s="1" t="s">
        <v>1266</v>
      </c>
      <c r="B1971" s="1"/>
      <c r="C1971" s="1" t="s">
        <v>696</v>
      </c>
      <c r="D1971" s="1">
        <v>120903</v>
      </c>
      <c r="E1971" s="1">
        <v>484</v>
      </c>
      <c r="F1971" s="1" t="s">
        <v>2924</v>
      </c>
      <c r="G1971" s="1" t="s">
        <v>2906</v>
      </c>
      <c r="H1971" s="1" t="s">
        <v>141</v>
      </c>
      <c r="I1971" s="1" t="s">
        <v>65</v>
      </c>
      <c r="J1971" s="1">
        <v>3</v>
      </c>
      <c r="K1971" s="1" t="s">
        <v>142</v>
      </c>
      <c r="L1971" s="1" t="s">
        <v>153</v>
      </c>
      <c r="M1971" s="1" t="s">
        <v>1256</v>
      </c>
      <c r="N1971" s="1" t="str">
        <f>HYPERLINK("https://klocwork.india.ti.com:443/review/insight-review.html#issuedetails_goto:problemid=120903,project=MCU_PLUS_SDK_AM263X,searchquery=taxonomy:'C and C++' build:Build_Apr_13_2023_11_11_AM grouping:off ","KW Issue Link")</f>
        <v>KW Issue Link</v>
      </c>
      <c r="O1971" s="1" t="s">
        <v>291</v>
      </c>
    </row>
    <row r="1972" spans="1:15" ht="75" x14ac:dyDescent="0.25">
      <c r="A1972" s="1" t="s">
        <v>1266</v>
      </c>
      <c r="B1972" s="1"/>
      <c r="C1972" s="1" t="s">
        <v>696</v>
      </c>
      <c r="D1972" s="1">
        <v>120904</v>
      </c>
      <c r="E1972" s="1">
        <v>520</v>
      </c>
      <c r="F1972" s="1" t="s">
        <v>2925</v>
      </c>
      <c r="G1972" s="1" t="s">
        <v>2908</v>
      </c>
      <c r="H1972" s="1" t="s">
        <v>141</v>
      </c>
      <c r="I1972" s="1" t="s">
        <v>65</v>
      </c>
      <c r="J1972" s="1">
        <v>3</v>
      </c>
      <c r="K1972" s="1" t="s">
        <v>142</v>
      </c>
      <c r="L1972" s="1" t="s">
        <v>153</v>
      </c>
      <c r="M1972" s="1" t="s">
        <v>1256</v>
      </c>
      <c r="N1972" s="1" t="str">
        <f>HYPERLINK("https://klocwork.india.ti.com:443/review/insight-review.html#issuedetails_goto:problemid=120904,project=MCU_PLUS_SDK_AM263X,searchquery=taxonomy:'C and C++' build:Build_Apr_13_2023_11_11_AM grouping:off ","KW Issue Link")</f>
        <v>KW Issue Link</v>
      </c>
      <c r="O1972" s="1" t="s">
        <v>291</v>
      </c>
    </row>
    <row r="1973" spans="1:15" ht="75" x14ac:dyDescent="0.25">
      <c r="A1973" s="1" t="s">
        <v>1266</v>
      </c>
      <c r="B1973" s="1"/>
      <c r="C1973" s="1" t="s">
        <v>696</v>
      </c>
      <c r="D1973" s="1">
        <v>120905</v>
      </c>
      <c r="E1973" s="1">
        <v>556</v>
      </c>
      <c r="F1973" s="1" t="s">
        <v>2926</v>
      </c>
      <c r="G1973" s="1" t="s">
        <v>702</v>
      </c>
      <c r="H1973" s="1" t="s">
        <v>141</v>
      </c>
      <c r="I1973" s="1" t="s">
        <v>65</v>
      </c>
      <c r="J1973" s="1">
        <v>3</v>
      </c>
      <c r="K1973" s="1" t="s">
        <v>142</v>
      </c>
      <c r="L1973" s="1" t="s">
        <v>153</v>
      </c>
      <c r="M1973" s="1" t="s">
        <v>1256</v>
      </c>
      <c r="N1973" s="1" t="str">
        <f>HYPERLINK("https://klocwork.india.ti.com:443/review/insight-review.html#issuedetails_goto:problemid=120905,project=MCU_PLUS_SDK_AM263X,searchquery=taxonomy:'C and C++' build:Build_Apr_13_2023_11_11_AM grouping:off ","KW Issue Link")</f>
        <v>KW Issue Link</v>
      </c>
      <c r="O1973" s="1" t="s">
        <v>291</v>
      </c>
    </row>
    <row r="1974" spans="1:15" ht="75" x14ac:dyDescent="0.25">
      <c r="A1974" s="1" t="s">
        <v>1266</v>
      </c>
      <c r="B1974" s="1"/>
      <c r="C1974" s="1" t="s">
        <v>696</v>
      </c>
      <c r="D1974" s="1">
        <v>120906</v>
      </c>
      <c r="E1974" s="1">
        <v>654</v>
      </c>
      <c r="F1974" s="1" t="s">
        <v>2927</v>
      </c>
      <c r="G1974" s="1" t="s">
        <v>704</v>
      </c>
      <c r="H1974" s="1" t="s">
        <v>141</v>
      </c>
      <c r="I1974" s="1" t="s">
        <v>65</v>
      </c>
      <c r="J1974" s="1">
        <v>3</v>
      </c>
      <c r="K1974" s="1" t="s">
        <v>142</v>
      </c>
      <c r="L1974" s="1" t="s">
        <v>153</v>
      </c>
      <c r="M1974" s="1" t="s">
        <v>1256</v>
      </c>
      <c r="N1974" s="1" t="str">
        <f>HYPERLINK("https://klocwork.india.ti.com:443/review/insight-review.html#issuedetails_goto:problemid=120906,project=MCU_PLUS_SDK_AM263X,searchquery=taxonomy:'C and C++' build:Build_Apr_13_2023_11_11_AM grouping:off ","KW Issue Link")</f>
        <v>KW Issue Link</v>
      </c>
      <c r="O1974" s="1" t="s">
        <v>291</v>
      </c>
    </row>
    <row r="1975" spans="1:15" ht="75" x14ac:dyDescent="0.25">
      <c r="A1975" s="1" t="s">
        <v>1266</v>
      </c>
      <c r="B1975" s="1"/>
      <c r="C1975" s="1" t="s">
        <v>696</v>
      </c>
      <c r="D1975" s="1">
        <v>120907</v>
      </c>
      <c r="E1975" s="1">
        <v>766</v>
      </c>
      <c r="F1975" s="1" t="s">
        <v>2928</v>
      </c>
      <c r="G1975" s="1" t="s">
        <v>2912</v>
      </c>
      <c r="H1975" s="1" t="s">
        <v>141</v>
      </c>
      <c r="I1975" s="1" t="s">
        <v>65</v>
      </c>
      <c r="J1975" s="1">
        <v>3</v>
      </c>
      <c r="K1975" s="1" t="s">
        <v>142</v>
      </c>
      <c r="L1975" s="1" t="s">
        <v>153</v>
      </c>
      <c r="M1975" s="1" t="s">
        <v>1256</v>
      </c>
      <c r="N1975" s="1" t="str">
        <f>HYPERLINK("https://klocwork.india.ti.com:443/review/insight-review.html#issuedetails_goto:problemid=120907,project=MCU_PLUS_SDK_AM263X,searchquery=taxonomy:'C and C++' build:Build_Apr_13_2023_11_11_AM grouping:off ","KW Issue Link")</f>
        <v>KW Issue Link</v>
      </c>
      <c r="O1975" s="1" t="s">
        <v>291</v>
      </c>
    </row>
    <row r="1976" spans="1:15" ht="75" x14ac:dyDescent="0.25">
      <c r="A1976" s="1" t="s">
        <v>1266</v>
      </c>
      <c r="B1976" s="1"/>
      <c r="C1976" s="1" t="s">
        <v>696</v>
      </c>
      <c r="D1976" s="1">
        <v>120908</v>
      </c>
      <c r="E1976" s="1">
        <v>1268</v>
      </c>
      <c r="F1976" s="1" t="s">
        <v>2929</v>
      </c>
      <c r="G1976" s="1" t="s">
        <v>2914</v>
      </c>
      <c r="H1976" s="1" t="s">
        <v>141</v>
      </c>
      <c r="I1976" s="1" t="s">
        <v>65</v>
      </c>
      <c r="J1976" s="1">
        <v>3</v>
      </c>
      <c r="K1976" s="1" t="s">
        <v>142</v>
      </c>
      <c r="L1976" s="1" t="s">
        <v>153</v>
      </c>
      <c r="M1976" s="1" t="s">
        <v>1256</v>
      </c>
      <c r="N1976" s="1" t="str">
        <f>HYPERLINK("https://klocwork.india.ti.com:443/review/insight-review.html#issuedetails_goto:problemid=120908,project=MCU_PLUS_SDK_AM263X,searchquery=taxonomy:'C and C++' build:Build_Apr_13_2023_11_11_AM grouping:off ","KW Issue Link")</f>
        <v>KW Issue Link</v>
      </c>
      <c r="O1976" s="1" t="s">
        <v>291</v>
      </c>
    </row>
    <row r="1977" spans="1:15" ht="75" x14ac:dyDescent="0.25">
      <c r="A1977" s="1" t="s">
        <v>1266</v>
      </c>
      <c r="B1977" s="1"/>
      <c r="C1977" s="1" t="s">
        <v>696</v>
      </c>
      <c r="D1977" s="1">
        <v>120909</v>
      </c>
      <c r="E1977" s="1">
        <v>1465</v>
      </c>
      <c r="F1977" s="1" t="s">
        <v>2930</v>
      </c>
      <c r="G1977" s="1" t="s">
        <v>706</v>
      </c>
      <c r="H1977" s="1" t="s">
        <v>141</v>
      </c>
      <c r="I1977" s="1" t="s">
        <v>65</v>
      </c>
      <c r="J1977" s="1">
        <v>3</v>
      </c>
      <c r="K1977" s="1" t="s">
        <v>142</v>
      </c>
      <c r="L1977" s="1" t="s">
        <v>153</v>
      </c>
      <c r="M1977" s="1" t="s">
        <v>1256</v>
      </c>
      <c r="N1977" s="1" t="str">
        <f>HYPERLINK("https://klocwork.india.ti.com:443/review/insight-review.html#issuedetails_goto:problemid=120909,project=MCU_PLUS_SDK_AM263X,searchquery=taxonomy:'C and C++' build:Build_Apr_13_2023_11_11_AM grouping:off ","KW Issue Link")</f>
        <v>KW Issue Link</v>
      </c>
      <c r="O1977" s="1" t="s">
        <v>291</v>
      </c>
    </row>
    <row r="1978" spans="1:15" ht="75" x14ac:dyDescent="0.25">
      <c r="A1978" s="1" t="s">
        <v>1266</v>
      </c>
      <c r="B1978" s="1"/>
      <c r="C1978" s="1" t="s">
        <v>696</v>
      </c>
      <c r="D1978" s="1">
        <v>120910</v>
      </c>
      <c r="E1978" s="1">
        <v>1532</v>
      </c>
      <c r="F1978" s="1" t="s">
        <v>2931</v>
      </c>
      <c r="G1978" s="1" t="s">
        <v>2917</v>
      </c>
      <c r="H1978" s="1" t="s">
        <v>141</v>
      </c>
      <c r="I1978" s="1" t="s">
        <v>65</v>
      </c>
      <c r="J1978" s="1">
        <v>3</v>
      </c>
      <c r="K1978" s="1" t="s">
        <v>142</v>
      </c>
      <c r="L1978" s="1" t="s">
        <v>153</v>
      </c>
      <c r="M1978" s="1" t="s">
        <v>1256</v>
      </c>
      <c r="N1978" s="1" t="str">
        <f>HYPERLINK("https://klocwork.india.ti.com:443/review/insight-review.html#issuedetails_goto:problemid=120910,project=MCU_PLUS_SDK_AM263X,searchquery=taxonomy:'C and C++' build:Build_Apr_13_2023_11_11_AM grouping:off ","KW Issue Link")</f>
        <v>KW Issue Link</v>
      </c>
      <c r="O1978" s="1" t="s">
        <v>291</v>
      </c>
    </row>
    <row r="1979" spans="1:15" ht="75" x14ac:dyDescent="0.25">
      <c r="A1979" s="1" t="s">
        <v>1266</v>
      </c>
      <c r="B1979" s="1"/>
      <c r="C1979" s="1" t="s">
        <v>696</v>
      </c>
      <c r="D1979" s="1">
        <v>120911</v>
      </c>
      <c r="E1979" s="1">
        <v>1602</v>
      </c>
      <c r="F1979" s="1" t="s">
        <v>2932</v>
      </c>
      <c r="G1979" s="1" t="s">
        <v>2919</v>
      </c>
      <c r="H1979" s="1" t="s">
        <v>141</v>
      </c>
      <c r="I1979" s="1" t="s">
        <v>65</v>
      </c>
      <c r="J1979" s="1">
        <v>3</v>
      </c>
      <c r="K1979" s="1" t="s">
        <v>142</v>
      </c>
      <c r="L1979" s="1" t="s">
        <v>153</v>
      </c>
      <c r="M1979" s="1" t="s">
        <v>1256</v>
      </c>
      <c r="N1979" s="1" t="str">
        <f>HYPERLINK("https://klocwork.india.ti.com:443/review/insight-review.html#issuedetails_goto:problemid=120911,project=MCU_PLUS_SDK_AM263X,searchquery=taxonomy:'C and C++' build:Build_Apr_13_2023_11_11_AM grouping:off ","KW Issue Link")</f>
        <v>KW Issue Link</v>
      </c>
      <c r="O1979" s="1" t="s">
        <v>291</v>
      </c>
    </row>
    <row r="1980" spans="1:15" ht="75" x14ac:dyDescent="0.25">
      <c r="A1980" s="1" t="s">
        <v>1266</v>
      </c>
      <c r="B1980" s="1"/>
      <c r="C1980" s="1" t="s">
        <v>696</v>
      </c>
      <c r="D1980" s="1">
        <v>120912</v>
      </c>
      <c r="E1980" s="1">
        <v>1864</v>
      </c>
      <c r="F1980" s="1" t="s">
        <v>2933</v>
      </c>
      <c r="G1980" s="1" t="s">
        <v>2921</v>
      </c>
      <c r="H1980" s="1" t="s">
        <v>141</v>
      </c>
      <c r="I1980" s="1" t="s">
        <v>65</v>
      </c>
      <c r="J1980" s="1">
        <v>3</v>
      </c>
      <c r="K1980" s="1" t="s">
        <v>142</v>
      </c>
      <c r="L1980" s="1" t="s">
        <v>153</v>
      </c>
      <c r="M1980" s="1" t="s">
        <v>1256</v>
      </c>
      <c r="N1980" s="1" t="str">
        <f>HYPERLINK("https://klocwork.india.ti.com:443/review/insight-review.html#issuedetails_goto:problemid=120912,project=MCU_PLUS_SDK_AM263X,searchquery=taxonomy:'C and C++' build:Build_Apr_13_2023_11_11_AM grouping:off ","KW Issue Link")</f>
        <v>KW Issue Link</v>
      </c>
      <c r="O1980" s="1" t="s">
        <v>291</v>
      </c>
    </row>
    <row r="1981" spans="1:15" ht="75" x14ac:dyDescent="0.25">
      <c r="A1981" s="1" t="s">
        <v>1268</v>
      </c>
      <c r="B1981" s="1"/>
      <c r="C1981" s="1" t="s">
        <v>696</v>
      </c>
      <c r="D1981" s="1">
        <v>120913</v>
      </c>
      <c r="E1981" s="1">
        <v>403</v>
      </c>
      <c r="F1981" s="1" t="s">
        <v>2934</v>
      </c>
      <c r="G1981" s="1" t="s">
        <v>2904</v>
      </c>
      <c r="H1981" s="1" t="s">
        <v>141</v>
      </c>
      <c r="I1981" s="1" t="s">
        <v>65</v>
      </c>
      <c r="J1981" s="1">
        <v>3</v>
      </c>
      <c r="K1981" s="1" t="s">
        <v>142</v>
      </c>
      <c r="L1981" s="1" t="s">
        <v>153</v>
      </c>
      <c r="M1981" s="1" t="s">
        <v>1256</v>
      </c>
      <c r="N1981" s="1" t="str">
        <f>HYPERLINK("https://klocwork.india.ti.com:443/review/insight-review.html#issuedetails_goto:problemid=120913,project=MCU_PLUS_SDK_AM263X,searchquery=taxonomy:'C and C++' build:Build_Apr_13_2023_11_11_AM grouping:off ","KW Issue Link")</f>
        <v>KW Issue Link</v>
      </c>
      <c r="O1981" s="1" t="s">
        <v>291</v>
      </c>
    </row>
    <row r="1982" spans="1:15" ht="75" x14ac:dyDescent="0.25">
      <c r="A1982" s="1" t="s">
        <v>1268</v>
      </c>
      <c r="B1982" s="1"/>
      <c r="C1982" s="1" t="s">
        <v>696</v>
      </c>
      <c r="D1982" s="1">
        <v>120914</v>
      </c>
      <c r="E1982" s="1">
        <v>556</v>
      </c>
      <c r="F1982" s="1" t="s">
        <v>2935</v>
      </c>
      <c r="G1982" s="1" t="s">
        <v>702</v>
      </c>
      <c r="H1982" s="1" t="s">
        <v>141</v>
      </c>
      <c r="I1982" s="1" t="s">
        <v>65</v>
      </c>
      <c r="J1982" s="1">
        <v>3</v>
      </c>
      <c r="K1982" s="1" t="s">
        <v>142</v>
      </c>
      <c r="L1982" s="1" t="s">
        <v>153</v>
      </c>
      <c r="M1982" s="1" t="s">
        <v>1256</v>
      </c>
      <c r="N1982" s="1" t="str">
        <f>HYPERLINK("https://klocwork.india.ti.com:443/review/insight-review.html#issuedetails_goto:problemid=120914,project=MCU_PLUS_SDK_AM263X,searchquery=taxonomy:'C and C++' build:Build_Apr_13_2023_11_11_AM grouping:off ","KW Issue Link")</f>
        <v>KW Issue Link</v>
      </c>
      <c r="O1982" s="1" t="s">
        <v>291</v>
      </c>
    </row>
    <row r="1983" spans="1:15" ht="75" x14ac:dyDescent="0.25">
      <c r="A1983" s="1" t="s">
        <v>1268</v>
      </c>
      <c r="B1983" s="1"/>
      <c r="C1983" s="1" t="s">
        <v>696</v>
      </c>
      <c r="D1983" s="1">
        <v>120915</v>
      </c>
      <c r="E1983" s="1">
        <v>654</v>
      </c>
      <c r="F1983" s="1" t="s">
        <v>2936</v>
      </c>
      <c r="G1983" s="1" t="s">
        <v>704</v>
      </c>
      <c r="H1983" s="1" t="s">
        <v>141</v>
      </c>
      <c r="I1983" s="1" t="s">
        <v>65</v>
      </c>
      <c r="J1983" s="1">
        <v>3</v>
      </c>
      <c r="K1983" s="1" t="s">
        <v>142</v>
      </c>
      <c r="L1983" s="1" t="s">
        <v>153</v>
      </c>
      <c r="M1983" s="1" t="s">
        <v>1256</v>
      </c>
      <c r="N1983" s="1" t="str">
        <f>HYPERLINK("https://klocwork.india.ti.com:443/review/insight-review.html#issuedetails_goto:problemid=120915,project=MCU_PLUS_SDK_AM263X,searchquery=taxonomy:'C and C++' build:Build_Apr_13_2023_11_11_AM grouping:off ","KW Issue Link")</f>
        <v>KW Issue Link</v>
      </c>
      <c r="O1983" s="1" t="s">
        <v>291</v>
      </c>
    </row>
    <row r="1984" spans="1:15" ht="75" x14ac:dyDescent="0.25">
      <c r="A1984" s="1" t="s">
        <v>1268</v>
      </c>
      <c r="B1984" s="1"/>
      <c r="C1984" s="1" t="s">
        <v>696</v>
      </c>
      <c r="D1984" s="1">
        <v>120916</v>
      </c>
      <c r="E1984" s="1">
        <v>766</v>
      </c>
      <c r="F1984" s="1" t="s">
        <v>2937</v>
      </c>
      <c r="G1984" s="1" t="s">
        <v>2912</v>
      </c>
      <c r="H1984" s="1" t="s">
        <v>141</v>
      </c>
      <c r="I1984" s="1" t="s">
        <v>65</v>
      </c>
      <c r="J1984" s="1">
        <v>3</v>
      </c>
      <c r="K1984" s="1" t="s">
        <v>142</v>
      </c>
      <c r="L1984" s="1" t="s">
        <v>153</v>
      </c>
      <c r="M1984" s="1" t="s">
        <v>1256</v>
      </c>
      <c r="N1984" s="1" t="str">
        <f>HYPERLINK("https://klocwork.india.ti.com:443/review/insight-review.html#issuedetails_goto:problemid=120916,project=MCU_PLUS_SDK_AM263X,searchquery=taxonomy:'C and C++' build:Build_Apr_13_2023_11_11_AM grouping:off ","KW Issue Link")</f>
        <v>KW Issue Link</v>
      </c>
      <c r="O1984" s="1" t="s">
        <v>291</v>
      </c>
    </row>
    <row r="1985" spans="1:15" ht="75" x14ac:dyDescent="0.25">
      <c r="A1985" s="1" t="s">
        <v>1268</v>
      </c>
      <c r="B1985" s="1"/>
      <c r="C1985" s="1" t="s">
        <v>696</v>
      </c>
      <c r="D1985" s="1">
        <v>120917</v>
      </c>
      <c r="E1985" s="1">
        <v>1268</v>
      </c>
      <c r="F1985" s="1" t="s">
        <v>2938</v>
      </c>
      <c r="G1985" s="1" t="s">
        <v>2914</v>
      </c>
      <c r="H1985" s="1" t="s">
        <v>141</v>
      </c>
      <c r="I1985" s="1" t="s">
        <v>65</v>
      </c>
      <c r="J1985" s="1">
        <v>3</v>
      </c>
      <c r="K1985" s="1" t="s">
        <v>142</v>
      </c>
      <c r="L1985" s="1" t="s">
        <v>153</v>
      </c>
      <c r="M1985" s="1" t="s">
        <v>1256</v>
      </c>
      <c r="N1985" s="1" t="str">
        <f>HYPERLINK("https://klocwork.india.ti.com:443/review/insight-review.html#issuedetails_goto:problemid=120917,project=MCU_PLUS_SDK_AM263X,searchquery=taxonomy:'C and C++' build:Build_Apr_13_2023_11_11_AM grouping:off ","KW Issue Link")</f>
        <v>KW Issue Link</v>
      </c>
      <c r="O1985" s="1" t="s">
        <v>291</v>
      </c>
    </row>
    <row r="1986" spans="1:15" ht="75" x14ac:dyDescent="0.25">
      <c r="A1986" s="1" t="s">
        <v>1268</v>
      </c>
      <c r="B1986" s="1"/>
      <c r="C1986" s="1" t="s">
        <v>696</v>
      </c>
      <c r="D1986" s="1">
        <v>120918</v>
      </c>
      <c r="E1986" s="1">
        <v>1532</v>
      </c>
      <c r="F1986" s="1" t="s">
        <v>2939</v>
      </c>
      <c r="G1986" s="1" t="s">
        <v>2917</v>
      </c>
      <c r="H1986" s="1" t="s">
        <v>141</v>
      </c>
      <c r="I1986" s="1" t="s">
        <v>65</v>
      </c>
      <c r="J1986" s="1">
        <v>3</v>
      </c>
      <c r="K1986" s="1" t="s">
        <v>142</v>
      </c>
      <c r="L1986" s="1" t="s">
        <v>153</v>
      </c>
      <c r="M1986" s="1" t="s">
        <v>1256</v>
      </c>
      <c r="N1986" s="1" t="str">
        <f>HYPERLINK("https://klocwork.india.ti.com:443/review/insight-review.html#issuedetails_goto:problemid=120918,project=MCU_PLUS_SDK_AM263X,searchquery=taxonomy:'C and C++' build:Build_Apr_13_2023_11_11_AM grouping:off ","KW Issue Link")</f>
        <v>KW Issue Link</v>
      </c>
      <c r="O1986" s="1" t="s">
        <v>291</v>
      </c>
    </row>
    <row r="1987" spans="1:15" ht="75" x14ac:dyDescent="0.25">
      <c r="A1987" s="1" t="s">
        <v>1268</v>
      </c>
      <c r="B1987" s="1"/>
      <c r="C1987" s="1" t="s">
        <v>696</v>
      </c>
      <c r="D1987" s="1">
        <v>120919</v>
      </c>
      <c r="E1987" s="1">
        <v>1602</v>
      </c>
      <c r="F1987" s="1" t="s">
        <v>2940</v>
      </c>
      <c r="G1987" s="1" t="s">
        <v>2919</v>
      </c>
      <c r="H1987" s="1" t="s">
        <v>141</v>
      </c>
      <c r="I1987" s="1" t="s">
        <v>65</v>
      </c>
      <c r="J1987" s="1">
        <v>3</v>
      </c>
      <c r="K1987" s="1" t="s">
        <v>142</v>
      </c>
      <c r="L1987" s="1" t="s">
        <v>153</v>
      </c>
      <c r="M1987" s="1" t="s">
        <v>1256</v>
      </c>
      <c r="N1987" s="1" t="str">
        <f>HYPERLINK("https://klocwork.india.ti.com:443/review/insight-review.html#issuedetails_goto:problemid=120919,project=MCU_PLUS_SDK_AM263X,searchquery=taxonomy:'C and C++' build:Build_Apr_13_2023_11_11_AM grouping:off ","KW Issue Link")</f>
        <v>KW Issue Link</v>
      </c>
      <c r="O1987" s="1" t="s">
        <v>291</v>
      </c>
    </row>
    <row r="1988" spans="1:15" ht="75" x14ac:dyDescent="0.25">
      <c r="A1988" s="1" t="s">
        <v>1268</v>
      </c>
      <c r="B1988" s="1"/>
      <c r="C1988" s="1" t="s">
        <v>696</v>
      </c>
      <c r="D1988" s="1">
        <v>120920</v>
      </c>
      <c r="E1988" s="1">
        <v>1864</v>
      </c>
      <c r="F1988" s="1" t="s">
        <v>2941</v>
      </c>
      <c r="G1988" s="1" t="s">
        <v>2921</v>
      </c>
      <c r="H1988" s="1" t="s">
        <v>141</v>
      </c>
      <c r="I1988" s="1" t="s">
        <v>65</v>
      </c>
      <c r="J1988" s="1">
        <v>3</v>
      </c>
      <c r="K1988" s="1" t="s">
        <v>142</v>
      </c>
      <c r="L1988" s="1" t="s">
        <v>153</v>
      </c>
      <c r="M1988" s="1" t="s">
        <v>1256</v>
      </c>
      <c r="N1988" s="1" t="str">
        <f>HYPERLINK("https://klocwork.india.ti.com:443/review/insight-review.html#issuedetails_goto:problemid=120920,project=MCU_PLUS_SDK_AM263X,searchquery=taxonomy:'C and C++' build:Build_Apr_13_2023_11_11_AM grouping:off ","KW Issue Link")</f>
        <v>KW Issue Link</v>
      </c>
      <c r="O1988" s="1" t="s">
        <v>291</v>
      </c>
    </row>
    <row r="1989" spans="1:15" ht="75" x14ac:dyDescent="0.25">
      <c r="A1989" s="1" t="s">
        <v>1257</v>
      </c>
      <c r="B1989" s="1"/>
      <c r="C1989" s="1" t="s">
        <v>2942</v>
      </c>
      <c r="D1989" s="1">
        <v>120923</v>
      </c>
      <c r="E1989" s="1">
        <v>121</v>
      </c>
      <c r="F1989" s="1" t="s">
        <v>2943</v>
      </c>
      <c r="G1989" s="1" t="s">
        <v>2944</v>
      </c>
      <c r="H1989" s="1" t="s">
        <v>141</v>
      </c>
      <c r="I1989" s="1" t="s">
        <v>65</v>
      </c>
      <c r="J1989" s="1">
        <v>3</v>
      </c>
      <c r="K1989" s="1" t="s">
        <v>142</v>
      </c>
      <c r="L1989" s="1" t="s">
        <v>153</v>
      </c>
      <c r="M1989" s="1" t="s">
        <v>1256</v>
      </c>
      <c r="N1989" s="1" t="str">
        <f>HYPERLINK("https://klocwork.india.ti.com:443/review/insight-review.html#issuedetails_goto:problemid=120923,project=MCU_PLUS_SDK_AM263X,searchquery=taxonomy:'C and C++' build:Build_Apr_13_2023_11_11_AM grouping:off ","KW Issue Link")</f>
        <v>KW Issue Link</v>
      </c>
      <c r="O1989" s="1" t="s">
        <v>291</v>
      </c>
    </row>
    <row r="1990" spans="1:15" ht="75" x14ac:dyDescent="0.25">
      <c r="A1990" s="1" t="s">
        <v>1266</v>
      </c>
      <c r="B1990" s="1"/>
      <c r="C1990" s="1" t="s">
        <v>2942</v>
      </c>
      <c r="D1990" s="1">
        <v>120924</v>
      </c>
      <c r="E1990" s="1">
        <v>121</v>
      </c>
      <c r="F1990" s="1" t="s">
        <v>2945</v>
      </c>
      <c r="G1990" s="1" t="s">
        <v>2944</v>
      </c>
      <c r="H1990" s="1" t="s">
        <v>141</v>
      </c>
      <c r="I1990" s="1" t="s">
        <v>65</v>
      </c>
      <c r="J1990" s="1">
        <v>3</v>
      </c>
      <c r="K1990" s="1" t="s">
        <v>142</v>
      </c>
      <c r="L1990" s="1" t="s">
        <v>153</v>
      </c>
      <c r="M1990" s="1" t="s">
        <v>1256</v>
      </c>
      <c r="N1990" s="1" t="str">
        <f>HYPERLINK("https://klocwork.india.ti.com:443/review/insight-review.html#issuedetails_goto:problemid=120924,project=MCU_PLUS_SDK_AM263X,searchquery=taxonomy:'C and C++' build:Build_Apr_13_2023_11_11_AM grouping:off ","KW Issue Link")</f>
        <v>KW Issue Link</v>
      </c>
      <c r="O1990" s="1" t="s">
        <v>291</v>
      </c>
    </row>
    <row r="1991" spans="1:15" ht="75" x14ac:dyDescent="0.25">
      <c r="A1991" s="1" t="s">
        <v>1257</v>
      </c>
      <c r="B1991" s="1"/>
      <c r="C1991" s="1" t="s">
        <v>707</v>
      </c>
      <c r="D1991" s="1">
        <v>120925</v>
      </c>
      <c r="E1991" s="1">
        <v>88</v>
      </c>
      <c r="F1991" s="1" t="s">
        <v>2946</v>
      </c>
      <c r="G1991" s="1" t="s">
        <v>709</v>
      </c>
      <c r="H1991" s="1" t="s">
        <v>141</v>
      </c>
      <c r="I1991" s="1" t="s">
        <v>65</v>
      </c>
      <c r="J1991" s="1">
        <v>3</v>
      </c>
      <c r="K1991" s="1" t="s">
        <v>142</v>
      </c>
      <c r="L1991" s="1" t="s">
        <v>153</v>
      </c>
      <c r="M1991" s="1" t="s">
        <v>1256</v>
      </c>
      <c r="N1991" s="1" t="str">
        <f>HYPERLINK("https://klocwork.india.ti.com:443/review/insight-review.html#issuedetails_goto:problemid=120925,project=MCU_PLUS_SDK_AM263X,searchquery=taxonomy:'C and C++' build:Build_Apr_13_2023_11_11_AM grouping:off ","KW Issue Link")</f>
        <v>KW Issue Link</v>
      </c>
      <c r="O1991" s="1" t="s">
        <v>291</v>
      </c>
    </row>
    <row r="1992" spans="1:15" ht="75" x14ac:dyDescent="0.25">
      <c r="A1992" s="1" t="s">
        <v>1257</v>
      </c>
      <c r="B1992" s="1"/>
      <c r="C1992" s="1" t="s">
        <v>707</v>
      </c>
      <c r="D1992" s="1">
        <v>120926</v>
      </c>
      <c r="E1992" s="1">
        <v>164</v>
      </c>
      <c r="F1992" s="1" t="s">
        <v>2947</v>
      </c>
      <c r="G1992" s="1" t="s">
        <v>711</v>
      </c>
      <c r="H1992" s="1" t="s">
        <v>141</v>
      </c>
      <c r="I1992" s="1" t="s">
        <v>65</v>
      </c>
      <c r="J1992" s="1">
        <v>3</v>
      </c>
      <c r="K1992" s="1" t="s">
        <v>142</v>
      </c>
      <c r="L1992" s="1" t="s">
        <v>153</v>
      </c>
      <c r="M1992" s="1" t="s">
        <v>1256</v>
      </c>
      <c r="N1992" s="1" t="str">
        <f>HYPERLINK("https://klocwork.india.ti.com:443/review/insight-review.html#issuedetails_goto:problemid=120926,project=MCU_PLUS_SDK_AM263X,searchquery=taxonomy:'C and C++' build:Build_Apr_13_2023_11_11_AM grouping:off ","KW Issue Link")</f>
        <v>KW Issue Link</v>
      </c>
      <c r="O1992" s="1" t="s">
        <v>291</v>
      </c>
    </row>
    <row r="1993" spans="1:15" ht="75" x14ac:dyDescent="0.25">
      <c r="A1993" s="1" t="s">
        <v>1257</v>
      </c>
      <c r="B1993" s="1"/>
      <c r="C1993" s="1" t="s">
        <v>707</v>
      </c>
      <c r="D1993" s="1">
        <v>120927</v>
      </c>
      <c r="E1993" s="1">
        <v>227</v>
      </c>
      <c r="F1993" s="1" t="s">
        <v>2948</v>
      </c>
      <c r="G1993" s="1" t="s">
        <v>710</v>
      </c>
      <c r="H1993" s="1" t="s">
        <v>141</v>
      </c>
      <c r="I1993" s="1" t="s">
        <v>65</v>
      </c>
      <c r="J1993" s="1">
        <v>3</v>
      </c>
      <c r="K1993" s="1" t="s">
        <v>142</v>
      </c>
      <c r="L1993" s="1" t="s">
        <v>153</v>
      </c>
      <c r="M1993" s="1" t="s">
        <v>1256</v>
      </c>
      <c r="N1993" s="1" t="str">
        <f>HYPERLINK("https://klocwork.india.ti.com:443/review/insight-review.html#issuedetails_goto:problemid=120927,project=MCU_PLUS_SDK_AM263X,searchquery=taxonomy:'C and C++' build:Build_Apr_13_2023_11_11_AM grouping:off ","KW Issue Link")</f>
        <v>KW Issue Link</v>
      </c>
      <c r="O1993" s="1" t="s">
        <v>291</v>
      </c>
    </row>
    <row r="1994" spans="1:15" ht="75" x14ac:dyDescent="0.25">
      <c r="A1994" s="1" t="s">
        <v>1266</v>
      </c>
      <c r="B1994" s="1"/>
      <c r="C1994" s="1" t="s">
        <v>707</v>
      </c>
      <c r="D1994" s="1">
        <v>120928</v>
      </c>
      <c r="E1994" s="1">
        <v>164</v>
      </c>
      <c r="F1994" s="1" t="s">
        <v>2949</v>
      </c>
      <c r="G1994" s="1" t="s">
        <v>711</v>
      </c>
      <c r="H1994" s="1" t="s">
        <v>141</v>
      </c>
      <c r="I1994" s="1" t="s">
        <v>65</v>
      </c>
      <c r="J1994" s="1">
        <v>3</v>
      </c>
      <c r="K1994" s="1" t="s">
        <v>142</v>
      </c>
      <c r="L1994" s="1" t="s">
        <v>153</v>
      </c>
      <c r="M1994" s="1" t="s">
        <v>1256</v>
      </c>
      <c r="N1994" s="1" t="str">
        <f>HYPERLINK("https://klocwork.india.ti.com:443/review/insight-review.html#issuedetails_goto:problemid=120928,project=MCU_PLUS_SDK_AM263X,searchquery=taxonomy:'C and C++' build:Build_Apr_13_2023_11_11_AM grouping:off ","KW Issue Link")</f>
        <v>KW Issue Link</v>
      </c>
      <c r="O1994" s="1" t="s">
        <v>291</v>
      </c>
    </row>
    <row r="1995" spans="1:15" ht="75" x14ac:dyDescent="0.25">
      <c r="A1995" s="1" t="s">
        <v>1266</v>
      </c>
      <c r="B1995" s="1"/>
      <c r="C1995" s="1" t="s">
        <v>707</v>
      </c>
      <c r="D1995" s="1">
        <v>120929</v>
      </c>
      <c r="E1995" s="1">
        <v>227</v>
      </c>
      <c r="F1995" s="1" t="s">
        <v>2950</v>
      </c>
      <c r="G1995" s="1" t="s">
        <v>710</v>
      </c>
      <c r="H1995" s="1" t="s">
        <v>141</v>
      </c>
      <c r="I1995" s="1" t="s">
        <v>65</v>
      </c>
      <c r="J1995" s="1">
        <v>3</v>
      </c>
      <c r="K1995" s="1" t="s">
        <v>142</v>
      </c>
      <c r="L1995" s="1" t="s">
        <v>153</v>
      </c>
      <c r="M1995" s="1" t="s">
        <v>1256</v>
      </c>
      <c r="N1995" s="1" t="str">
        <f>HYPERLINK("https://klocwork.india.ti.com:443/review/insight-review.html#issuedetails_goto:problemid=120929,project=MCU_PLUS_SDK_AM263X,searchquery=taxonomy:'C and C++' build:Build_Apr_13_2023_11_11_AM grouping:off ","KW Issue Link")</f>
        <v>KW Issue Link</v>
      </c>
      <c r="O1995" s="1" t="s">
        <v>291</v>
      </c>
    </row>
    <row r="1996" spans="1:15" ht="75" x14ac:dyDescent="0.25">
      <c r="A1996" s="1" t="s">
        <v>1268</v>
      </c>
      <c r="B1996" s="1"/>
      <c r="C1996" s="1" t="s">
        <v>707</v>
      </c>
      <c r="D1996" s="1">
        <v>120930</v>
      </c>
      <c r="E1996" s="1">
        <v>227</v>
      </c>
      <c r="F1996" s="1" t="s">
        <v>2951</v>
      </c>
      <c r="G1996" s="1" t="s">
        <v>710</v>
      </c>
      <c r="H1996" s="1" t="s">
        <v>141</v>
      </c>
      <c r="I1996" s="1" t="s">
        <v>65</v>
      </c>
      <c r="J1996" s="1">
        <v>3</v>
      </c>
      <c r="K1996" s="1" t="s">
        <v>142</v>
      </c>
      <c r="L1996" s="1" t="s">
        <v>153</v>
      </c>
      <c r="M1996" s="1" t="s">
        <v>1256</v>
      </c>
      <c r="N1996" s="1" t="str">
        <f>HYPERLINK("https://klocwork.india.ti.com:443/review/insight-review.html#issuedetails_goto:problemid=120930,project=MCU_PLUS_SDK_AM263X,searchquery=taxonomy:'C and C++' build:Build_Apr_13_2023_11_11_AM grouping:off ","KW Issue Link")</f>
        <v>KW Issue Link</v>
      </c>
      <c r="O1996" s="1" t="s">
        <v>291</v>
      </c>
    </row>
    <row r="1997" spans="1:15" ht="75" x14ac:dyDescent="0.25">
      <c r="A1997" s="1" t="s">
        <v>1257</v>
      </c>
      <c r="B1997" s="1"/>
      <c r="C1997" s="1" t="s">
        <v>2952</v>
      </c>
      <c r="D1997" s="1">
        <v>120931</v>
      </c>
      <c r="E1997" s="1">
        <v>173</v>
      </c>
      <c r="F1997" s="1" t="s">
        <v>2953</v>
      </c>
      <c r="G1997" s="1" t="s">
        <v>2954</v>
      </c>
      <c r="H1997" s="1" t="s">
        <v>141</v>
      </c>
      <c r="I1997" s="1" t="s">
        <v>65</v>
      </c>
      <c r="J1997" s="1">
        <v>3</v>
      </c>
      <c r="K1997" s="1" t="s">
        <v>142</v>
      </c>
      <c r="L1997" s="1" t="s">
        <v>153</v>
      </c>
      <c r="M1997" s="1" t="s">
        <v>1256</v>
      </c>
      <c r="N1997" s="1" t="str">
        <f>HYPERLINK("https://klocwork.india.ti.com:443/review/insight-review.html#issuedetails_goto:problemid=120931,project=MCU_PLUS_SDK_AM263X,searchquery=taxonomy:'C and C++' build:Build_Apr_13_2023_11_11_AM grouping:off ","KW Issue Link")</f>
        <v>KW Issue Link</v>
      </c>
      <c r="O1997" s="1" t="s">
        <v>291</v>
      </c>
    </row>
    <row r="1998" spans="1:15" ht="75" x14ac:dyDescent="0.25">
      <c r="A1998" s="1" t="s">
        <v>1266</v>
      </c>
      <c r="B1998" s="1"/>
      <c r="C1998" s="1" t="s">
        <v>2952</v>
      </c>
      <c r="D1998" s="1">
        <v>120933</v>
      </c>
      <c r="E1998" s="1">
        <v>173</v>
      </c>
      <c r="F1998" s="1" t="s">
        <v>2955</v>
      </c>
      <c r="G1998" s="1" t="s">
        <v>2954</v>
      </c>
      <c r="H1998" s="1" t="s">
        <v>141</v>
      </c>
      <c r="I1998" s="1" t="s">
        <v>65</v>
      </c>
      <c r="J1998" s="1">
        <v>3</v>
      </c>
      <c r="K1998" s="1" t="s">
        <v>142</v>
      </c>
      <c r="L1998" s="1" t="s">
        <v>153</v>
      </c>
      <c r="M1998" s="1" t="s">
        <v>1256</v>
      </c>
      <c r="N1998" s="1" t="str">
        <f>HYPERLINK("https://klocwork.india.ti.com:443/review/insight-review.html#issuedetails_goto:problemid=120933,project=MCU_PLUS_SDK_AM263X,searchquery=taxonomy:'C and C++' build:Build_Apr_13_2023_11_11_AM grouping:off ","KW Issue Link")</f>
        <v>KW Issue Link</v>
      </c>
      <c r="O1998" s="1" t="s">
        <v>291</v>
      </c>
    </row>
    <row r="1999" spans="1:15" ht="75" x14ac:dyDescent="0.25">
      <c r="A1999" s="1" t="s">
        <v>1257</v>
      </c>
      <c r="B1999" s="1"/>
      <c r="C1999" s="1" t="s">
        <v>712</v>
      </c>
      <c r="D1999" s="1">
        <v>120935</v>
      </c>
      <c r="E1999" s="1">
        <v>173</v>
      </c>
      <c r="F1999" s="1" t="s">
        <v>2956</v>
      </c>
      <c r="G1999" s="1" t="s">
        <v>713</v>
      </c>
      <c r="H1999" s="1" t="s">
        <v>141</v>
      </c>
      <c r="I1999" s="1" t="s">
        <v>65</v>
      </c>
      <c r="J1999" s="1">
        <v>3</v>
      </c>
      <c r="K1999" s="1" t="s">
        <v>142</v>
      </c>
      <c r="L1999" s="1" t="s">
        <v>153</v>
      </c>
      <c r="M1999" s="1" t="s">
        <v>1256</v>
      </c>
      <c r="N1999" s="1" t="str">
        <f>HYPERLINK("https://klocwork.india.ti.com:443/review/insight-review.html#issuedetails_goto:problemid=120935,project=MCU_PLUS_SDK_AM263X,searchquery=taxonomy:'C and C++' build:Build_Apr_13_2023_11_11_AM grouping:off ","KW Issue Link")</f>
        <v>KW Issue Link</v>
      </c>
      <c r="O1999" s="1" t="s">
        <v>291</v>
      </c>
    </row>
    <row r="2000" spans="1:15" ht="75" x14ac:dyDescent="0.25">
      <c r="A2000" s="1" t="s">
        <v>1257</v>
      </c>
      <c r="B2000" s="1"/>
      <c r="C2000" s="1" t="s">
        <v>712</v>
      </c>
      <c r="D2000" s="1">
        <v>120936</v>
      </c>
      <c r="E2000" s="1">
        <v>370</v>
      </c>
      <c r="F2000" s="1" t="s">
        <v>2957</v>
      </c>
      <c r="G2000" s="1" t="s">
        <v>2958</v>
      </c>
      <c r="H2000" s="1" t="s">
        <v>141</v>
      </c>
      <c r="I2000" s="1" t="s">
        <v>65</v>
      </c>
      <c r="J2000" s="1">
        <v>3</v>
      </c>
      <c r="K2000" s="1" t="s">
        <v>142</v>
      </c>
      <c r="L2000" s="1" t="s">
        <v>153</v>
      </c>
      <c r="M2000" s="1" t="s">
        <v>1256</v>
      </c>
      <c r="N2000" s="1" t="str">
        <f>HYPERLINK("https://klocwork.india.ti.com:443/review/insight-review.html#issuedetails_goto:problemid=120936,project=MCU_PLUS_SDK_AM263X,searchquery=taxonomy:'C and C++' build:Build_Apr_13_2023_11_11_AM grouping:off ","KW Issue Link")</f>
        <v>KW Issue Link</v>
      </c>
      <c r="O2000" s="1" t="s">
        <v>291</v>
      </c>
    </row>
    <row r="2001" spans="1:15" ht="75" x14ac:dyDescent="0.25">
      <c r="A2001" s="1" t="s">
        <v>1257</v>
      </c>
      <c r="B2001" s="1"/>
      <c r="C2001" s="1" t="s">
        <v>712</v>
      </c>
      <c r="D2001" s="1">
        <v>120937</v>
      </c>
      <c r="E2001" s="1">
        <v>393</v>
      </c>
      <c r="F2001" s="1" t="s">
        <v>2959</v>
      </c>
      <c r="G2001" s="1" t="s">
        <v>2960</v>
      </c>
      <c r="H2001" s="1" t="s">
        <v>141</v>
      </c>
      <c r="I2001" s="1" t="s">
        <v>65</v>
      </c>
      <c r="J2001" s="1">
        <v>3</v>
      </c>
      <c r="K2001" s="1" t="s">
        <v>142</v>
      </c>
      <c r="L2001" s="1" t="s">
        <v>153</v>
      </c>
      <c r="M2001" s="1" t="s">
        <v>1256</v>
      </c>
      <c r="N2001" s="1" t="str">
        <f>HYPERLINK("https://klocwork.india.ti.com:443/review/insight-review.html#issuedetails_goto:problemid=120937,project=MCU_PLUS_SDK_AM263X,searchquery=taxonomy:'C and C++' build:Build_Apr_13_2023_11_11_AM grouping:off ","KW Issue Link")</f>
        <v>KW Issue Link</v>
      </c>
      <c r="O2001" s="1" t="s">
        <v>291</v>
      </c>
    </row>
    <row r="2002" spans="1:15" ht="75" x14ac:dyDescent="0.25">
      <c r="A2002" s="1" t="s">
        <v>1266</v>
      </c>
      <c r="B2002" s="1"/>
      <c r="C2002" s="1" t="s">
        <v>712</v>
      </c>
      <c r="D2002" s="1">
        <v>120938</v>
      </c>
      <c r="E2002" s="1">
        <v>370</v>
      </c>
      <c r="F2002" s="1" t="s">
        <v>2961</v>
      </c>
      <c r="G2002" s="1" t="s">
        <v>2958</v>
      </c>
      <c r="H2002" s="1" t="s">
        <v>141</v>
      </c>
      <c r="I2002" s="1" t="s">
        <v>65</v>
      </c>
      <c r="J2002" s="1">
        <v>3</v>
      </c>
      <c r="K2002" s="1" t="s">
        <v>142</v>
      </c>
      <c r="L2002" s="1" t="s">
        <v>153</v>
      </c>
      <c r="M2002" s="1" t="s">
        <v>1256</v>
      </c>
      <c r="N2002" s="1" t="str">
        <f>HYPERLINK("https://klocwork.india.ti.com:443/review/insight-review.html#issuedetails_goto:problemid=120938,project=MCU_PLUS_SDK_AM263X,searchquery=taxonomy:'C and C++' build:Build_Apr_13_2023_11_11_AM grouping:off ","KW Issue Link")</f>
        <v>KW Issue Link</v>
      </c>
      <c r="O2002" s="1" t="s">
        <v>291</v>
      </c>
    </row>
    <row r="2003" spans="1:15" ht="75" x14ac:dyDescent="0.25">
      <c r="A2003" s="1" t="s">
        <v>1266</v>
      </c>
      <c r="B2003" s="1"/>
      <c r="C2003" s="1" t="s">
        <v>712</v>
      </c>
      <c r="D2003" s="1">
        <v>120939</v>
      </c>
      <c r="E2003" s="1">
        <v>393</v>
      </c>
      <c r="F2003" s="1" t="s">
        <v>2962</v>
      </c>
      <c r="G2003" s="1" t="s">
        <v>2960</v>
      </c>
      <c r="H2003" s="1" t="s">
        <v>141</v>
      </c>
      <c r="I2003" s="1" t="s">
        <v>65</v>
      </c>
      <c r="J2003" s="1">
        <v>3</v>
      </c>
      <c r="K2003" s="1" t="s">
        <v>142</v>
      </c>
      <c r="L2003" s="1" t="s">
        <v>153</v>
      </c>
      <c r="M2003" s="1" t="s">
        <v>1256</v>
      </c>
      <c r="N2003" s="1" t="str">
        <f>HYPERLINK("https://klocwork.india.ti.com:443/review/insight-review.html#issuedetails_goto:problemid=120939,project=MCU_PLUS_SDK_AM263X,searchquery=taxonomy:'C and C++' build:Build_Apr_13_2023_11_11_AM grouping:off ","KW Issue Link")</f>
        <v>KW Issue Link</v>
      </c>
      <c r="O2003" s="1" t="s">
        <v>291</v>
      </c>
    </row>
    <row r="2004" spans="1:15" ht="75" x14ac:dyDescent="0.25">
      <c r="A2004" s="1" t="s">
        <v>1268</v>
      </c>
      <c r="B2004" s="1"/>
      <c r="C2004" s="1" t="s">
        <v>712</v>
      </c>
      <c r="D2004" s="1">
        <v>120940</v>
      </c>
      <c r="E2004" s="1">
        <v>393</v>
      </c>
      <c r="F2004" s="1" t="s">
        <v>2963</v>
      </c>
      <c r="G2004" s="1" t="s">
        <v>2960</v>
      </c>
      <c r="H2004" s="1" t="s">
        <v>141</v>
      </c>
      <c r="I2004" s="1" t="s">
        <v>65</v>
      </c>
      <c r="J2004" s="1">
        <v>3</v>
      </c>
      <c r="K2004" s="1" t="s">
        <v>142</v>
      </c>
      <c r="L2004" s="1" t="s">
        <v>153</v>
      </c>
      <c r="M2004" s="1" t="s">
        <v>1256</v>
      </c>
      <c r="N2004" s="1" t="str">
        <f>HYPERLINK("https://klocwork.india.ti.com:443/review/insight-review.html#issuedetails_goto:problemid=120940,project=MCU_PLUS_SDK_AM263X,searchquery=taxonomy:'C and C++' build:Build_Apr_13_2023_11_11_AM grouping:off ","KW Issue Link")</f>
        <v>KW Issue Link</v>
      </c>
      <c r="O2004" s="1" t="s">
        <v>291</v>
      </c>
    </row>
    <row r="2005" spans="1:15" ht="75" x14ac:dyDescent="0.25">
      <c r="A2005" s="1" t="s">
        <v>1257</v>
      </c>
      <c r="B2005" s="1"/>
      <c r="C2005" s="1" t="s">
        <v>715</v>
      </c>
      <c r="D2005" s="1">
        <v>120941</v>
      </c>
      <c r="E2005" s="1">
        <v>286</v>
      </c>
      <c r="F2005" s="1" t="s">
        <v>2964</v>
      </c>
      <c r="G2005" s="1" t="s">
        <v>2965</v>
      </c>
      <c r="H2005" s="1" t="s">
        <v>141</v>
      </c>
      <c r="I2005" s="1" t="s">
        <v>65</v>
      </c>
      <c r="J2005" s="1">
        <v>3</v>
      </c>
      <c r="K2005" s="1" t="s">
        <v>142</v>
      </c>
      <c r="L2005" s="1" t="s">
        <v>153</v>
      </c>
      <c r="M2005" s="1" t="s">
        <v>1256</v>
      </c>
      <c r="N2005" s="1" t="str">
        <f>HYPERLINK("https://klocwork.india.ti.com:443/review/insight-review.html#issuedetails_goto:problemid=120941,project=MCU_PLUS_SDK_AM263X,searchquery=taxonomy:'C and C++' build:Build_Apr_13_2023_11_11_AM grouping:off ","KW Issue Link")</f>
        <v>KW Issue Link</v>
      </c>
      <c r="O2005" s="1" t="s">
        <v>291</v>
      </c>
    </row>
    <row r="2006" spans="1:15" ht="75" x14ac:dyDescent="0.25">
      <c r="A2006" s="1" t="s">
        <v>1257</v>
      </c>
      <c r="B2006" s="1"/>
      <c r="C2006" s="1" t="s">
        <v>715</v>
      </c>
      <c r="D2006" s="1">
        <v>120942</v>
      </c>
      <c r="E2006" s="1">
        <v>366</v>
      </c>
      <c r="F2006" s="1" t="s">
        <v>2966</v>
      </c>
      <c r="G2006" s="1" t="s">
        <v>2967</v>
      </c>
      <c r="H2006" s="1" t="s">
        <v>141</v>
      </c>
      <c r="I2006" s="1" t="s">
        <v>65</v>
      </c>
      <c r="J2006" s="1">
        <v>3</v>
      </c>
      <c r="K2006" s="1" t="s">
        <v>142</v>
      </c>
      <c r="L2006" s="1" t="s">
        <v>153</v>
      </c>
      <c r="M2006" s="1" t="s">
        <v>1256</v>
      </c>
      <c r="N2006" s="1" t="str">
        <f>HYPERLINK("https://klocwork.india.ti.com:443/review/insight-review.html#issuedetails_goto:problemid=120942,project=MCU_PLUS_SDK_AM263X,searchquery=taxonomy:'C and C++' build:Build_Apr_13_2023_11_11_AM grouping:off ","KW Issue Link")</f>
        <v>KW Issue Link</v>
      </c>
      <c r="O2006" s="1" t="s">
        <v>291</v>
      </c>
    </row>
    <row r="2007" spans="1:15" ht="75" x14ac:dyDescent="0.25">
      <c r="A2007" s="1" t="s">
        <v>1257</v>
      </c>
      <c r="B2007" s="1"/>
      <c r="C2007" s="1" t="s">
        <v>715</v>
      </c>
      <c r="D2007" s="1">
        <v>120943</v>
      </c>
      <c r="E2007" s="1">
        <v>436</v>
      </c>
      <c r="F2007" s="1" t="s">
        <v>2968</v>
      </c>
      <c r="G2007" s="1" t="s">
        <v>717</v>
      </c>
      <c r="H2007" s="1" t="s">
        <v>141</v>
      </c>
      <c r="I2007" s="1" t="s">
        <v>65</v>
      </c>
      <c r="J2007" s="1">
        <v>3</v>
      </c>
      <c r="K2007" s="1" t="s">
        <v>142</v>
      </c>
      <c r="L2007" s="1" t="s">
        <v>153</v>
      </c>
      <c r="M2007" s="1" t="s">
        <v>1256</v>
      </c>
      <c r="N2007" s="1" t="str">
        <f>HYPERLINK("https://klocwork.india.ti.com:443/review/insight-review.html#issuedetails_goto:problemid=120943,project=MCU_PLUS_SDK_AM263X,searchquery=taxonomy:'C and C++' build:Build_Apr_13_2023_11_11_AM grouping:off ","KW Issue Link")</f>
        <v>KW Issue Link</v>
      </c>
      <c r="O2007" s="1" t="s">
        <v>291</v>
      </c>
    </row>
    <row r="2008" spans="1:15" ht="75" x14ac:dyDescent="0.25">
      <c r="A2008" s="1" t="s">
        <v>1257</v>
      </c>
      <c r="B2008" s="1"/>
      <c r="C2008" s="1" t="s">
        <v>715</v>
      </c>
      <c r="D2008" s="1">
        <v>120944</v>
      </c>
      <c r="E2008" s="1">
        <v>540</v>
      </c>
      <c r="F2008" s="1" t="s">
        <v>2969</v>
      </c>
      <c r="G2008" s="1" t="s">
        <v>2970</v>
      </c>
      <c r="H2008" s="1" t="s">
        <v>141</v>
      </c>
      <c r="I2008" s="1" t="s">
        <v>65</v>
      </c>
      <c r="J2008" s="1">
        <v>3</v>
      </c>
      <c r="K2008" s="1" t="s">
        <v>142</v>
      </c>
      <c r="L2008" s="1" t="s">
        <v>153</v>
      </c>
      <c r="M2008" s="1" t="s">
        <v>1256</v>
      </c>
      <c r="N2008" s="1" t="str">
        <f>HYPERLINK("https://klocwork.india.ti.com:443/review/insight-review.html#issuedetails_goto:problemid=120944,project=MCU_PLUS_SDK_AM263X,searchquery=taxonomy:'C and C++' build:Build_Apr_13_2023_11_11_AM grouping:off ","KW Issue Link")</f>
        <v>KW Issue Link</v>
      </c>
      <c r="O2008" s="1" t="s">
        <v>291</v>
      </c>
    </row>
    <row r="2009" spans="1:15" ht="75" x14ac:dyDescent="0.25">
      <c r="A2009" s="1" t="s">
        <v>1257</v>
      </c>
      <c r="B2009" s="1"/>
      <c r="C2009" s="1" t="s">
        <v>715</v>
      </c>
      <c r="D2009" s="1">
        <v>120945</v>
      </c>
      <c r="E2009" s="1">
        <v>603</v>
      </c>
      <c r="F2009" s="1" t="s">
        <v>2971</v>
      </c>
      <c r="G2009" s="1" t="s">
        <v>2972</v>
      </c>
      <c r="H2009" s="1" t="s">
        <v>141</v>
      </c>
      <c r="I2009" s="1" t="s">
        <v>65</v>
      </c>
      <c r="J2009" s="1">
        <v>3</v>
      </c>
      <c r="K2009" s="1" t="s">
        <v>142</v>
      </c>
      <c r="L2009" s="1" t="s">
        <v>153</v>
      </c>
      <c r="M2009" s="1" t="s">
        <v>1256</v>
      </c>
      <c r="N2009" s="1" t="str">
        <f>HYPERLINK("https://klocwork.india.ti.com:443/review/insight-review.html#issuedetails_goto:problemid=120945,project=MCU_PLUS_SDK_AM263X,searchquery=taxonomy:'C and C++' build:Build_Apr_13_2023_11_11_AM grouping:off ","KW Issue Link")</f>
        <v>KW Issue Link</v>
      </c>
      <c r="O2009" s="1" t="s">
        <v>291</v>
      </c>
    </row>
    <row r="2010" spans="1:15" ht="75" x14ac:dyDescent="0.25">
      <c r="A2010" s="1" t="s">
        <v>1257</v>
      </c>
      <c r="B2010" s="1"/>
      <c r="C2010" s="1" t="s">
        <v>715</v>
      </c>
      <c r="D2010" s="1">
        <v>120946</v>
      </c>
      <c r="E2010" s="1">
        <v>648</v>
      </c>
      <c r="F2010" s="1" t="s">
        <v>2973</v>
      </c>
      <c r="G2010" s="1" t="s">
        <v>2974</v>
      </c>
      <c r="H2010" s="1" t="s">
        <v>141</v>
      </c>
      <c r="I2010" s="1" t="s">
        <v>65</v>
      </c>
      <c r="J2010" s="1">
        <v>3</v>
      </c>
      <c r="K2010" s="1" t="s">
        <v>142</v>
      </c>
      <c r="L2010" s="1" t="s">
        <v>153</v>
      </c>
      <c r="M2010" s="1" t="s">
        <v>1256</v>
      </c>
      <c r="N2010" s="1" t="str">
        <f>HYPERLINK("https://klocwork.india.ti.com:443/review/insight-review.html#issuedetails_goto:problemid=120946,project=MCU_PLUS_SDK_AM263X,searchquery=taxonomy:'C and C++' build:Build_Apr_13_2023_11_11_AM grouping:off ","KW Issue Link")</f>
        <v>KW Issue Link</v>
      </c>
      <c r="O2010" s="1" t="s">
        <v>291</v>
      </c>
    </row>
    <row r="2011" spans="1:15" ht="75" x14ac:dyDescent="0.25">
      <c r="A2011" s="1" t="s">
        <v>1266</v>
      </c>
      <c r="B2011" s="1"/>
      <c r="C2011" s="1" t="s">
        <v>715</v>
      </c>
      <c r="D2011" s="1">
        <v>120948</v>
      </c>
      <c r="E2011" s="1">
        <v>436</v>
      </c>
      <c r="F2011" s="1" t="s">
        <v>2975</v>
      </c>
      <c r="G2011" s="1" t="s">
        <v>717</v>
      </c>
      <c r="H2011" s="1" t="s">
        <v>141</v>
      </c>
      <c r="I2011" s="1" t="s">
        <v>65</v>
      </c>
      <c r="J2011" s="1">
        <v>3</v>
      </c>
      <c r="K2011" s="1" t="s">
        <v>142</v>
      </c>
      <c r="L2011" s="1" t="s">
        <v>153</v>
      </c>
      <c r="M2011" s="1" t="s">
        <v>1256</v>
      </c>
      <c r="N2011" s="1" t="str">
        <f>HYPERLINK("https://klocwork.india.ti.com:443/review/insight-review.html#issuedetails_goto:problemid=120948,project=MCU_PLUS_SDK_AM263X,searchquery=taxonomy:'C and C++' build:Build_Apr_13_2023_11_11_AM grouping:off ","KW Issue Link")</f>
        <v>KW Issue Link</v>
      </c>
      <c r="O2011" s="1" t="s">
        <v>291</v>
      </c>
    </row>
    <row r="2012" spans="1:15" ht="75" x14ac:dyDescent="0.25">
      <c r="A2012" s="1" t="s">
        <v>1266</v>
      </c>
      <c r="B2012" s="1"/>
      <c r="C2012" s="1" t="s">
        <v>715</v>
      </c>
      <c r="D2012" s="1">
        <v>120949</v>
      </c>
      <c r="E2012" s="1">
        <v>540</v>
      </c>
      <c r="F2012" s="1" t="s">
        <v>2976</v>
      </c>
      <c r="G2012" s="1" t="s">
        <v>2970</v>
      </c>
      <c r="H2012" s="1" t="s">
        <v>141</v>
      </c>
      <c r="I2012" s="1" t="s">
        <v>65</v>
      </c>
      <c r="J2012" s="1">
        <v>3</v>
      </c>
      <c r="K2012" s="1" t="s">
        <v>142</v>
      </c>
      <c r="L2012" s="1" t="s">
        <v>153</v>
      </c>
      <c r="M2012" s="1" t="s">
        <v>1256</v>
      </c>
      <c r="N2012" s="1" t="str">
        <f>HYPERLINK("https://klocwork.india.ti.com:443/review/insight-review.html#issuedetails_goto:problemid=120949,project=MCU_PLUS_SDK_AM263X,searchquery=taxonomy:'C and C++' build:Build_Apr_13_2023_11_11_AM grouping:off ","KW Issue Link")</f>
        <v>KW Issue Link</v>
      </c>
      <c r="O2012" s="1" t="s">
        <v>291</v>
      </c>
    </row>
    <row r="2013" spans="1:15" ht="75" x14ac:dyDescent="0.25">
      <c r="A2013" s="1" t="s">
        <v>1266</v>
      </c>
      <c r="B2013" s="1"/>
      <c r="C2013" s="1" t="s">
        <v>715</v>
      </c>
      <c r="D2013" s="1">
        <v>120950</v>
      </c>
      <c r="E2013" s="1">
        <v>603</v>
      </c>
      <c r="F2013" s="1" t="s">
        <v>2977</v>
      </c>
      <c r="G2013" s="1" t="s">
        <v>2972</v>
      </c>
      <c r="H2013" s="1" t="s">
        <v>141</v>
      </c>
      <c r="I2013" s="1" t="s">
        <v>65</v>
      </c>
      <c r="J2013" s="1">
        <v>3</v>
      </c>
      <c r="K2013" s="1" t="s">
        <v>142</v>
      </c>
      <c r="L2013" s="1" t="s">
        <v>153</v>
      </c>
      <c r="M2013" s="1" t="s">
        <v>1256</v>
      </c>
      <c r="N2013" s="1" t="str">
        <f>HYPERLINK("https://klocwork.india.ti.com:443/review/insight-review.html#issuedetails_goto:problemid=120950,project=MCU_PLUS_SDK_AM263X,searchquery=taxonomy:'C and C++' build:Build_Apr_13_2023_11_11_AM grouping:off ","KW Issue Link")</f>
        <v>KW Issue Link</v>
      </c>
      <c r="O2013" s="1" t="s">
        <v>291</v>
      </c>
    </row>
    <row r="2014" spans="1:15" ht="75" x14ac:dyDescent="0.25">
      <c r="A2014" s="1" t="s">
        <v>1268</v>
      </c>
      <c r="B2014" s="1"/>
      <c r="C2014" s="1" t="s">
        <v>715</v>
      </c>
      <c r="D2014" s="1">
        <v>120952</v>
      </c>
      <c r="E2014" s="1">
        <v>436</v>
      </c>
      <c r="F2014" s="1" t="s">
        <v>2978</v>
      </c>
      <c r="G2014" s="1" t="s">
        <v>717</v>
      </c>
      <c r="H2014" s="1" t="s">
        <v>141</v>
      </c>
      <c r="I2014" s="1" t="s">
        <v>65</v>
      </c>
      <c r="J2014" s="1">
        <v>3</v>
      </c>
      <c r="K2014" s="1" t="s">
        <v>142</v>
      </c>
      <c r="L2014" s="1" t="s">
        <v>153</v>
      </c>
      <c r="M2014" s="1" t="s">
        <v>1256</v>
      </c>
      <c r="N2014" s="1" t="str">
        <f>HYPERLINK("https://klocwork.india.ti.com:443/review/insight-review.html#issuedetails_goto:problemid=120952,project=MCU_PLUS_SDK_AM263X,searchquery=taxonomy:'C and C++' build:Build_Apr_13_2023_11_11_AM grouping:off ","KW Issue Link")</f>
        <v>KW Issue Link</v>
      </c>
      <c r="O2014" s="1" t="s">
        <v>291</v>
      </c>
    </row>
    <row r="2015" spans="1:15" ht="60" x14ac:dyDescent="0.25">
      <c r="A2015" s="1" t="s">
        <v>1266</v>
      </c>
      <c r="B2015" s="1"/>
      <c r="C2015" s="1" t="s">
        <v>961</v>
      </c>
      <c r="D2015" s="1">
        <v>120954</v>
      </c>
      <c r="E2015" s="1">
        <v>690</v>
      </c>
      <c r="F2015" s="1" t="s">
        <v>2979</v>
      </c>
      <c r="G2015" s="1" t="s">
        <v>962</v>
      </c>
      <c r="H2015" s="1" t="s">
        <v>141</v>
      </c>
      <c r="I2015" s="1" t="s">
        <v>65</v>
      </c>
      <c r="J2015" s="1">
        <v>3</v>
      </c>
      <c r="K2015" s="1" t="s">
        <v>142</v>
      </c>
      <c r="L2015" s="1" t="s">
        <v>153</v>
      </c>
      <c r="M2015" s="1" t="s">
        <v>1256</v>
      </c>
      <c r="N2015" s="1" t="str">
        <f>HYPERLINK("https://klocwork.india.ti.com:443/review/insight-review.html#issuedetails_goto:problemid=120954,project=MCU_PLUS_SDK_AM263X,searchquery=taxonomy:'C and C++' build:Build_Apr_13_2023_11_11_AM grouping:off ","KW Issue Link")</f>
        <v>KW Issue Link</v>
      </c>
      <c r="O2015" s="1" t="s">
        <v>251</v>
      </c>
    </row>
    <row r="2016" spans="1:15" ht="60" x14ac:dyDescent="0.25">
      <c r="A2016" s="1" t="s">
        <v>1266</v>
      </c>
      <c r="B2016" s="1"/>
      <c r="C2016" s="1" t="s">
        <v>961</v>
      </c>
      <c r="D2016" s="1">
        <v>120955</v>
      </c>
      <c r="E2016" s="1">
        <v>821</v>
      </c>
      <c r="F2016" s="1" t="s">
        <v>2980</v>
      </c>
      <c r="G2016" s="1" t="s">
        <v>2981</v>
      </c>
      <c r="H2016" s="1" t="s">
        <v>141</v>
      </c>
      <c r="I2016" s="1" t="s">
        <v>65</v>
      </c>
      <c r="J2016" s="1">
        <v>3</v>
      </c>
      <c r="K2016" s="1" t="s">
        <v>142</v>
      </c>
      <c r="L2016" s="1" t="s">
        <v>153</v>
      </c>
      <c r="M2016" s="1" t="s">
        <v>1256</v>
      </c>
      <c r="N2016" s="1" t="str">
        <f>HYPERLINK("https://klocwork.india.ti.com:443/review/insight-review.html#issuedetails_goto:problemid=120955,project=MCU_PLUS_SDK_AM263X,searchquery=taxonomy:'C and C++' build:Build_Apr_13_2023_11_11_AM grouping:off ","KW Issue Link")</f>
        <v>KW Issue Link</v>
      </c>
      <c r="O2016" s="1" t="s">
        <v>251</v>
      </c>
    </row>
    <row r="2017" spans="1:15" ht="60" x14ac:dyDescent="0.25">
      <c r="A2017" s="1" t="s">
        <v>1268</v>
      </c>
      <c r="B2017" s="1"/>
      <c r="C2017" s="1" t="s">
        <v>961</v>
      </c>
      <c r="D2017" s="1">
        <v>120956</v>
      </c>
      <c r="E2017" s="1">
        <v>690</v>
      </c>
      <c r="F2017" s="1" t="s">
        <v>2982</v>
      </c>
      <c r="G2017" s="1" t="s">
        <v>962</v>
      </c>
      <c r="H2017" s="1" t="s">
        <v>141</v>
      </c>
      <c r="I2017" s="1" t="s">
        <v>65</v>
      </c>
      <c r="J2017" s="1">
        <v>3</v>
      </c>
      <c r="K2017" s="1" t="s">
        <v>142</v>
      </c>
      <c r="L2017" s="1" t="s">
        <v>153</v>
      </c>
      <c r="M2017" s="1" t="s">
        <v>1256</v>
      </c>
      <c r="N2017" s="1" t="str">
        <f>HYPERLINK("https://klocwork.india.ti.com:443/review/insight-review.html#issuedetails_goto:problemid=120956,project=MCU_PLUS_SDK_AM263X,searchquery=taxonomy:'C and C++' build:Build_Apr_13_2023_11_11_AM grouping:off ","KW Issue Link")</f>
        <v>KW Issue Link</v>
      </c>
      <c r="O2017" s="1" t="s">
        <v>251</v>
      </c>
    </row>
    <row r="2018" spans="1:15" ht="60" x14ac:dyDescent="0.25">
      <c r="A2018" s="1" t="s">
        <v>1268</v>
      </c>
      <c r="B2018" s="1"/>
      <c r="C2018" s="1" t="s">
        <v>961</v>
      </c>
      <c r="D2018" s="1">
        <v>120957</v>
      </c>
      <c r="E2018" s="1">
        <v>821</v>
      </c>
      <c r="F2018" s="1" t="s">
        <v>2983</v>
      </c>
      <c r="G2018" s="1" t="s">
        <v>2981</v>
      </c>
      <c r="H2018" s="1" t="s">
        <v>141</v>
      </c>
      <c r="I2018" s="1" t="s">
        <v>65</v>
      </c>
      <c r="J2018" s="1">
        <v>3</v>
      </c>
      <c r="K2018" s="1" t="s">
        <v>142</v>
      </c>
      <c r="L2018" s="1" t="s">
        <v>153</v>
      </c>
      <c r="M2018" s="1" t="s">
        <v>1256</v>
      </c>
      <c r="N2018" s="1" t="str">
        <f>HYPERLINK("https://klocwork.india.ti.com:443/review/insight-review.html#issuedetails_goto:problemid=120957,project=MCU_PLUS_SDK_AM263X,searchquery=taxonomy:'C and C++' build:Build_Apr_13_2023_11_11_AM grouping:off ","KW Issue Link")</f>
        <v>KW Issue Link</v>
      </c>
      <c r="O2018" s="1" t="s">
        <v>251</v>
      </c>
    </row>
    <row r="2019" spans="1:15" ht="60" x14ac:dyDescent="0.25">
      <c r="A2019" s="1" t="s">
        <v>1266</v>
      </c>
      <c r="B2019" s="1"/>
      <c r="C2019" s="1" t="s">
        <v>248</v>
      </c>
      <c r="D2019" s="1">
        <v>120958</v>
      </c>
      <c r="E2019" s="1">
        <v>860</v>
      </c>
      <c r="F2019" s="1" t="s">
        <v>2984</v>
      </c>
      <c r="G2019" s="1" t="s">
        <v>2985</v>
      </c>
      <c r="H2019" s="1" t="s">
        <v>141</v>
      </c>
      <c r="I2019" s="1" t="s">
        <v>65</v>
      </c>
      <c r="J2019" s="1">
        <v>3</v>
      </c>
      <c r="K2019" s="1" t="s">
        <v>142</v>
      </c>
      <c r="L2019" s="1" t="s">
        <v>153</v>
      </c>
      <c r="M2019" s="1" t="s">
        <v>1256</v>
      </c>
      <c r="N2019" s="1" t="str">
        <f>HYPERLINK("https://klocwork.india.ti.com:443/review/insight-review.html#issuedetails_goto:problemid=120958,project=MCU_PLUS_SDK_AM263X,searchquery=taxonomy:'C and C++' build:Build_Apr_13_2023_11_11_AM grouping:off ","KW Issue Link")</f>
        <v>KW Issue Link</v>
      </c>
      <c r="O2019" s="1" t="s">
        <v>251</v>
      </c>
    </row>
    <row r="2020" spans="1:15" ht="60" x14ac:dyDescent="0.25">
      <c r="A2020" s="1" t="s">
        <v>1266</v>
      </c>
      <c r="B2020" s="1"/>
      <c r="C2020" s="1" t="s">
        <v>248</v>
      </c>
      <c r="D2020" s="1">
        <v>120961</v>
      </c>
      <c r="E2020" s="1">
        <v>2087</v>
      </c>
      <c r="F2020" s="1" t="s">
        <v>2986</v>
      </c>
      <c r="G2020" s="1" t="s">
        <v>2987</v>
      </c>
      <c r="H2020" s="1" t="s">
        <v>141</v>
      </c>
      <c r="I2020" s="1" t="s">
        <v>65</v>
      </c>
      <c r="J2020" s="1">
        <v>3</v>
      </c>
      <c r="K2020" s="1" t="s">
        <v>142</v>
      </c>
      <c r="L2020" s="1" t="s">
        <v>153</v>
      </c>
      <c r="M2020" s="1" t="s">
        <v>1256</v>
      </c>
      <c r="N2020" s="1" t="str">
        <f>HYPERLINK("https://klocwork.india.ti.com:443/review/insight-review.html#issuedetails_goto:problemid=120961,project=MCU_PLUS_SDK_AM263X,searchquery=taxonomy:'C and C++' build:Build_Apr_13_2023_11_11_AM grouping:off ","KW Issue Link")</f>
        <v>KW Issue Link</v>
      </c>
      <c r="O2020" s="1" t="s">
        <v>251</v>
      </c>
    </row>
    <row r="2021" spans="1:15" ht="60" x14ac:dyDescent="0.25">
      <c r="A2021" s="1" t="s">
        <v>1252</v>
      </c>
      <c r="B2021" s="1"/>
      <c r="C2021" s="1" t="s">
        <v>248</v>
      </c>
      <c r="D2021" s="1">
        <v>120962</v>
      </c>
      <c r="E2021" s="1">
        <v>1466</v>
      </c>
      <c r="F2021" s="1" t="s">
        <v>2988</v>
      </c>
      <c r="G2021" s="1" t="s">
        <v>2989</v>
      </c>
      <c r="H2021" s="1" t="s">
        <v>141</v>
      </c>
      <c r="I2021" s="1" t="s">
        <v>65</v>
      </c>
      <c r="J2021" s="1">
        <v>3</v>
      </c>
      <c r="K2021" s="1" t="s">
        <v>142</v>
      </c>
      <c r="L2021" s="1" t="s">
        <v>153</v>
      </c>
      <c r="M2021" s="1" t="s">
        <v>1256</v>
      </c>
      <c r="N2021" s="1" t="str">
        <f>HYPERLINK("https://klocwork.india.ti.com:443/review/insight-review.html#issuedetails_goto:problemid=120962,project=MCU_PLUS_SDK_AM263X,searchquery=taxonomy:'C and C++' build:Build_Apr_13_2023_11_11_AM grouping:off ","KW Issue Link")</f>
        <v>KW Issue Link</v>
      </c>
      <c r="O2021" s="1" t="s">
        <v>251</v>
      </c>
    </row>
    <row r="2022" spans="1:15" ht="60" x14ac:dyDescent="0.25">
      <c r="A2022" s="1" t="s">
        <v>1268</v>
      </c>
      <c r="B2022" s="1"/>
      <c r="C2022" s="1" t="s">
        <v>248</v>
      </c>
      <c r="D2022" s="1">
        <v>120965</v>
      </c>
      <c r="E2022" s="1">
        <v>2087</v>
      </c>
      <c r="F2022" s="1" t="s">
        <v>2990</v>
      </c>
      <c r="G2022" s="1" t="s">
        <v>2987</v>
      </c>
      <c r="H2022" s="1" t="s">
        <v>141</v>
      </c>
      <c r="I2022" s="1" t="s">
        <v>65</v>
      </c>
      <c r="J2022" s="1">
        <v>3</v>
      </c>
      <c r="K2022" s="1" t="s">
        <v>142</v>
      </c>
      <c r="L2022" s="1" t="s">
        <v>153</v>
      </c>
      <c r="M2022" s="1" t="s">
        <v>1256</v>
      </c>
      <c r="N2022" s="1" t="str">
        <f>HYPERLINK("https://klocwork.india.ti.com:443/review/insight-review.html#issuedetails_goto:problemid=120965,project=MCU_PLUS_SDK_AM263X,searchquery=taxonomy:'C and C++' build:Build_Apr_13_2023_11_11_AM grouping:off ","KW Issue Link")</f>
        <v>KW Issue Link</v>
      </c>
      <c r="O2022" s="1" t="s">
        <v>251</v>
      </c>
    </row>
    <row r="2023" spans="1:15" ht="60" x14ac:dyDescent="0.25">
      <c r="A2023" s="1" t="s">
        <v>1252</v>
      </c>
      <c r="B2023" s="1"/>
      <c r="C2023" s="1" t="s">
        <v>2991</v>
      </c>
      <c r="D2023" s="1">
        <v>120967</v>
      </c>
      <c r="E2023" s="1">
        <v>161</v>
      </c>
      <c r="F2023" s="1" t="s">
        <v>2992</v>
      </c>
      <c r="G2023" s="1" t="s">
        <v>2993</v>
      </c>
      <c r="H2023" s="1" t="s">
        <v>141</v>
      </c>
      <c r="I2023" s="1" t="s">
        <v>65</v>
      </c>
      <c r="J2023" s="1">
        <v>3</v>
      </c>
      <c r="K2023" s="1" t="s">
        <v>142</v>
      </c>
      <c r="L2023" s="1" t="s">
        <v>153</v>
      </c>
      <c r="M2023" s="1" t="s">
        <v>1256</v>
      </c>
      <c r="N2023" s="1" t="str">
        <f>HYPERLINK("https://klocwork.india.ti.com:443/review/insight-review.html#issuedetails_goto:problemid=120967,project=MCU_PLUS_SDK_AM263X,searchquery=taxonomy:'C and C++' build:Build_Apr_13_2023_11_11_AM grouping:off ","KW Issue Link")</f>
        <v>KW Issue Link</v>
      </c>
      <c r="O2023" s="1" t="s">
        <v>251</v>
      </c>
    </row>
    <row r="2024" spans="1:15" ht="75" x14ac:dyDescent="0.25">
      <c r="A2024" s="1" t="s">
        <v>1252</v>
      </c>
      <c r="B2024" s="1"/>
      <c r="C2024" s="1" t="s">
        <v>2991</v>
      </c>
      <c r="D2024" s="1">
        <v>120968</v>
      </c>
      <c r="E2024" s="1">
        <v>227</v>
      </c>
      <c r="F2024" s="1" t="s">
        <v>2994</v>
      </c>
      <c r="G2024" s="1" t="s">
        <v>2995</v>
      </c>
      <c r="H2024" s="1" t="s">
        <v>141</v>
      </c>
      <c r="I2024" s="1" t="s">
        <v>65</v>
      </c>
      <c r="J2024" s="1">
        <v>3</v>
      </c>
      <c r="K2024" s="1" t="s">
        <v>142</v>
      </c>
      <c r="L2024" s="1" t="s">
        <v>153</v>
      </c>
      <c r="M2024" s="1" t="s">
        <v>1256</v>
      </c>
      <c r="N2024" s="1" t="str">
        <f>HYPERLINK("https://klocwork.india.ti.com:443/review/insight-review.html#issuedetails_goto:problemid=120968,project=MCU_PLUS_SDK_AM263X,searchquery=taxonomy:'C and C++' build:Build_Apr_13_2023_11_11_AM grouping:off ","KW Issue Link")</f>
        <v>KW Issue Link</v>
      </c>
      <c r="O2024" s="1" t="s">
        <v>251</v>
      </c>
    </row>
    <row r="2025" spans="1:15" ht="60" x14ac:dyDescent="0.25">
      <c r="A2025" s="1" t="s">
        <v>1252</v>
      </c>
      <c r="B2025" s="1"/>
      <c r="C2025" s="1" t="s">
        <v>2991</v>
      </c>
      <c r="D2025" s="1">
        <v>120969</v>
      </c>
      <c r="E2025" s="1">
        <v>254</v>
      </c>
      <c r="F2025" s="1" t="s">
        <v>2996</v>
      </c>
      <c r="G2025" s="1" t="s">
        <v>2997</v>
      </c>
      <c r="H2025" s="1" t="s">
        <v>141</v>
      </c>
      <c r="I2025" s="1" t="s">
        <v>65</v>
      </c>
      <c r="J2025" s="1">
        <v>3</v>
      </c>
      <c r="K2025" s="1" t="s">
        <v>142</v>
      </c>
      <c r="L2025" s="1" t="s">
        <v>153</v>
      </c>
      <c r="M2025" s="1" t="s">
        <v>1256</v>
      </c>
      <c r="N2025" s="1" t="str">
        <f>HYPERLINK("https://klocwork.india.ti.com:443/review/insight-review.html#issuedetails_goto:problemid=120969,project=MCU_PLUS_SDK_AM263X,searchquery=taxonomy:'C and C++' build:Build_Apr_13_2023_11_11_AM grouping:off ","KW Issue Link")</f>
        <v>KW Issue Link</v>
      </c>
      <c r="O2025" s="1" t="s">
        <v>251</v>
      </c>
    </row>
    <row r="2026" spans="1:15" ht="60" x14ac:dyDescent="0.25">
      <c r="A2026" s="1" t="s">
        <v>1252</v>
      </c>
      <c r="B2026" s="1"/>
      <c r="C2026" s="1" t="s">
        <v>2991</v>
      </c>
      <c r="D2026" s="1">
        <v>120970</v>
      </c>
      <c r="E2026" s="1">
        <v>402</v>
      </c>
      <c r="F2026" s="1" t="s">
        <v>2998</v>
      </c>
      <c r="G2026" s="1" t="s">
        <v>2999</v>
      </c>
      <c r="H2026" s="1" t="s">
        <v>141</v>
      </c>
      <c r="I2026" s="1" t="s">
        <v>65</v>
      </c>
      <c r="J2026" s="1">
        <v>3</v>
      </c>
      <c r="K2026" s="1" t="s">
        <v>142</v>
      </c>
      <c r="L2026" s="1" t="s">
        <v>153</v>
      </c>
      <c r="M2026" s="1" t="s">
        <v>1256</v>
      </c>
      <c r="N2026" s="1" t="str">
        <f>HYPERLINK("https://klocwork.india.ti.com:443/review/insight-review.html#issuedetails_goto:problemid=120970,project=MCU_PLUS_SDK_AM263X,searchquery=taxonomy:'C and C++' build:Build_Apr_13_2023_11_11_AM grouping:off ","KW Issue Link")</f>
        <v>KW Issue Link</v>
      </c>
      <c r="O2026" s="1" t="s">
        <v>251</v>
      </c>
    </row>
    <row r="2027" spans="1:15" ht="90" x14ac:dyDescent="0.25">
      <c r="A2027" s="1" t="s">
        <v>1257</v>
      </c>
      <c r="B2027" s="1"/>
      <c r="C2027" s="1" t="s">
        <v>719</v>
      </c>
      <c r="D2027" s="1">
        <v>120971</v>
      </c>
      <c r="E2027" s="1">
        <v>67</v>
      </c>
      <c r="F2027" s="1" t="s">
        <v>3000</v>
      </c>
      <c r="G2027" s="1" t="s">
        <v>3001</v>
      </c>
      <c r="H2027" s="1" t="s">
        <v>141</v>
      </c>
      <c r="I2027" s="1" t="s">
        <v>65</v>
      </c>
      <c r="J2027" s="1">
        <v>3</v>
      </c>
      <c r="K2027" s="1" t="s">
        <v>142</v>
      </c>
      <c r="L2027" s="1" t="s">
        <v>153</v>
      </c>
      <c r="M2027" s="1" t="s">
        <v>1256</v>
      </c>
      <c r="N2027" s="1" t="str">
        <f>HYPERLINK("https://klocwork.india.ti.com:443/review/insight-review.html#issuedetails_goto:problemid=120971,project=MCU_PLUS_SDK_AM263X,searchquery=taxonomy:'C and C++' build:Build_Apr_13_2023_11_11_AM grouping:off ","KW Issue Link")</f>
        <v>KW Issue Link</v>
      </c>
      <c r="O2027" s="1" t="s">
        <v>353</v>
      </c>
    </row>
    <row r="2028" spans="1:15" ht="90" x14ac:dyDescent="0.25">
      <c r="A2028" s="1" t="s">
        <v>1257</v>
      </c>
      <c r="B2028" s="1"/>
      <c r="C2028" s="1" t="s">
        <v>719</v>
      </c>
      <c r="D2028" s="1">
        <v>120972</v>
      </c>
      <c r="E2028" s="1">
        <v>324</v>
      </c>
      <c r="F2028" s="1" t="s">
        <v>3002</v>
      </c>
      <c r="G2028" s="1" t="s">
        <v>3003</v>
      </c>
      <c r="H2028" s="1" t="s">
        <v>141</v>
      </c>
      <c r="I2028" s="1" t="s">
        <v>65</v>
      </c>
      <c r="J2028" s="1">
        <v>3</v>
      </c>
      <c r="K2028" s="1" t="s">
        <v>142</v>
      </c>
      <c r="L2028" s="1" t="s">
        <v>153</v>
      </c>
      <c r="M2028" s="1" t="s">
        <v>1256</v>
      </c>
      <c r="N2028" s="1" t="str">
        <f>HYPERLINK("https://klocwork.india.ti.com:443/review/insight-review.html#issuedetails_goto:problemid=120972,project=MCU_PLUS_SDK_AM263X,searchquery=taxonomy:'C and C++' build:Build_Apr_13_2023_11_11_AM grouping:off ","KW Issue Link")</f>
        <v>KW Issue Link</v>
      </c>
      <c r="O2028" s="1" t="s">
        <v>353</v>
      </c>
    </row>
    <row r="2029" spans="1:15" ht="90" x14ac:dyDescent="0.25">
      <c r="A2029" s="1" t="s">
        <v>1257</v>
      </c>
      <c r="B2029" s="1"/>
      <c r="C2029" s="1" t="s">
        <v>719</v>
      </c>
      <c r="D2029" s="1">
        <v>120973</v>
      </c>
      <c r="E2029" s="1">
        <v>477</v>
      </c>
      <c r="F2029" s="1" t="s">
        <v>3004</v>
      </c>
      <c r="G2029" s="1" t="s">
        <v>721</v>
      </c>
      <c r="H2029" s="1" t="s">
        <v>141</v>
      </c>
      <c r="I2029" s="1" t="s">
        <v>65</v>
      </c>
      <c r="J2029" s="1">
        <v>3</v>
      </c>
      <c r="K2029" s="1" t="s">
        <v>142</v>
      </c>
      <c r="L2029" s="1" t="s">
        <v>153</v>
      </c>
      <c r="M2029" s="1" t="s">
        <v>1256</v>
      </c>
      <c r="N2029" s="1" t="str">
        <f>HYPERLINK("https://klocwork.india.ti.com:443/review/insight-review.html#issuedetails_goto:problemid=120973,project=MCU_PLUS_SDK_AM263X,searchquery=taxonomy:'C and C++' build:Build_Apr_13_2023_11_11_AM grouping:off ","KW Issue Link")</f>
        <v>KW Issue Link</v>
      </c>
      <c r="O2029" s="1" t="s">
        <v>353</v>
      </c>
    </row>
    <row r="2030" spans="1:15" ht="90" x14ac:dyDescent="0.25">
      <c r="A2030" s="1" t="s">
        <v>1266</v>
      </c>
      <c r="B2030" s="1"/>
      <c r="C2030" s="1" t="s">
        <v>719</v>
      </c>
      <c r="D2030" s="1">
        <v>120976</v>
      </c>
      <c r="E2030" s="1">
        <v>67</v>
      </c>
      <c r="F2030" s="1" t="s">
        <v>3005</v>
      </c>
      <c r="G2030" s="1" t="s">
        <v>3001</v>
      </c>
      <c r="H2030" s="1" t="s">
        <v>141</v>
      </c>
      <c r="I2030" s="1" t="s">
        <v>65</v>
      </c>
      <c r="J2030" s="1">
        <v>3</v>
      </c>
      <c r="K2030" s="1" t="s">
        <v>142</v>
      </c>
      <c r="L2030" s="1" t="s">
        <v>153</v>
      </c>
      <c r="M2030" s="1" t="s">
        <v>1256</v>
      </c>
      <c r="N2030" s="1" t="str">
        <f>HYPERLINK("https://klocwork.india.ti.com:443/review/insight-review.html#issuedetails_goto:problemid=120976,project=MCU_PLUS_SDK_AM263X,searchquery=taxonomy:'C and C++' build:Build_Apr_13_2023_11_11_AM grouping:off ","KW Issue Link")</f>
        <v>KW Issue Link</v>
      </c>
      <c r="O2030" s="1" t="s">
        <v>353</v>
      </c>
    </row>
    <row r="2031" spans="1:15" ht="90" x14ac:dyDescent="0.25">
      <c r="A2031" s="1" t="s">
        <v>1266</v>
      </c>
      <c r="B2031" s="1"/>
      <c r="C2031" s="1" t="s">
        <v>719</v>
      </c>
      <c r="D2031" s="1">
        <v>120977</v>
      </c>
      <c r="E2031" s="1">
        <v>324</v>
      </c>
      <c r="F2031" s="1" t="s">
        <v>3006</v>
      </c>
      <c r="G2031" s="1" t="s">
        <v>3003</v>
      </c>
      <c r="H2031" s="1" t="s">
        <v>141</v>
      </c>
      <c r="I2031" s="1" t="s">
        <v>65</v>
      </c>
      <c r="J2031" s="1">
        <v>3</v>
      </c>
      <c r="K2031" s="1" t="s">
        <v>142</v>
      </c>
      <c r="L2031" s="1" t="s">
        <v>153</v>
      </c>
      <c r="M2031" s="1" t="s">
        <v>1256</v>
      </c>
      <c r="N2031" s="1" t="str">
        <f>HYPERLINK("https://klocwork.india.ti.com:443/review/insight-review.html#issuedetails_goto:problemid=120977,project=MCU_PLUS_SDK_AM263X,searchquery=taxonomy:'C and C++' build:Build_Apr_13_2023_11_11_AM grouping:off ","KW Issue Link")</f>
        <v>KW Issue Link</v>
      </c>
      <c r="O2031" s="1" t="s">
        <v>353</v>
      </c>
    </row>
    <row r="2032" spans="1:15" ht="90" x14ac:dyDescent="0.25">
      <c r="A2032" s="1" t="s">
        <v>1266</v>
      </c>
      <c r="B2032" s="1"/>
      <c r="C2032" s="1" t="s">
        <v>719</v>
      </c>
      <c r="D2032" s="1">
        <v>120978</v>
      </c>
      <c r="E2032" s="1">
        <v>477</v>
      </c>
      <c r="F2032" s="1" t="s">
        <v>3007</v>
      </c>
      <c r="G2032" s="1" t="s">
        <v>721</v>
      </c>
      <c r="H2032" s="1" t="s">
        <v>141</v>
      </c>
      <c r="I2032" s="1" t="s">
        <v>65</v>
      </c>
      <c r="J2032" s="1">
        <v>3</v>
      </c>
      <c r="K2032" s="1" t="s">
        <v>142</v>
      </c>
      <c r="L2032" s="1" t="s">
        <v>153</v>
      </c>
      <c r="M2032" s="1" t="s">
        <v>1256</v>
      </c>
      <c r="N2032" s="1" t="str">
        <f>HYPERLINK("https://klocwork.india.ti.com:443/review/insight-review.html#issuedetails_goto:problemid=120978,project=MCU_PLUS_SDK_AM263X,searchquery=taxonomy:'C and C++' build:Build_Apr_13_2023_11_11_AM grouping:off ","KW Issue Link")</f>
        <v>KW Issue Link</v>
      </c>
      <c r="O2032" s="1" t="s">
        <v>353</v>
      </c>
    </row>
    <row r="2033" spans="1:15" ht="90" x14ac:dyDescent="0.25">
      <c r="A2033" s="1" t="s">
        <v>1266</v>
      </c>
      <c r="B2033" s="1"/>
      <c r="C2033" s="1" t="s">
        <v>719</v>
      </c>
      <c r="D2033" s="1">
        <v>120979</v>
      </c>
      <c r="E2033" s="1">
        <v>532</v>
      </c>
      <c r="F2033" s="1" t="s">
        <v>3008</v>
      </c>
      <c r="G2033" s="1" t="s">
        <v>3009</v>
      </c>
      <c r="H2033" s="1" t="s">
        <v>141</v>
      </c>
      <c r="I2033" s="1" t="s">
        <v>65</v>
      </c>
      <c r="J2033" s="1">
        <v>3</v>
      </c>
      <c r="K2033" s="1" t="s">
        <v>142</v>
      </c>
      <c r="L2033" s="1" t="s">
        <v>153</v>
      </c>
      <c r="M2033" s="1" t="s">
        <v>1256</v>
      </c>
      <c r="N2033" s="1" t="str">
        <f>HYPERLINK("https://klocwork.india.ti.com:443/review/insight-review.html#issuedetails_goto:problemid=120979,project=MCU_PLUS_SDK_AM263X,searchquery=taxonomy:'C and C++' build:Build_Apr_13_2023_11_11_AM grouping:off ","KW Issue Link")</f>
        <v>KW Issue Link</v>
      </c>
      <c r="O2033" s="1" t="s">
        <v>353</v>
      </c>
    </row>
    <row r="2034" spans="1:15" ht="90" x14ac:dyDescent="0.25">
      <c r="A2034" s="1" t="s">
        <v>1268</v>
      </c>
      <c r="B2034" s="1"/>
      <c r="C2034" s="1" t="s">
        <v>719</v>
      </c>
      <c r="D2034" s="1">
        <v>120980</v>
      </c>
      <c r="E2034" s="1">
        <v>67</v>
      </c>
      <c r="F2034" s="1" t="s">
        <v>3010</v>
      </c>
      <c r="G2034" s="1" t="s">
        <v>3001</v>
      </c>
      <c r="H2034" s="1" t="s">
        <v>141</v>
      </c>
      <c r="I2034" s="1" t="s">
        <v>65</v>
      </c>
      <c r="J2034" s="1">
        <v>3</v>
      </c>
      <c r="K2034" s="1" t="s">
        <v>142</v>
      </c>
      <c r="L2034" s="1" t="s">
        <v>153</v>
      </c>
      <c r="M2034" s="1" t="s">
        <v>1256</v>
      </c>
      <c r="N2034" s="1" t="str">
        <f>HYPERLINK("https://klocwork.india.ti.com:443/review/insight-review.html#issuedetails_goto:problemid=120980,project=MCU_PLUS_SDK_AM263X,searchquery=taxonomy:'C and C++' build:Build_Apr_13_2023_11_11_AM grouping:off ","KW Issue Link")</f>
        <v>KW Issue Link</v>
      </c>
      <c r="O2034" s="1" t="s">
        <v>353</v>
      </c>
    </row>
    <row r="2035" spans="1:15" ht="90" x14ac:dyDescent="0.25">
      <c r="A2035" s="1" t="s">
        <v>1268</v>
      </c>
      <c r="B2035" s="1"/>
      <c r="C2035" s="1" t="s">
        <v>719</v>
      </c>
      <c r="D2035" s="1">
        <v>120981</v>
      </c>
      <c r="E2035" s="1">
        <v>324</v>
      </c>
      <c r="F2035" s="1" t="s">
        <v>3011</v>
      </c>
      <c r="G2035" s="1" t="s">
        <v>3003</v>
      </c>
      <c r="H2035" s="1" t="s">
        <v>141</v>
      </c>
      <c r="I2035" s="1" t="s">
        <v>65</v>
      </c>
      <c r="J2035" s="1">
        <v>3</v>
      </c>
      <c r="K2035" s="1" t="s">
        <v>142</v>
      </c>
      <c r="L2035" s="1" t="s">
        <v>153</v>
      </c>
      <c r="M2035" s="1" t="s">
        <v>1256</v>
      </c>
      <c r="N2035" s="1" t="str">
        <f>HYPERLINK("https://klocwork.india.ti.com:443/review/insight-review.html#issuedetails_goto:problemid=120981,project=MCU_PLUS_SDK_AM263X,searchquery=taxonomy:'C and C++' build:Build_Apr_13_2023_11_11_AM grouping:off ","KW Issue Link")</f>
        <v>KW Issue Link</v>
      </c>
      <c r="O2035" s="1" t="s">
        <v>353</v>
      </c>
    </row>
    <row r="2036" spans="1:15" ht="90" x14ac:dyDescent="0.25">
      <c r="A2036" s="1" t="s">
        <v>1268</v>
      </c>
      <c r="B2036" s="1"/>
      <c r="C2036" s="1" t="s">
        <v>719</v>
      </c>
      <c r="D2036" s="1">
        <v>120982</v>
      </c>
      <c r="E2036" s="1">
        <v>477</v>
      </c>
      <c r="F2036" s="1" t="s">
        <v>3012</v>
      </c>
      <c r="G2036" s="1" t="s">
        <v>721</v>
      </c>
      <c r="H2036" s="1" t="s">
        <v>141</v>
      </c>
      <c r="I2036" s="1" t="s">
        <v>65</v>
      </c>
      <c r="J2036" s="1">
        <v>3</v>
      </c>
      <c r="K2036" s="1" t="s">
        <v>142</v>
      </c>
      <c r="L2036" s="1" t="s">
        <v>153</v>
      </c>
      <c r="M2036" s="1" t="s">
        <v>1256</v>
      </c>
      <c r="N2036" s="1" t="str">
        <f>HYPERLINK("https://klocwork.india.ti.com:443/review/insight-review.html#issuedetails_goto:problemid=120982,project=MCU_PLUS_SDK_AM263X,searchquery=taxonomy:'C and C++' build:Build_Apr_13_2023_11_11_AM grouping:off ","KW Issue Link")</f>
        <v>KW Issue Link</v>
      </c>
      <c r="O2036" s="1" t="s">
        <v>353</v>
      </c>
    </row>
    <row r="2037" spans="1:15" ht="90" x14ac:dyDescent="0.25">
      <c r="A2037" s="1" t="s">
        <v>1268</v>
      </c>
      <c r="B2037" s="1"/>
      <c r="C2037" s="1" t="s">
        <v>719</v>
      </c>
      <c r="D2037" s="1">
        <v>120983</v>
      </c>
      <c r="E2037" s="1">
        <v>532</v>
      </c>
      <c r="F2037" s="1" t="s">
        <v>3013</v>
      </c>
      <c r="G2037" s="1" t="s">
        <v>3009</v>
      </c>
      <c r="H2037" s="1" t="s">
        <v>141</v>
      </c>
      <c r="I2037" s="1" t="s">
        <v>65</v>
      </c>
      <c r="J2037" s="1">
        <v>3</v>
      </c>
      <c r="K2037" s="1" t="s">
        <v>142</v>
      </c>
      <c r="L2037" s="1" t="s">
        <v>153</v>
      </c>
      <c r="M2037" s="1" t="s">
        <v>1256</v>
      </c>
      <c r="N2037" s="1" t="str">
        <f>HYPERLINK("https://klocwork.india.ti.com:443/review/insight-review.html#issuedetails_goto:problemid=120983,project=MCU_PLUS_SDK_AM263X,searchquery=taxonomy:'C and C++' build:Build_Apr_13_2023_11_11_AM grouping:off ","KW Issue Link")</f>
        <v>KW Issue Link</v>
      </c>
      <c r="O2037" s="1" t="s">
        <v>353</v>
      </c>
    </row>
    <row r="2038" spans="1:15" ht="60" x14ac:dyDescent="0.25">
      <c r="A2038" s="1" t="s">
        <v>1257</v>
      </c>
      <c r="B2038" s="1"/>
      <c r="C2038" s="1" t="s">
        <v>722</v>
      </c>
      <c r="D2038" s="1">
        <v>120984</v>
      </c>
      <c r="E2038" s="1">
        <v>411</v>
      </c>
      <c r="F2038" s="1" t="s">
        <v>3014</v>
      </c>
      <c r="G2038" s="1" t="s">
        <v>3015</v>
      </c>
      <c r="H2038" s="1" t="s">
        <v>141</v>
      </c>
      <c r="I2038" s="1" t="s">
        <v>65</v>
      </c>
      <c r="J2038" s="1">
        <v>3</v>
      </c>
      <c r="K2038" s="1" t="s">
        <v>142</v>
      </c>
      <c r="L2038" s="1" t="s">
        <v>153</v>
      </c>
      <c r="M2038" s="1" t="s">
        <v>1256</v>
      </c>
      <c r="N2038" s="1" t="str">
        <f>HYPERLINK("https://klocwork.india.ti.com:443/review/insight-review.html#issuedetails_goto:problemid=120984,project=MCU_PLUS_SDK_AM263X,searchquery=taxonomy:'C and C++' build:Build_Apr_13_2023_11_11_AM grouping:off ","KW Issue Link")</f>
        <v>KW Issue Link</v>
      </c>
      <c r="O2038" s="1" t="s">
        <v>291</v>
      </c>
    </row>
    <row r="2039" spans="1:15" ht="60" x14ac:dyDescent="0.25">
      <c r="A2039" s="1" t="s">
        <v>1257</v>
      </c>
      <c r="B2039" s="1"/>
      <c r="C2039" s="1" t="s">
        <v>722</v>
      </c>
      <c r="D2039" s="1">
        <v>120985</v>
      </c>
      <c r="E2039" s="1">
        <v>479</v>
      </c>
      <c r="F2039" s="1" t="s">
        <v>3016</v>
      </c>
      <c r="G2039" s="1" t="s">
        <v>3017</v>
      </c>
      <c r="H2039" s="1" t="s">
        <v>141</v>
      </c>
      <c r="I2039" s="1" t="s">
        <v>65</v>
      </c>
      <c r="J2039" s="1">
        <v>3</v>
      </c>
      <c r="K2039" s="1" t="s">
        <v>142</v>
      </c>
      <c r="L2039" s="1" t="s">
        <v>153</v>
      </c>
      <c r="M2039" s="1" t="s">
        <v>1256</v>
      </c>
      <c r="N2039" s="1" t="str">
        <f>HYPERLINK("https://klocwork.india.ti.com:443/review/insight-review.html#issuedetails_goto:problemid=120985,project=MCU_PLUS_SDK_AM263X,searchquery=taxonomy:'C and C++' build:Build_Apr_13_2023_11_11_AM grouping:off ","KW Issue Link")</f>
        <v>KW Issue Link</v>
      </c>
      <c r="O2039" s="1" t="s">
        <v>291</v>
      </c>
    </row>
    <row r="2040" spans="1:15" ht="60" x14ac:dyDescent="0.25">
      <c r="A2040" s="1" t="s">
        <v>1257</v>
      </c>
      <c r="B2040" s="1"/>
      <c r="C2040" s="1" t="s">
        <v>722</v>
      </c>
      <c r="D2040" s="1">
        <v>120986</v>
      </c>
      <c r="E2040" s="1">
        <v>501</v>
      </c>
      <c r="F2040" s="1" t="s">
        <v>3018</v>
      </c>
      <c r="G2040" s="1" t="s">
        <v>3019</v>
      </c>
      <c r="H2040" s="1" t="s">
        <v>141</v>
      </c>
      <c r="I2040" s="1" t="s">
        <v>65</v>
      </c>
      <c r="J2040" s="1">
        <v>3</v>
      </c>
      <c r="K2040" s="1" t="s">
        <v>142</v>
      </c>
      <c r="L2040" s="1" t="s">
        <v>153</v>
      </c>
      <c r="M2040" s="1" t="s">
        <v>1256</v>
      </c>
      <c r="N2040" s="1" t="str">
        <f>HYPERLINK("https://klocwork.india.ti.com:443/review/insight-review.html#issuedetails_goto:problemid=120986,project=MCU_PLUS_SDK_AM263X,searchquery=taxonomy:'C and C++' build:Build_Apr_13_2023_11_11_AM grouping:off ","KW Issue Link")</f>
        <v>KW Issue Link</v>
      </c>
      <c r="O2040" s="1" t="s">
        <v>291</v>
      </c>
    </row>
    <row r="2041" spans="1:15" ht="60" x14ac:dyDescent="0.25">
      <c r="A2041" s="1" t="s">
        <v>1257</v>
      </c>
      <c r="B2041" s="1"/>
      <c r="C2041" s="1" t="s">
        <v>722</v>
      </c>
      <c r="D2041" s="1">
        <v>120987</v>
      </c>
      <c r="E2041" s="1">
        <v>620</v>
      </c>
      <c r="F2041" s="1" t="s">
        <v>3020</v>
      </c>
      <c r="G2041" s="1" t="s">
        <v>744</v>
      </c>
      <c r="H2041" s="1" t="s">
        <v>141</v>
      </c>
      <c r="I2041" s="1" t="s">
        <v>65</v>
      </c>
      <c r="J2041" s="1">
        <v>3</v>
      </c>
      <c r="K2041" s="1" t="s">
        <v>142</v>
      </c>
      <c r="L2041" s="1" t="s">
        <v>153</v>
      </c>
      <c r="M2041" s="1" t="s">
        <v>1256</v>
      </c>
      <c r="N2041" s="1" t="str">
        <f>HYPERLINK("https://klocwork.india.ti.com:443/review/insight-review.html#issuedetails_goto:problemid=120987,project=MCU_PLUS_SDK_AM263X,searchquery=taxonomy:'C and C++' build:Build_Apr_13_2023_11_11_AM grouping:off ","KW Issue Link")</f>
        <v>KW Issue Link</v>
      </c>
      <c r="O2041" s="1" t="s">
        <v>291</v>
      </c>
    </row>
    <row r="2042" spans="1:15" ht="60" x14ac:dyDescent="0.25">
      <c r="A2042" s="1" t="s">
        <v>1257</v>
      </c>
      <c r="B2042" s="1"/>
      <c r="C2042" s="1" t="s">
        <v>722</v>
      </c>
      <c r="D2042" s="1">
        <v>120988</v>
      </c>
      <c r="E2042" s="1">
        <v>718</v>
      </c>
      <c r="F2042" s="1" t="s">
        <v>3021</v>
      </c>
      <c r="G2042" s="1" t="s">
        <v>726</v>
      </c>
      <c r="H2042" s="1" t="s">
        <v>141</v>
      </c>
      <c r="I2042" s="1" t="s">
        <v>65</v>
      </c>
      <c r="J2042" s="1">
        <v>3</v>
      </c>
      <c r="K2042" s="1" t="s">
        <v>142</v>
      </c>
      <c r="L2042" s="1" t="s">
        <v>153</v>
      </c>
      <c r="M2042" s="1" t="s">
        <v>1256</v>
      </c>
      <c r="N2042" s="1" t="str">
        <f>HYPERLINK("https://klocwork.india.ti.com:443/review/insight-review.html#issuedetails_goto:problemid=120988,project=MCU_PLUS_SDK_AM263X,searchquery=taxonomy:'C and C++' build:Build_Apr_13_2023_11_11_AM grouping:off ","KW Issue Link")</f>
        <v>KW Issue Link</v>
      </c>
      <c r="O2042" s="1" t="s">
        <v>291</v>
      </c>
    </row>
    <row r="2043" spans="1:15" ht="60" x14ac:dyDescent="0.25">
      <c r="A2043" s="1" t="s">
        <v>1257</v>
      </c>
      <c r="B2043" s="1"/>
      <c r="C2043" s="1" t="s">
        <v>722</v>
      </c>
      <c r="D2043" s="1">
        <v>120989</v>
      </c>
      <c r="E2043" s="1">
        <v>772</v>
      </c>
      <c r="F2043" s="1" t="s">
        <v>3022</v>
      </c>
      <c r="G2043" s="1" t="s">
        <v>3023</v>
      </c>
      <c r="H2043" s="1" t="s">
        <v>141</v>
      </c>
      <c r="I2043" s="1" t="s">
        <v>65</v>
      </c>
      <c r="J2043" s="1">
        <v>3</v>
      </c>
      <c r="K2043" s="1" t="s">
        <v>142</v>
      </c>
      <c r="L2043" s="1" t="s">
        <v>153</v>
      </c>
      <c r="M2043" s="1" t="s">
        <v>1256</v>
      </c>
      <c r="N2043" s="1" t="str">
        <f>HYPERLINK("https://klocwork.india.ti.com:443/review/insight-review.html#issuedetails_goto:problemid=120989,project=MCU_PLUS_SDK_AM263X,searchquery=taxonomy:'C and C++' build:Build_Apr_13_2023_11_11_AM grouping:off ","KW Issue Link")</f>
        <v>KW Issue Link</v>
      </c>
      <c r="O2043" s="1" t="s">
        <v>291</v>
      </c>
    </row>
    <row r="2044" spans="1:15" ht="60" x14ac:dyDescent="0.25">
      <c r="A2044" s="1" t="s">
        <v>1257</v>
      </c>
      <c r="B2044" s="1"/>
      <c r="C2044" s="1" t="s">
        <v>722</v>
      </c>
      <c r="D2044" s="1">
        <v>120990</v>
      </c>
      <c r="E2044" s="1">
        <v>813</v>
      </c>
      <c r="F2044" s="1" t="s">
        <v>3024</v>
      </c>
      <c r="G2044" s="1" t="s">
        <v>747</v>
      </c>
      <c r="H2044" s="1" t="s">
        <v>141</v>
      </c>
      <c r="I2044" s="1" t="s">
        <v>65</v>
      </c>
      <c r="J2044" s="1">
        <v>3</v>
      </c>
      <c r="K2044" s="1" t="s">
        <v>142</v>
      </c>
      <c r="L2044" s="1" t="s">
        <v>153</v>
      </c>
      <c r="M2044" s="1" t="s">
        <v>1256</v>
      </c>
      <c r="N2044" s="1" t="str">
        <f>HYPERLINK("https://klocwork.india.ti.com:443/review/insight-review.html#issuedetails_goto:problemid=120990,project=MCU_PLUS_SDK_AM263X,searchquery=taxonomy:'C and C++' build:Build_Apr_13_2023_11_11_AM grouping:off ","KW Issue Link")</f>
        <v>KW Issue Link</v>
      </c>
      <c r="O2044" s="1" t="s">
        <v>291</v>
      </c>
    </row>
    <row r="2045" spans="1:15" ht="60" x14ac:dyDescent="0.25">
      <c r="A2045" s="1" t="s">
        <v>1257</v>
      </c>
      <c r="B2045" s="1"/>
      <c r="C2045" s="1" t="s">
        <v>722</v>
      </c>
      <c r="D2045" s="1">
        <v>120991</v>
      </c>
      <c r="E2045" s="1">
        <v>881</v>
      </c>
      <c r="F2045" s="1" t="s">
        <v>3025</v>
      </c>
      <c r="G2045" s="1" t="s">
        <v>3026</v>
      </c>
      <c r="H2045" s="1" t="s">
        <v>141</v>
      </c>
      <c r="I2045" s="1" t="s">
        <v>65</v>
      </c>
      <c r="J2045" s="1">
        <v>3</v>
      </c>
      <c r="K2045" s="1" t="s">
        <v>142</v>
      </c>
      <c r="L2045" s="1" t="s">
        <v>153</v>
      </c>
      <c r="M2045" s="1" t="s">
        <v>1256</v>
      </c>
      <c r="N2045" s="1" t="str">
        <f>HYPERLINK("https://klocwork.india.ti.com:443/review/insight-review.html#issuedetails_goto:problemid=120991,project=MCU_PLUS_SDK_AM263X,searchquery=taxonomy:'C and C++' build:Build_Apr_13_2023_11_11_AM grouping:off ","KW Issue Link")</f>
        <v>KW Issue Link</v>
      </c>
      <c r="O2045" s="1" t="s">
        <v>291</v>
      </c>
    </row>
    <row r="2046" spans="1:15" ht="60" x14ac:dyDescent="0.25">
      <c r="A2046" s="1" t="s">
        <v>1257</v>
      </c>
      <c r="B2046" s="1"/>
      <c r="C2046" s="1" t="s">
        <v>722</v>
      </c>
      <c r="D2046" s="1">
        <v>120992</v>
      </c>
      <c r="E2046" s="1">
        <v>920</v>
      </c>
      <c r="F2046" s="1" t="s">
        <v>3027</v>
      </c>
      <c r="G2046" s="1" t="s">
        <v>754</v>
      </c>
      <c r="H2046" s="1" t="s">
        <v>141</v>
      </c>
      <c r="I2046" s="1" t="s">
        <v>65</v>
      </c>
      <c r="J2046" s="1">
        <v>3</v>
      </c>
      <c r="K2046" s="1" t="s">
        <v>142</v>
      </c>
      <c r="L2046" s="1" t="s">
        <v>153</v>
      </c>
      <c r="M2046" s="1" t="s">
        <v>1256</v>
      </c>
      <c r="N2046" s="1" t="str">
        <f>HYPERLINK("https://klocwork.india.ti.com:443/review/insight-review.html#issuedetails_goto:problemid=120992,project=MCU_PLUS_SDK_AM263X,searchquery=taxonomy:'C and C++' build:Build_Apr_13_2023_11_11_AM grouping:off ","KW Issue Link")</f>
        <v>KW Issue Link</v>
      </c>
      <c r="O2046" s="1" t="s">
        <v>291</v>
      </c>
    </row>
    <row r="2047" spans="1:15" ht="60" x14ac:dyDescent="0.25">
      <c r="A2047" s="1" t="s">
        <v>1257</v>
      </c>
      <c r="B2047" s="1"/>
      <c r="C2047" s="1" t="s">
        <v>722</v>
      </c>
      <c r="D2047" s="1">
        <v>120994</v>
      </c>
      <c r="E2047" s="1">
        <v>1056</v>
      </c>
      <c r="F2047" s="1" t="s">
        <v>3028</v>
      </c>
      <c r="G2047" s="1" t="s">
        <v>735</v>
      </c>
      <c r="H2047" s="1" t="s">
        <v>141</v>
      </c>
      <c r="I2047" s="1" t="s">
        <v>65</v>
      </c>
      <c r="J2047" s="1">
        <v>3</v>
      </c>
      <c r="K2047" s="1" t="s">
        <v>142</v>
      </c>
      <c r="L2047" s="1" t="s">
        <v>153</v>
      </c>
      <c r="M2047" s="1" t="s">
        <v>1256</v>
      </c>
      <c r="N2047" s="1" t="str">
        <f>HYPERLINK("https://klocwork.india.ti.com:443/review/insight-review.html#issuedetails_goto:problemid=120994,project=MCU_PLUS_SDK_AM263X,searchquery=taxonomy:'C and C++' build:Build_Apr_13_2023_11_11_AM grouping:off ","KW Issue Link")</f>
        <v>KW Issue Link</v>
      </c>
      <c r="O2047" s="1" t="s">
        <v>291</v>
      </c>
    </row>
    <row r="2048" spans="1:15" ht="60" x14ac:dyDescent="0.25">
      <c r="A2048" s="1" t="s">
        <v>1257</v>
      </c>
      <c r="B2048" s="1"/>
      <c r="C2048" s="1" t="s">
        <v>722</v>
      </c>
      <c r="D2048" s="1">
        <v>120995</v>
      </c>
      <c r="E2048" s="1">
        <v>1088</v>
      </c>
      <c r="F2048" s="1" t="s">
        <v>3029</v>
      </c>
      <c r="G2048" s="1" t="s">
        <v>738</v>
      </c>
      <c r="H2048" s="1" t="s">
        <v>141</v>
      </c>
      <c r="I2048" s="1" t="s">
        <v>65</v>
      </c>
      <c r="J2048" s="1">
        <v>3</v>
      </c>
      <c r="K2048" s="1" t="s">
        <v>142</v>
      </c>
      <c r="L2048" s="1" t="s">
        <v>153</v>
      </c>
      <c r="M2048" s="1" t="s">
        <v>1256</v>
      </c>
      <c r="N2048" s="1" t="str">
        <f>HYPERLINK("https://klocwork.india.ti.com:443/review/insight-review.html#issuedetails_goto:problemid=120995,project=MCU_PLUS_SDK_AM263X,searchquery=taxonomy:'C and C++' build:Build_Apr_13_2023_11_11_AM grouping:off ","KW Issue Link")</f>
        <v>KW Issue Link</v>
      </c>
      <c r="O2048" s="1" t="s">
        <v>291</v>
      </c>
    </row>
    <row r="2049" spans="1:15" ht="60" x14ac:dyDescent="0.25">
      <c r="A2049" s="1" t="s">
        <v>1257</v>
      </c>
      <c r="B2049" s="1"/>
      <c r="C2049" s="1" t="s">
        <v>722</v>
      </c>
      <c r="D2049" s="1">
        <v>120996</v>
      </c>
      <c r="E2049" s="1">
        <v>1199</v>
      </c>
      <c r="F2049" s="1" t="s">
        <v>3030</v>
      </c>
      <c r="G2049" s="1" t="s">
        <v>3031</v>
      </c>
      <c r="H2049" s="1" t="s">
        <v>141</v>
      </c>
      <c r="I2049" s="1" t="s">
        <v>65</v>
      </c>
      <c r="J2049" s="1">
        <v>3</v>
      </c>
      <c r="K2049" s="1" t="s">
        <v>142</v>
      </c>
      <c r="L2049" s="1" t="s">
        <v>153</v>
      </c>
      <c r="M2049" s="1" t="s">
        <v>1256</v>
      </c>
      <c r="N2049" s="1" t="str">
        <f>HYPERLINK("https://klocwork.india.ti.com:443/review/insight-review.html#issuedetails_goto:problemid=120996,project=MCU_PLUS_SDK_AM263X,searchquery=taxonomy:'C and C++' build:Build_Apr_13_2023_11_11_AM grouping:off ","KW Issue Link")</f>
        <v>KW Issue Link</v>
      </c>
      <c r="O2049" s="1" t="s">
        <v>291</v>
      </c>
    </row>
    <row r="2050" spans="1:15" ht="60" x14ac:dyDescent="0.25">
      <c r="A2050" s="1" t="s">
        <v>1257</v>
      </c>
      <c r="B2050" s="1"/>
      <c r="C2050" s="1" t="s">
        <v>722</v>
      </c>
      <c r="D2050" s="1">
        <v>120997</v>
      </c>
      <c r="E2050" s="1">
        <v>1281</v>
      </c>
      <c r="F2050" s="1" t="s">
        <v>3032</v>
      </c>
      <c r="G2050" s="1" t="s">
        <v>3033</v>
      </c>
      <c r="H2050" s="1" t="s">
        <v>141</v>
      </c>
      <c r="I2050" s="1" t="s">
        <v>65</v>
      </c>
      <c r="J2050" s="1">
        <v>3</v>
      </c>
      <c r="K2050" s="1" t="s">
        <v>142</v>
      </c>
      <c r="L2050" s="1" t="s">
        <v>153</v>
      </c>
      <c r="M2050" s="1" t="s">
        <v>1256</v>
      </c>
      <c r="N2050" s="1" t="str">
        <f>HYPERLINK("https://klocwork.india.ti.com:443/review/insight-review.html#issuedetails_goto:problemid=120997,project=MCU_PLUS_SDK_AM263X,searchquery=taxonomy:'C and C++' build:Build_Apr_13_2023_11_11_AM grouping:off ","KW Issue Link")</f>
        <v>KW Issue Link</v>
      </c>
      <c r="O2050" s="1" t="s">
        <v>291</v>
      </c>
    </row>
    <row r="2051" spans="1:15" ht="60" x14ac:dyDescent="0.25">
      <c r="A2051" s="1" t="s">
        <v>1257</v>
      </c>
      <c r="B2051" s="1"/>
      <c r="C2051" s="1" t="s">
        <v>722</v>
      </c>
      <c r="D2051" s="1">
        <v>120998</v>
      </c>
      <c r="E2051" s="1">
        <v>1382</v>
      </c>
      <c r="F2051" s="1" t="s">
        <v>3034</v>
      </c>
      <c r="G2051" s="1" t="s">
        <v>3035</v>
      </c>
      <c r="H2051" s="1" t="s">
        <v>141</v>
      </c>
      <c r="I2051" s="1" t="s">
        <v>65</v>
      </c>
      <c r="J2051" s="1">
        <v>3</v>
      </c>
      <c r="K2051" s="1" t="s">
        <v>142</v>
      </c>
      <c r="L2051" s="1" t="s">
        <v>153</v>
      </c>
      <c r="M2051" s="1" t="s">
        <v>1256</v>
      </c>
      <c r="N2051" s="1" t="str">
        <f>HYPERLINK("https://klocwork.india.ti.com:443/review/insight-review.html#issuedetails_goto:problemid=120998,project=MCU_PLUS_SDK_AM263X,searchquery=taxonomy:'C and C++' build:Build_Apr_13_2023_11_11_AM grouping:off ","KW Issue Link")</f>
        <v>KW Issue Link</v>
      </c>
      <c r="O2051" s="1" t="s">
        <v>291</v>
      </c>
    </row>
    <row r="2052" spans="1:15" ht="60" x14ac:dyDescent="0.25">
      <c r="A2052" s="1" t="s">
        <v>1257</v>
      </c>
      <c r="B2052" s="1"/>
      <c r="C2052" s="1" t="s">
        <v>722</v>
      </c>
      <c r="D2052" s="1">
        <v>120999</v>
      </c>
      <c r="E2052" s="1">
        <v>1422</v>
      </c>
      <c r="F2052" s="1" t="s">
        <v>3036</v>
      </c>
      <c r="G2052" s="1" t="s">
        <v>3037</v>
      </c>
      <c r="H2052" s="1" t="s">
        <v>141</v>
      </c>
      <c r="I2052" s="1" t="s">
        <v>65</v>
      </c>
      <c r="J2052" s="1">
        <v>3</v>
      </c>
      <c r="K2052" s="1" t="s">
        <v>142</v>
      </c>
      <c r="L2052" s="1" t="s">
        <v>153</v>
      </c>
      <c r="M2052" s="1" t="s">
        <v>1256</v>
      </c>
      <c r="N2052" s="1" t="str">
        <f>HYPERLINK("https://klocwork.india.ti.com:443/review/insight-review.html#issuedetails_goto:problemid=120999,project=MCU_PLUS_SDK_AM263X,searchquery=taxonomy:'C and C++' build:Build_Apr_13_2023_11_11_AM grouping:off ","KW Issue Link")</f>
        <v>KW Issue Link</v>
      </c>
      <c r="O2052" s="1" t="s">
        <v>291</v>
      </c>
    </row>
    <row r="2053" spans="1:15" ht="60" x14ac:dyDescent="0.25">
      <c r="A2053" s="1" t="s">
        <v>1257</v>
      </c>
      <c r="B2053" s="1"/>
      <c r="C2053" s="1" t="s">
        <v>722</v>
      </c>
      <c r="D2053" s="1">
        <v>121000</v>
      </c>
      <c r="E2053" s="1">
        <v>1585</v>
      </c>
      <c r="F2053" s="1" t="s">
        <v>3038</v>
      </c>
      <c r="G2053" s="1" t="s">
        <v>3039</v>
      </c>
      <c r="H2053" s="1" t="s">
        <v>141</v>
      </c>
      <c r="I2053" s="1" t="s">
        <v>65</v>
      </c>
      <c r="J2053" s="1">
        <v>3</v>
      </c>
      <c r="K2053" s="1" t="s">
        <v>142</v>
      </c>
      <c r="L2053" s="1" t="s">
        <v>153</v>
      </c>
      <c r="M2053" s="1" t="s">
        <v>1256</v>
      </c>
      <c r="N2053" s="1" t="str">
        <f>HYPERLINK("https://klocwork.india.ti.com:443/review/insight-review.html#issuedetails_goto:problemid=121000,project=MCU_PLUS_SDK_AM263X,searchquery=taxonomy:'C and C++' build:Build_Apr_13_2023_11_11_AM grouping:off ","KW Issue Link")</f>
        <v>KW Issue Link</v>
      </c>
      <c r="O2053" s="1" t="s">
        <v>291</v>
      </c>
    </row>
    <row r="2054" spans="1:15" ht="60" x14ac:dyDescent="0.25">
      <c r="A2054" s="1" t="s">
        <v>1257</v>
      </c>
      <c r="B2054" s="1"/>
      <c r="C2054" s="1" t="s">
        <v>722</v>
      </c>
      <c r="D2054" s="1">
        <v>121001</v>
      </c>
      <c r="E2054" s="1">
        <v>1685</v>
      </c>
      <c r="F2054" s="1" t="s">
        <v>3040</v>
      </c>
      <c r="G2054" s="1" t="s">
        <v>748</v>
      </c>
      <c r="H2054" s="1" t="s">
        <v>141</v>
      </c>
      <c r="I2054" s="1" t="s">
        <v>65</v>
      </c>
      <c r="J2054" s="1">
        <v>3</v>
      </c>
      <c r="K2054" s="1" t="s">
        <v>142</v>
      </c>
      <c r="L2054" s="1" t="s">
        <v>153</v>
      </c>
      <c r="M2054" s="1" t="s">
        <v>1256</v>
      </c>
      <c r="N2054" s="1" t="str">
        <f>HYPERLINK("https://klocwork.india.ti.com:443/review/insight-review.html#issuedetails_goto:problemid=121001,project=MCU_PLUS_SDK_AM263X,searchquery=taxonomy:'C and C++' build:Build_Apr_13_2023_11_11_AM grouping:off ","KW Issue Link")</f>
        <v>KW Issue Link</v>
      </c>
      <c r="O2054" s="1" t="s">
        <v>291</v>
      </c>
    </row>
    <row r="2055" spans="1:15" ht="60" x14ac:dyDescent="0.25">
      <c r="A2055" s="1" t="s">
        <v>1257</v>
      </c>
      <c r="B2055" s="1"/>
      <c r="C2055" s="1" t="s">
        <v>722</v>
      </c>
      <c r="D2055" s="1">
        <v>121002</v>
      </c>
      <c r="E2055" s="1">
        <v>1795</v>
      </c>
      <c r="F2055" s="1" t="s">
        <v>3041</v>
      </c>
      <c r="G2055" s="1" t="s">
        <v>760</v>
      </c>
      <c r="H2055" s="1" t="s">
        <v>141</v>
      </c>
      <c r="I2055" s="1" t="s">
        <v>65</v>
      </c>
      <c r="J2055" s="1">
        <v>3</v>
      </c>
      <c r="K2055" s="1" t="s">
        <v>142</v>
      </c>
      <c r="L2055" s="1" t="s">
        <v>153</v>
      </c>
      <c r="M2055" s="1" t="s">
        <v>1256</v>
      </c>
      <c r="N2055" s="1" t="str">
        <f>HYPERLINK("https://klocwork.india.ti.com:443/review/insight-review.html#issuedetails_goto:problemid=121002,project=MCU_PLUS_SDK_AM263X,searchquery=taxonomy:'C and C++' build:Build_Apr_13_2023_11_11_AM grouping:off ","KW Issue Link")</f>
        <v>KW Issue Link</v>
      </c>
      <c r="O2055" s="1" t="s">
        <v>291</v>
      </c>
    </row>
    <row r="2056" spans="1:15" ht="60" x14ac:dyDescent="0.25">
      <c r="A2056" s="1" t="s">
        <v>1257</v>
      </c>
      <c r="B2056" s="1"/>
      <c r="C2056" s="1" t="s">
        <v>722</v>
      </c>
      <c r="D2056" s="1">
        <v>121003</v>
      </c>
      <c r="E2056" s="1">
        <v>1835</v>
      </c>
      <c r="F2056" s="1" t="s">
        <v>3042</v>
      </c>
      <c r="G2056" s="1" t="s">
        <v>3043</v>
      </c>
      <c r="H2056" s="1" t="s">
        <v>141</v>
      </c>
      <c r="I2056" s="1" t="s">
        <v>65</v>
      </c>
      <c r="J2056" s="1">
        <v>3</v>
      </c>
      <c r="K2056" s="1" t="s">
        <v>142</v>
      </c>
      <c r="L2056" s="1" t="s">
        <v>153</v>
      </c>
      <c r="M2056" s="1" t="s">
        <v>1256</v>
      </c>
      <c r="N2056" s="1" t="str">
        <f>HYPERLINK("https://klocwork.india.ti.com:443/review/insight-review.html#issuedetails_goto:problemid=121003,project=MCU_PLUS_SDK_AM263X,searchquery=taxonomy:'C and C++' build:Build_Apr_13_2023_11_11_AM grouping:off ","KW Issue Link")</f>
        <v>KW Issue Link</v>
      </c>
      <c r="O2056" s="1" t="s">
        <v>291</v>
      </c>
    </row>
    <row r="2057" spans="1:15" ht="60" x14ac:dyDescent="0.25">
      <c r="A2057" s="1" t="s">
        <v>1257</v>
      </c>
      <c r="B2057" s="1"/>
      <c r="C2057" s="1" t="s">
        <v>722</v>
      </c>
      <c r="D2057" s="1">
        <v>121004</v>
      </c>
      <c r="E2057" s="1">
        <v>1964</v>
      </c>
      <c r="F2057" s="1" t="s">
        <v>3044</v>
      </c>
      <c r="G2057" s="1" t="s">
        <v>728</v>
      </c>
      <c r="H2057" s="1" t="s">
        <v>141</v>
      </c>
      <c r="I2057" s="1" t="s">
        <v>65</v>
      </c>
      <c r="J2057" s="1">
        <v>3</v>
      </c>
      <c r="K2057" s="1" t="s">
        <v>142</v>
      </c>
      <c r="L2057" s="1" t="s">
        <v>153</v>
      </c>
      <c r="M2057" s="1" t="s">
        <v>1256</v>
      </c>
      <c r="N2057" s="1" t="str">
        <f>HYPERLINK("https://klocwork.india.ti.com:443/review/insight-review.html#issuedetails_goto:problemid=121004,project=MCU_PLUS_SDK_AM263X,searchquery=taxonomy:'C and C++' build:Build_Apr_13_2023_11_11_AM grouping:off ","KW Issue Link")</f>
        <v>KW Issue Link</v>
      </c>
      <c r="O2057" s="1" t="s">
        <v>291</v>
      </c>
    </row>
    <row r="2058" spans="1:15" ht="60" x14ac:dyDescent="0.25">
      <c r="A2058" s="1" t="s">
        <v>1257</v>
      </c>
      <c r="B2058" s="1"/>
      <c r="C2058" s="1" t="s">
        <v>722</v>
      </c>
      <c r="D2058" s="1">
        <v>121005</v>
      </c>
      <c r="E2058" s="1">
        <v>2193</v>
      </c>
      <c r="F2058" s="1" t="s">
        <v>3045</v>
      </c>
      <c r="G2058" s="1" t="s">
        <v>729</v>
      </c>
      <c r="H2058" s="1" t="s">
        <v>141</v>
      </c>
      <c r="I2058" s="1" t="s">
        <v>65</v>
      </c>
      <c r="J2058" s="1">
        <v>3</v>
      </c>
      <c r="K2058" s="1" t="s">
        <v>142</v>
      </c>
      <c r="L2058" s="1" t="s">
        <v>153</v>
      </c>
      <c r="M2058" s="1" t="s">
        <v>1256</v>
      </c>
      <c r="N2058" s="1" t="str">
        <f>HYPERLINK("https://klocwork.india.ti.com:443/review/insight-review.html#issuedetails_goto:problemid=121005,project=MCU_PLUS_SDK_AM263X,searchquery=taxonomy:'C and C++' build:Build_Apr_13_2023_11_11_AM grouping:off ","KW Issue Link")</f>
        <v>KW Issue Link</v>
      </c>
      <c r="O2058" s="1" t="s">
        <v>291</v>
      </c>
    </row>
    <row r="2059" spans="1:15" ht="60" x14ac:dyDescent="0.25">
      <c r="A2059" s="1" t="s">
        <v>1257</v>
      </c>
      <c r="B2059" s="1"/>
      <c r="C2059" s="1" t="s">
        <v>722</v>
      </c>
      <c r="D2059" s="1">
        <v>121006</v>
      </c>
      <c r="E2059" s="1">
        <v>2319</v>
      </c>
      <c r="F2059" s="1" t="s">
        <v>3046</v>
      </c>
      <c r="G2059" s="1" t="s">
        <v>3047</v>
      </c>
      <c r="H2059" s="1" t="s">
        <v>141</v>
      </c>
      <c r="I2059" s="1" t="s">
        <v>65</v>
      </c>
      <c r="J2059" s="1">
        <v>3</v>
      </c>
      <c r="K2059" s="1" t="s">
        <v>142</v>
      </c>
      <c r="L2059" s="1" t="s">
        <v>153</v>
      </c>
      <c r="M2059" s="1" t="s">
        <v>1256</v>
      </c>
      <c r="N2059" s="1" t="str">
        <f>HYPERLINK("https://klocwork.india.ti.com:443/review/insight-review.html#issuedetails_goto:problemid=121006,project=MCU_PLUS_SDK_AM263X,searchquery=taxonomy:'C and C++' build:Build_Apr_13_2023_11_11_AM grouping:off ","KW Issue Link")</f>
        <v>KW Issue Link</v>
      </c>
      <c r="O2059" s="1" t="s">
        <v>291</v>
      </c>
    </row>
    <row r="2060" spans="1:15" ht="60" x14ac:dyDescent="0.25">
      <c r="A2060" s="1" t="s">
        <v>1257</v>
      </c>
      <c r="B2060" s="1"/>
      <c r="C2060" s="1" t="s">
        <v>722</v>
      </c>
      <c r="D2060" s="1">
        <v>121007</v>
      </c>
      <c r="E2060" s="1">
        <v>2477</v>
      </c>
      <c r="F2060" s="1" t="s">
        <v>3048</v>
      </c>
      <c r="G2060" s="1" t="s">
        <v>731</v>
      </c>
      <c r="H2060" s="1" t="s">
        <v>141</v>
      </c>
      <c r="I2060" s="1" t="s">
        <v>65</v>
      </c>
      <c r="J2060" s="1">
        <v>3</v>
      </c>
      <c r="K2060" s="1" t="s">
        <v>142</v>
      </c>
      <c r="L2060" s="1" t="s">
        <v>153</v>
      </c>
      <c r="M2060" s="1" t="s">
        <v>1256</v>
      </c>
      <c r="N2060" s="1" t="str">
        <f>HYPERLINK("https://klocwork.india.ti.com:443/review/insight-review.html#issuedetails_goto:problemid=121007,project=MCU_PLUS_SDK_AM263X,searchquery=taxonomy:'C and C++' build:Build_Apr_13_2023_11_11_AM grouping:off ","KW Issue Link")</f>
        <v>KW Issue Link</v>
      </c>
      <c r="O2060" s="1" t="s">
        <v>291</v>
      </c>
    </row>
    <row r="2061" spans="1:15" ht="60" x14ac:dyDescent="0.25">
      <c r="A2061" s="1" t="s">
        <v>1257</v>
      </c>
      <c r="B2061" s="1"/>
      <c r="C2061" s="1" t="s">
        <v>722</v>
      </c>
      <c r="D2061" s="1">
        <v>121008</v>
      </c>
      <c r="E2061" s="1">
        <v>2576</v>
      </c>
      <c r="F2061" s="1" t="s">
        <v>3049</v>
      </c>
      <c r="G2061" s="1" t="s">
        <v>3050</v>
      </c>
      <c r="H2061" s="1" t="s">
        <v>141</v>
      </c>
      <c r="I2061" s="1" t="s">
        <v>65</v>
      </c>
      <c r="J2061" s="1">
        <v>3</v>
      </c>
      <c r="K2061" s="1" t="s">
        <v>142</v>
      </c>
      <c r="L2061" s="1" t="s">
        <v>153</v>
      </c>
      <c r="M2061" s="1" t="s">
        <v>1256</v>
      </c>
      <c r="N2061" s="1" t="str">
        <f>HYPERLINK("https://klocwork.india.ti.com:443/review/insight-review.html#issuedetails_goto:problemid=121008,project=MCU_PLUS_SDK_AM263X,searchquery=taxonomy:'C and C++' build:Build_Apr_13_2023_11_11_AM grouping:off ","KW Issue Link")</f>
        <v>KW Issue Link</v>
      </c>
      <c r="O2061" s="1" t="s">
        <v>291</v>
      </c>
    </row>
    <row r="2062" spans="1:15" ht="60" x14ac:dyDescent="0.25">
      <c r="A2062" s="1" t="s">
        <v>1257</v>
      </c>
      <c r="B2062" s="1"/>
      <c r="C2062" s="1" t="s">
        <v>722</v>
      </c>
      <c r="D2062" s="1">
        <v>121009</v>
      </c>
      <c r="E2062" s="1">
        <v>2655</v>
      </c>
      <c r="F2062" s="1" t="s">
        <v>3051</v>
      </c>
      <c r="G2062" s="1" t="s">
        <v>3052</v>
      </c>
      <c r="H2062" s="1" t="s">
        <v>141</v>
      </c>
      <c r="I2062" s="1" t="s">
        <v>65</v>
      </c>
      <c r="J2062" s="1">
        <v>3</v>
      </c>
      <c r="K2062" s="1" t="s">
        <v>142</v>
      </c>
      <c r="L2062" s="1" t="s">
        <v>153</v>
      </c>
      <c r="M2062" s="1" t="s">
        <v>1256</v>
      </c>
      <c r="N2062" s="1" t="str">
        <f>HYPERLINK("https://klocwork.india.ti.com:443/review/insight-review.html#issuedetails_goto:problemid=121009,project=MCU_PLUS_SDK_AM263X,searchquery=taxonomy:'C and C++' build:Build_Apr_13_2023_11_11_AM grouping:off ","KW Issue Link")</f>
        <v>KW Issue Link</v>
      </c>
      <c r="O2062" s="1" t="s">
        <v>291</v>
      </c>
    </row>
    <row r="2063" spans="1:15" ht="60" x14ac:dyDescent="0.25">
      <c r="A2063" s="1" t="s">
        <v>1257</v>
      </c>
      <c r="B2063" s="1"/>
      <c r="C2063" s="1" t="s">
        <v>722</v>
      </c>
      <c r="D2063" s="1">
        <v>121010</v>
      </c>
      <c r="E2063" s="1">
        <v>2700</v>
      </c>
      <c r="F2063" s="1" t="s">
        <v>3053</v>
      </c>
      <c r="G2063" s="1" t="s">
        <v>3054</v>
      </c>
      <c r="H2063" s="1" t="s">
        <v>141</v>
      </c>
      <c r="I2063" s="1" t="s">
        <v>65</v>
      </c>
      <c r="J2063" s="1">
        <v>3</v>
      </c>
      <c r="K2063" s="1" t="s">
        <v>142</v>
      </c>
      <c r="L2063" s="1" t="s">
        <v>153</v>
      </c>
      <c r="M2063" s="1" t="s">
        <v>1256</v>
      </c>
      <c r="N2063" s="1" t="str">
        <f>HYPERLINK("https://klocwork.india.ti.com:443/review/insight-review.html#issuedetails_goto:problemid=121010,project=MCU_PLUS_SDK_AM263X,searchquery=taxonomy:'C and C++' build:Build_Apr_13_2023_11_11_AM grouping:off ","KW Issue Link")</f>
        <v>KW Issue Link</v>
      </c>
      <c r="O2063" s="1" t="s">
        <v>291</v>
      </c>
    </row>
    <row r="2064" spans="1:15" ht="60" x14ac:dyDescent="0.25">
      <c r="A2064" s="1" t="s">
        <v>1257</v>
      </c>
      <c r="B2064" s="1"/>
      <c r="C2064" s="1" t="s">
        <v>722</v>
      </c>
      <c r="D2064" s="1">
        <v>121011</v>
      </c>
      <c r="E2064" s="1">
        <v>2759</v>
      </c>
      <c r="F2064" s="1" t="s">
        <v>3055</v>
      </c>
      <c r="G2064" s="1" t="s">
        <v>3056</v>
      </c>
      <c r="H2064" s="1" t="s">
        <v>141</v>
      </c>
      <c r="I2064" s="1" t="s">
        <v>65</v>
      </c>
      <c r="J2064" s="1">
        <v>3</v>
      </c>
      <c r="K2064" s="1" t="s">
        <v>142</v>
      </c>
      <c r="L2064" s="1" t="s">
        <v>153</v>
      </c>
      <c r="M2064" s="1" t="s">
        <v>1256</v>
      </c>
      <c r="N2064" s="1" t="str">
        <f>HYPERLINK("https://klocwork.india.ti.com:443/review/insight-review.html#issuedetails_goto:problemid=121011,project=MCU_PLUS_SDK_AM263X,searchquery=taxonomy:'C and C++' build:Build_Apr_13_2023_11_11_AM grouping:off ","KW Issue Link")</f>
        <v>KW Issue Link</v>
      </c>
      <c r="O2064" s="1" t="s">
        <v>291</v>
      </c>
    </row>
    <row r="2065" spans="1:15" ht="60" x14ac:dyDescent="0.25">
      <c r="A2065" s="1" t="s">
        <v>1257</v>
      </c>
      <c r="B2065" s="1"/>
      <c r="C2065" s="1" t="s">
        <v>722</v>
      </c>
      <c r="D2065" s="1">
        <v>121012</v>
      </c>
      <c r="E2065" s="1">
        <v>2859</v>
      </c>
      <c r="F2065" s="1" t="s">
        <v>3057</v>
      </c>
      <c r="G2065" s="1" t="s">
        <v>3058</v>
      </c>
      <c r="H2065" s="1" t="s">
        <v>141</v>
      </c>
      <c r="I2065" s="1" t="s">
        <v>65</v>
      </c>
      <c r="J2065" s="1">
        <v>3</v>
      </c>
      <c r="K2065" s="1" t="s">
        <v>142</v>
      </c>
      <c r="L2065" s="1" t="s">
        <v>153</v>
      </c>
      <c r="M2065" s="1" t="s">
        <v>1256</v>
      </c>
      <c r="N2065" s="1" t="str">
        <f>HYPERLINK("https://klocwork.india.ti.com:443/review/insight-review.html#issuedetails_goto:problemid=121012,project=MCU_PLUS_SDK_AM263X,searchquery=taxonomy:'C and C++' build:Build_Apr_13_2023_11_11_AM grouping:off ","KW Issue Link")</f>
        <v>KW Issue Link</v>
      </c>
      <c r="O2065" s="1" t="s">
        <v>291</v>
      </c>
    </row>
    <row r="2066" spans="1:15" ht="60" x14ac:dyDescent="0.25">
      <c r="A2066" s="1" t="s">
        <v>1257</v>
      </c>
      <c r="B2066" s="1"/>
      <c r="C2066" s="1" t="s">
        <v>722</v>
      </c>
      <c r="D2066" s="1">
        <v>121013</v>
      </c>
      <c r="E2066" s="1">
        <v>2882</v>
      </c>
      <c r="F2066" s="1" t="s">
        <v>3059</v>
      </c>
      <c r="G2066" s="1" t="s">
        <v>742</v>
      </c>
      <c r="H2066" s="1" t="s">
        <v>141</v>
      </c>
      <c r="I2066" s="1" t="s">
        <v>65</v>
      </c>
      <c r="J2066" s="1">
        <v>3</v>
      </c>
      <c r="K2066" s="1" t="s">
        <v>142</v>
      </c>
      <c r="L2066" s="1" t="s">
        <v>153</v>
      </c>
      <c r="M2066" s="1" t="s">
        <v>1256</v>
      </c>
      <c r="N2066" s="1" t="str">
        <f>HYPERLINK("https://klocwork.india.ti.com:443/review/insight-review.html#issuedetails_goto:problemid=121013,project=MCU_PLUS_SDK_AM263X,searchquery=taxonomy:'C and C++' build:Build_Apr_13_2023_11_11_AM grouping:off ","KW Issue Link")</f>
        <v>KW Issue Link</v>
      </c>
      <c r="O2066" s="1" t="s">
        <v>291</v>
      </c>
    </row>
    <row r="2067" spans="1:15" ht="60" x14ac:dyDescent="0.25">
      <c r="A2067" s="1" t="s">
        <v>1257</v>
      </c>
      <c r="B2067" s="1"/>
      <c r="C2067" s="1" t="s">
        <v>722</v>
      </c>
      <c r="D2067" s="1">
        <v>121014</v>
      </c>
      <c r="E2067" s="1">
        <v>3205</v>
      </c>
      <c r="F2067" s="1" t="s">
        <v>3060</v>
      </c>
      <c r="G2067" s="1" t="s">
        <v>3061</v>
      </c>
      <c r="H2067" s="1" t="s">
        <v>141</v>
      </c>
      <c r="I2067" s="1" t="s">
        <v>65</v>
      </c>
      <c r="J2067" s="1">
        <v>3</v>
      </c>
      <c r="K2067" s="1" t="s">
        <v>142</v>
      </c>
      <c r="L2067" s="1" t="s">
        <v>153</v>
      </c>
      <c r="M2067" s="1" t="s">
        <v>1256</v>
      </c>
      <c r="N2067" s="1" t="str">
        <f>HYPERLINK("https://klocwork.india.ti.com:443/review/insight-review.html#issuedetails_goto:problemid=121014,project=MCU_PLUS_SDK_AM263X,searchquery=taxonomy:'C and C++' build:Build_Apr_13_2023_11_11_AM grouping:off ","KW Issue Link")</f>
        <v>KW Issue Link</v>
      </c>
      <c r="O2067" s="1" t="s">
        <v>291</v>
      </c>
    </row>
    <row r="2068" spans="1:15" ht="60" x14ac:dyDescent="0.25">
      <c r="A2068" s="1" t="s">
        <v>1257</v>
      </c>
      <c r="B2068" s="1"/>
      <c r="C2068" s="1" t="s">
        <v>722</v>
      </c>
      <c r="D2068" s="1">
        <v>121015</v>
      </c>
      <c r="E2068" s="1">
        <v>3303</v>
      </c>
      <c r="F2068" s="1" t="s">
        <v>3062</v>
      </c>
      <c r="G2068" s="1" t="s">
        <v>749</v>
      </c>
      <c r="H2068" s="1" t="s">
        <v>141</v>
      </c>
      <c r="I2068" s="1" t="s">
        <v>65</v>
      </c>
      <c r="J2068" s="1">
        <v>3</v>
      </c>
      <c r="K2068" s="1" t="s">
        <v>142</v>
      </c>
      <c r="L2068" s="1" t="s">
        <v>153</v>
      </c>
      <c r="M2068" s="1" t="s">
        <v>1256</v>
      </c>
      <c r="N2068" s="1" t="str">
        <f>HYPERLINK("https://klocwork.india.ti.com:443/review/insight-review.html#issuedetails_goto:problemid=121015,project=MCU_PLUS_SDK_AM263X,searchquery=taxonomy:'C and C++' build:Build_Apr_13_2023_11_11_AM grouping:off ","KW Issue Link")</f>
        <v>KW Issue Link</v>
      </c>
      <c r="O2068" s="1" t="s">
        <v>291</v>
      </c>
    </row>
    <row r="2069" spans="1:15" ht="60" x14ac:dyDescent="0.25">
      <c r="A2069" s="1" t="s">
        <v>1257</v>
      </c>
      <c r="B2069" s="1"/>
      <c r="C2069" s="1" t="s">
        <v>722</v>
      </c>
      <c r="D2069" s="1">
        <v>121016</v>
      </c>
      <c r="E2069" s="1">
        <v>3743</v>
      </c>
      <c r="F2069" s="1" t="s">
        <v>3063</v>
      </c>
      <c r="G2069" s="1" t="s">
        <v>3064</v>
      </c>
      <c r="H2069" s="1" t="s">
        <v>141</v>
      </c>
      <c r="I2069" s="1" t="s">
        <v>65</v>
      </c>
      <c r="J2069" s="1">
        <v>3</v>
      </c>
      <c r="K2069" s="1" t="s">
        <v>142</v>
      </c>
      <c r="L2069" s="1" t="s">
        <v>153</v>
      </c>
      <c r="M2069" s="1" t="s">
        <v>1256</v>
      </c>
      <c r="N2069" s="1" t="str">
        <f>HYPERLINK("https://klocwork.india.ti.com:443/review/insight-review.html#issuedetails_goto:problemid=121016,project=MCU_PLUS_SDK_AM263X,searchquery=taxonomy:'C and C++' build:Build_Apr_13_2023_11_11_AM grouping:off ","KW Issue Link")</f>
        <v>KW Issue Link</v>
      </c>
      <c r="O2069" s="1" t="s">
        <v>291</v>
      </c>
    </row>
    <row r="2070" spans="1:15" ht="60" x14ac:dyDescent="0.25">
      <c r="A2070" s="1" t="s">
        <v>1257</v>
      </c>
      <c r="B2070" s="1"/>
      <c r="C2070" s="1" t="s">
        <v>722</v>
      </c>
      <c r="D2070" s="1">
        <v>121017</v>
      </c>
      <c r="E2070" s="1">
        <v>3836</v>
      </c>
      <c r="F2070" s="1" t="s">
        <v>3065</v>
      </c>
      <c r="G2070" s="1" t="s">
        <v>3066</v>
      </c>
      <c r="H2070" s="1" t="s">
        <v>141</v>
      </c>
      <c r="I2070" s="1" t="s">
        <v>65</v>
      </c>
      <c r="J2070" s="1">
        <v>3</v>
      </c>
      <c r="K2070" s="1" t="s">
        <v>142</v>
      </c>
      <c r="L2070" s="1" t="s">
        <v>153</v>
      </c>
      <c r="M2070" s="1" t="s">
        <v>1256</v>
      </c>
      <c r="N2070" s="1" t="str">
        <f>HYPERLINK("https://klocwork.india.ti.com:443/review/insight-review.html#issuedetails_goto:problemid=121017,project=MCU_PLUS_SDK_AM263X,searchquery=taxonomy:'C and C++' build:Build_Apr_13_2023_11_11_AM grouping:off ","KW Issue Link")</f>
        <v>KW Issue Link</v>
      </c>
      <c r="O2070" s="1" t="s">
        <v>291</v>
      </c>
    </row>
    <row r="2071" spans="1:15" ht="60" x14ac:dyDescent="0.25">
      <c r="A2071" s="1" t="s">
        <v>1257</v>
      </c>
      <c r="B2071" s="1"/>
      <c r="C2071" s="1" t="s">
        <v>722</v>
      </c>
      <c r="D2071" s="1">
        <v>121018</v>
      </c>
      <c r="E2071" s="1">
        <v>3919</v>
      </c>
      <c r="F2071" s="1" t="s">
        <v>3067</v>
      </c>
      <c r="G2071" s="1" t="s">
        <v>3068</v>
      </c>
      <c r="H2071" s="1" t="s">
        <v>141</v>
      </c>
      <c r="I2071" s="1" t="s">
        <v>65</v>
      </c>
      <c r="J2071" s="1">
        <v>3</v>
      </c>
      <c r="K2071" s="1" t="s">
        <v>142</v>
      </c>
      <c r="L2071" s="1" t="s">
        <v>153</v>
      </c>
      <c r="M2071" s="1" t="s">
        <v>1256</v>
      </c>
      <c r="N2071" s="1" t="str">
        <f>HYPERLINK("https://klocwork.india.ti.com:443/review/insight-review.html#issuedetails_goto:problemid=121018,project=MCU_PLUS_SDK_AM263X,searchquery=taxonomy:'C and C++' build:Build_Apr_13_2023_11_11_AM grouping:off ","KW Issue Link")</f>
        <v>KW Issue Link</v>
      </c>
      <c r="O2071" s="1" t="s">
        <v>291</v>
      </c>
    </row>
    <row r="2072" spans="1:15" ht="60" x14ac:dyDescent="0.25">
      <c r="A2072" s="1" t="s">
        <v>1266</v>
      </c>
      <c r="B2072" s="1"/>
      <c r="C2072" s="1" t="s">
        <v>722</v>
      </c>
      <c r="D2072" s="1">
        <v>121020</v>
      </c>
      <c r="E2072" s="1">
        <v>620</v>
      </c>
      <c r="F2072" s="1" t="s">
        <v>3069</v>
      </c>
      <c r="G2072" s="1" t="s">
        <v>744</v>
      </c>
      <c r="H2072" s="1" t="s">
        <v>141</v>
      </c>
      <c r="I2072" s="1" t="s">
        <v>65</v>
      </c>
      <c r="J2072" s="1">
        <v>3</v>
      </c>
      <c r="K2072" s="1" t="s">
        <v>142</v>
      </c>
      <c r="L2072" s="1" t="s">
        <v>153</v>
      </c>
      <c r="M2072" s="1" t="s">
        <v>1256</v>
      </c>
      <c r="N2072" s="1" t="str">
        <f>HYPERLINK("https://klocwork.india.ti.com:443/review/insight-review.html#issuedetails_goto:problemid=121020,project=MCU_PLUS_SDK_AM263X,searchquery=taxonomy:'C and C++' build:Build_Apr_13_2023_11_11_AM grouping:off ","KW Issue Link")</f>
        <v>KW Issue Link</v>
      </c>
      <c r="O2072" s="1" t="s">
        <v>291</v>
      </c>
    </row>
    <row r="2073" spans="1:15" ht="60" x14ac:dyDescent="0.25">
      <c r="A2073" s="1" t="s">
        <v>1266</v>
      </c>
      <c r="B2073" s="1"/>
      <c r="C2073" s="1" t="s">
        <v>722</v>
      </c>
      <c r="D2073" s="1">
        <v>121021</v>
      </c>
      <c r="E2073" s="1">
        <v>718</v>
      </c>
      <c r="F2073" s="1" t="s">
        <v>3070</v>
      </c>
      <c r="G2073" s="1" t="s">
        <v>726</v>
      </c>
      <c r="H2073" s="1" t="s">
        <v>141</v>
      </c>
      <c r="I2073" s="1" t="s">
        <v>65</v>
      </c>
      <c r="J2073" s="1">
        <v>3</v>
      </c>
      <c r="K2073" s="1" t="s">
        <v>142</v>
      </c>
      <c r="L2073" s="1" t="s">
        <v>153</v>
      </c>
      <c r="M2073" s="1" t="s">
        <v>1256</v>
      </c>
      <c r="N2073" s="1" t="str">
        <f>HYPERLINK("https://klocwork.india.ti.com:443/review/insight-review.html#issuedetails_goto:problemid=121021,project=MCU_PLUS_SDK_AM263X,searchquery=taxonomy:'C and C++' build:Build_Apr_13_2023_11_11_AM grouping:off ","KW Issue Link")</f>
        <v>KW Issue Link</v>
      </c>
      <c r="O2073" s="1" t="s">
        <v>291</v>
      </c>
    </row>
    <row r="2074" spans="1:15" ht="60" x14ac:dyDescent="0.25">
      <c r="A2074" s="1" t="s">
        <v>1266</v>
      </c>
      <c r="B2074" s="1"/>
      <c r="C2074" s="1" t="s">
        <v>722</v>
      </c>
      <c r="D2074" s="1">
        <v>121022</v>
      </c>
      <c r="E2074" s="1">
        <v>772</v>
      </c>
      <c r="F2074" s="1" t="s">
        <v>3071</v>
      </c>
      <c r="G2074" s="1" t="s">
        <v>3023</v>
      </c>
      <c r="H2074" s="1" t="s">
        <v>141</v>
      </c>
      <c r="I2074" s="1" t="s">
        <v>65</v>
      </c>
      <c r="J2074" s="1">
        <v>3</v>
      </c>
      <c r="K2074" s="1" t="s">
        <v>142</v>
      </c>
      <c r="L2074" s="1" t="s">
        <v>153</v>
      </c>
      <c r="M2074" s="1" t="s">
        <v>1256</v>
      </c>
      <c r="N2074" s="1" t="str">
        <f>HYPERLINK("https://klocwork.india.ti.com:443/review/insight-review.html#issuedetails_goto:problemid=121022,project=MCU_PLUS_SDK_AM263X,searchquery=taxonomy:'C and C++' build:Build_Apr_13_2023_11_11_AM grouping:off ","KW Issue Link")</f>
        <v>KW Issue Link</v>
      </c>
      <c r="O2074" s="1" t="s">
        <v>291</v>
      </c>
    </row>
    <row r="2075" spans="1:15" ht="60" x14ac:dyDescent="0.25">
      <c r="A2075" s="1" t="s">
        <v>1266</v>
      </c>
      <c r="B2075" s="1"/>
      <c r="C2075" s="1" t="s">
        <v>722</v>
      </c>
      <c r="D2075" s="1">
        <v>121023</v>
      </c>
      <c r="E2075" s="1">
        <v>813</v>
      </c>
      <c r="F2075" s="1" t="s">
        <v>3072</v>
      </c>
      <c r="G2075" s="1" t="s">
        <v>747</v>
      </c>
      <c r="H2075" s="1" t="s">
        <v>141</v>
      </c>
      <c r="I2075" s="1" t="s">
        <v>65</v>
      </c>
      <c r="J2075" s="1">
        <v>3</v>
      </c>
      <c r="K2075" s="1" t="s">
        <v>142</v>
      </c>
      <c r="L2075" s="1" t="s">
        <v>153</v>
      </c>
      <c r="M2075" s="1" t="s">
        <v>1256</v>
      </c>
      <c r="N2075" s="1" t="str">
        <f>HYPERLINK("https://klocwork.india.ti.com:443/review/insight-review.html#issuedetails_goto:problemid=121023,project=MCU_PLUS_SDK_AM263X,searchquery=taxonomy:'C and C++' build:Build_Apr_13_2023_11_11_AM grouping:off ","KW Issue Link")</f>
        <v>KW Issue Link</v>
      </c>
      <c r="O2075" s="1" t="s">
        <v>291</v>
      </c>
    </row>
    <row r="2076" spans="1:15" ht="60" x14ac:dyDescent="0.25">
      <c r="A2076" s="1" t="s">
        <v>1266</v>
      </c>
      <c r="B2076" s="1"/>
      <c r="C2076" s="1" t="s">
        <v>722</v>
      </c>
      <c r="D2076" s="1">
        <v>121024</v>
      </c>
      <c r="E2076" s="1">
        <v>881</v>
      </c>
      <c r="F2076" s="1" t="s">
        <v>3073</v>
      </c>
      <c r="G2076" s="1" t="s">
        <v>3026</v>
      </c>
      <c r="H2076" s="1" t="s">
        <v>141</v>
      </c>
      <c r="I2076" s="1" t="s">
        <v>65</v>
      </c>
      <c r="J2076" s="1">
        <v>3</v>
      </c>
      <c r="K2076" s="1" t="s">
        <v>142</v>
      </c>
      <c r="L2076" s="1" t="s">
        <v>153</v>
      </c>
      <c r="M2076" s="1" t="s">
        <v>1256</v>
      </c>
      <c r="N2076" s="1" t="str">
        <f>HYPERLINK("https://klocwork.india.ti.com:443/review/insight-review.html#issuedetails_goto:problemid=121024,project=MCU_PLUS_SDK_AM263X,searchquery=taxonomy:'C and C++' build:Build_Apr_13_2023_11_11_AM grouping:off ","KW Issue Link")</f>
        <v>KW Issue Link</v>
      </c>
      <c r="O2076" s="1" t="s">
        <v>291</v>
      </c>
    </row>
    <row r="2077" spans="1:15" ht="60" x14ac:dyDescent="0.25">
      <c r="A2077" s="1" t="s">
        <v>1266</v>
      </c>
      <c r="B2077" s="1"/>
      <c r="C2077" s="1" t="s">
        <v>722</v>
      </c>
      <c r="D2077" s="1">
        <v>121025</v>
      </c>
      <c r="E2077" s="1">
        <v>920</v>
      </c>
      <c r="F2077" s="1" t="s">
        <v>3074</v>
      </c>
      <c r="G2077" s="1" t="s">
        <v>754</v>
      </c>
      <c r="H2077" s="1" t="s">
        <v>141</v>
      </c>
      <c r="I2077" s="1" t="s">
        <v>65</v>
      </c>
      <c r="J2077" s="1">
        <v>3</v>
      </c>
      <c r="K2077" s="1" t="s">
        <v>142</v>
      </c>
      <c r="L2077" s="1" t="s">
        <v>153</v>
      </c>
      <c r="M2077" s="1" t="s">
        <v>1256</v>
      </c>
      <c r="N2077" s="1" t="str">
        <f>HYPERLINK("https://klocwork.india.ti.com:443/review/insight-review.html#issuedetails_goto:problemid=121025,project=MCU_PLUS_SDK_AM263X,searchquery=taxonomy:'C and C++' build:Build_Apr_13_2023_11_11_AM grouping:off ","KW Issue Link")</f>
        <v>KW Issue Link</v>
      </c>
      <c r="O2077" s="1" t="s">
        <v>291</v>
      </c>
    </row>
    <row r="2078" spans="1:15" ht="60" x14ac:dyDescent="0.25">
      <c r="A2078" s="1" t="s">
        <v>1266</v>
      </c>
      <c r="B2078" s="1"/>
      <c r="C2078" s="1" t="s">
        <v>722</v>
      </c>
      <c r="D2078" s="1">
        <v>121026</v>
      </c>
      <c r="E2078" s="1">
        <v>1023</v>
      </c>
      <c r="F2078" s="1" t="s">
        <v>3075</v>
      </c>
      <c r="G2078" s="1" t="s">
        <v>746</v>
      </c>
      <c r="H2078" s="1" t="s">
        <v>141</v>
      </c>
      <c r="I2078" s="1" t="s">
        <v>65</v>
      </c>
      <c r="J2078" s="1">
        <v>3</v>
      </c>
      <c r="K2078" s="1" t="s">
        <v>142</v>
      </c>
      <c r="L2078" s="1" t="s">
        <v>153</v>
      </c>
      <c r="M2078" s="1" t="s">
        <v>1256</v>
      </c>
      <c r="N2078" s="1" t="str">
        <f>HYPERLINK("https://klocwork.india.ti.com:443/review/insight-review.html#issuedetails_goto:problemid=121026,project=MCU_PLUS_SDK_AM263X,searchquery=taxonomy:'C and C++' build:Build_Apr_13_2023_11_11_AM grouping:off ","KW Issue Link")</f>
        <v>KW Issue Link</v>
      </c>
      <c r="O2078" s="1" t="s">
        <v>291</v>
      </c>
    </row>
    <row r="2079" spans="1:15" ht="60" x14ac:dyDescent="0.25">
      <c r="A2079" s="1" t="s">
        <v>1266</v>
      </c>
      <c r="B2079" s="1"/>
      <c r="C2079" s="1" t="s">
        <v>722</v>
      </c>
      <c r="D2079" s="1">
        <v>121027</v>
      </c>
      <c r="E2079" s="1">
        <v>1056</v>
      </c>
      <c r="F2079" s="1" t="s">
        <v>3076</v>
      </c>
      <c r="G2079" s="1" t="s">
        <v>735</v>
      </c>
      <c r="H2079" s="1" t="s">
        <v>141</v>
      </c>
      <c r="I2079" s="1" t="s">
        <v>65</v>
      </c>
      <c r="J2079" s="1">
        <v>3</v>
      </c>
      <c r="K2079" s="1" t="s">
        <v>142</v>
      </c>
      <c r="L2079" s="1" t="s">
        <v>153</v>
      </c>
      <c r="M2079" s="1" t="s">
        <v>1256</v>
      </c>
      <c r="N2079" s="1" t="str">
        <f>HYPERLINK("https://klocwork.india.ti.com:443/review/insight-review.html#issuedetails_goto:problemid=121027,project=MCU_PLUS_SDK_AM263X,searchquery=taxonomy:'C and C++' build:Build_Apr_13_2023_11_11_AM grouping:off ","KW Issue Link")</f>
        <v>KW Issue Link</v>
      </c>
      <c r="O2079" s="1" t="s">
        <v>291</v>
      </c>
    </row>
    <row r="2080" spans="1:15" ht="60" x14ac:dyDescent="0.25">
      <c r="A2080" s="1" t="s">
        <v>1266</v>
      </c>
      <c r="B2080" s="1"/>
      <c r="C2080" s="1" t="s">
        <v>722</v>
      </c>
      <c r="D2080" s="1">
        <v>121028</v>
      </c>
      <c r="E2080" s="1">
        <v>1088</v>
      </c>
      <c r="F2080" s="1" t="s">
        <v>3077</v>
      </c>
      <c r="G2080" s="1" t="s">
        <v>738</v>
      </c>
      <c r="H2080" s="1" t="s">
        <v>141</v>
      </c>
      <c r="I2080" s="1" t="s">
        <v>65</v>
      </c>
      <c r="J2080" s="1">
        <v>3</v>
      </c>
      <c r="K2080" s="1" t="s">
        <v>142</v>
      </c>
      <c r="L2080" s="1" t="s">
        <v>153</v>
      </c>
      <c r="M2080" s="1" t="s">
        <v>1256</v>
      </c>
      <c r="N2080" s="1" t="str">
        <f>HYPERLINK("https://klocwork.india.ti.com:443/review/insight-review.html#issuedetails_goto:problemid=121028,project=MCU_PLUS_SDK_AM263X,searchquery=taxonomy:'C and C++' build:Build_Apr_13_2023_11_11_AM grouping:off ","KW Issue Link")</f>
        <v>KW Issue Link</v>
      </c>
      <c r="O2080" s="1" t="s">
        <v>291</v>
      </c>
    </row>
    <row r="2081" spans="1:15" ht="60" x14ac:dyDescent="0.25">
      <c r="A2081" s="1" t="s">
        <v>1266</v>
      </c>
      <c r="B2081" s="1"/>
      <c r="C2081" s="1" t="s">
        <v>722</v>
      </c>
      <c r="D2081" s="1">
        <v>121029</v>
      </c>
      <c r="E2081" s="1">
        <v>1199</v>
      </c>
      <c r="F2081" s="1" t="s">
        <v>3078</v>
      </c>
      <c r="G2081" s="1" t="s">
        <v>3031</v>
      </c>
      <c r="H2081" s="1" t="s">
        <v>141</v>
      </c>
      <c r="I2081" s="1" t="s">
        <v>65</v>
      </c>
      <c r="J2081" s="1">
        <v>3</v>
      </c>
      <c r="K2081" s="1" t="s">
        <v>142</v>
      </c>
      <c r="L2081" s="1" t="s">
        <v>153</v>
      </c>
      <c r="M2081" s="1" t="s">
        <v>1256</v>
      </c>
      <c r="N2081" s="1" t="str">
        <f>HYPERLINK("https://klocwork.india.ti.com:443/review/insight-review.html#issuedetails_goto:problemid=121029,project=MCU_PLUS_SDK_AM263X,searchquery=taxonomy:'C and C++' build:Build_Apr_13_2023_11_11_AM grouping:off ","KW Issue Link")</f>
        <v>KW Issue Link</v>
      </c>
      <c r="O2081" s="1" t="s">
        <v>291</v>
      </c>
    </row>
    <row r="2082" spans="1:15" ht="60" x14ac:dyDescent="0.25">
      <c r="A2082" s="1" t="s">
        <v>1266</v>
      </c>
      <c r="B2082" s="1"/>
      <c r="C2082" s="1" t="s">
        <v>722</v>
      </c>
      <c r="D2082" s="1">
        <v>121030</v>
      </c>
      <c r="E2082" s="1">
        <v>1281</v>
      </c>
      <c r="F2082" s="1" t="s">
        <v>3079</v>
      </c>
      <c r="G2082" s="1" t="s">
        <v>3033</v>
      </c>
      <c r="H2082" s="1" t="s">
        <v>141</v>
      </c>
      <c r="I2082" s="1" t="s">
        <v>65</v>
      </c>
      <c r="J2082" s="1">
        <v>3</v>
      </c>
      <c r="K2082" s="1" t="s">
        <v>142</v>
      </c>
      <c r="L2082" s="1" t="s">
        <v>153</v>
      </c>
      <c r="M2082" s="1" t="s">
        <v>1256</v>
      </c>
      <c r="N2082" s="1" t="str">
        <f>HYPERLINK("https://klocwork.india.ti.com:443/review/insight-review.html#issuedetails_goto:problemid=121030,project=MCU_PLUS_SDK_AM263X,searchquery=taxonomy:'C and C++' build:Build_Apr_13_2023_11_11_AM grouping:off ","KW Issue Link")</f>
        <v>KW Issue Link</v>
      </c>
      <c r="O2082" s="1" t="s">
        <v>291</v>
      </c>
    </row>
    <row r="2083" spans="1:15" ht="60" x14ac:dyDescent="0.25">
      <c r="A2083" s="1" t="s">
        <v>1266</v>
      </c>
      <c r="B2083" s="1"/>
      <c r="C2083" s="1" t="s">
        <v>722</v>
      </c>
      <c r="D2083" s="1">
        <v>121031</v>
      </c>
      <c r="E2083" s="1">
        <v>1382</v>
      </c>
      <c r="F2083" s="1" t="s">
        <v>3080</v>
      </c>
      <c r="G2083" s="1" t="s">
        <v>3035</v>
      </c>
      <c r="H2083" s="1" t="s">
        <v>141</v>
      </c>
      <c r="I2083" s="1" t="s">
        <v>65</v>
      </c>
      <c r="J2083" s="1">
        <v>3</v>
      </c>
      <c r="K2083" s="1" t="s">
        <v>142</v>
      </c>
      <c r="L2083" s="1" t="s">
        <v>153</v>
      </c>
      <c r="M2083" s="1" t="s">
        <v>1256</v>
      </c>
      <c r="N2083" s="1" t="str">
        <f>HYPERLINK("https://klocwork.india.ti.com:443/review/insight-review.html#issuedetails_goto:problemid=121031,project=MCU_PLUS_SDK_AM263X,searchquery=taxonomy:'C and C++' build:Build_Apr_13_2023_11_11_AM grouping:off ","KW Issue Link")</f>
        <v>KW Issue Link</v>
      </c>
      <c r="O2083" s="1" t="s">
        <v>291</v>
      </c>
    </row>
    <row r="2084" spans="1:15" ht="60" x14ac:dyDescent="0.25">
      <c r="A2084" s="1" t="s">
        <v>1266</v>
      </c>
      <c r="B2084" s="1"/>
      <c r="C2084" s="1" t="s">
        <v>722</v>
      </c>
      <c r="D2084" s="1">
        <v>121032</v>
      </c>
      <c r="E2084" s="1">
        <v>1422</v>
      </c>
      <c r="F2084" s="1" t="s">
        <v>3081</v>
      </c>
      <c r="G2084" s="1" t="s">
        <v>3037</v>
      </c>
      <c r="H2084" s="1" t="s">
        <v>141</v>
      </c>
      <c r="I2084" s="1" t="s">
        <v>65</v>
      </c>
      <c r="J2084" s="1">
        <v>3</v>
      </c>
      <c r="K2084" s="1" t="s">
        <v>142</v>
      </c>
      <c r="L2084" s="1" t="s">
        <v>153</v>
      </c>
      <c r="M2084" s="1" t="s">
        <v>1256</v>
      </c>
      <c r="N2084" s="1" t="str">
        <f>HYPERLINK("https://klocwork.india.ti.com:443/review/insight-review.html#issuedetails_goto:problemid=121032,project=MCU_PLUS_SDK_AM263X,searchquery=taxonomy:'C and C++' build:Build_Apr_13_2023_11_11_AM grouping:off ","KW Issue Link")</f>
        <v>KW Issue Link</v>
      </c>
      <c r="O2084" s="1" t="s">
        <v>291</v>
      </c>
    </row>
    <row r="2085" spans="1:15" ht="60" x14ac:dyDescent="0.25">
      <c r="A2085" s="1" t="s">
        <v>1266</v>
      </c>
      <c r="B2085" s="1"/>
      <c r="C2085" s="1" t="s">
        <v>722</v>
      </c>
      <c r="D2085" s="1">
        <v>121033</v>
      </c>
      <c r="E2085" s="1">
        <v>1585</v>
      </c>
      <c r="F2085" s="1" t="s">
        <v>3082</v>
      </c>
      <c r="G2085" s="1" t="s">
        <v>3039</v>
      </c>
      <c r="H2085" s="1" t="s">
        <v>141</v>
      </c>
      <c r="I2085" s="1" t="s">
        <v>65</v>
      </c>
      <c r="J2085" s="1">
        <v>3</v>
      </c>
      <c r="K2085" s="1" t="s">
        <v>142</v>
      </c>
      <c r="L2085" s="1" t="s">
        <v>153</v>
      </c>
      <c r="M2085" s="1" t="s">
        <v>1256</v>
      </c>
      <c r="N2085" s="1" t="str">
        <f>HYPERLINK("https://klocwork.india.ti.com:443/review/insight-review.html#issuedetails_goto:problemid=121033,project=MCU_PLUS_SDK_AM263X,searchquery=taxonomy:'C and C++' build:Build_Apr_13_2023_11_11_AM grouping:off ","KW Issue Link")</f>
        <v>KW Issue Link</v>
      </c>
      <c r="O2085" s="1" t="s">
        <v>291</v>
      </c>
    </row>
    <row r="2086" spans="1:15" ht="60" x14ac:dyDescent="0.25">
      <c r="A2086" s="1" t="s">
        <v>1266</v>
      </c>
      <c r="B2086" s="1"/>
      <c r="C2086" s="1" t="s">
        <v>722</v>
      </c>
      <c r="D2086" s="1">
        <v>121034</v>
      </c>
      <c r="E2086" s="1">
        <v>1685</v>
      </c>
      <c r="F2086" s="1" t="s">
        <v>3083</v>
      </c>
      <c r="G2086" s="1" t="s">
        <v>748</v>
      </c>
      <c r="H2086" s="1" t="s">
        <v>141</v>
      </c>
      <c r="I2086" s="1" t="s">
        <v>65</v>
      </c>
      <c r="J2086" s="1">
        <v>3</v>
      </c>
      <c r="K2086" s="1" t="s">
        <v>142</v>
      </c>
      <c r="L2086" s="1" t="s">
        <v>153</v>
      </c>
      <c r="M2086" s="1" t="s">
        <v>1256</v>
      </c>
      <c r="N2086" s="1" t="str">
        <f>HYPERLINK("https://klocwork.india.ti.com:443/review/insight-review.html#issuedetails_goto:problemid=121034,project=MCU_PLUS_SDK_AM263X,searchquery=taxonomy:'C and C++' build:Build_Apr_13_2023_11_11_AM grouping:off ","KW Issue Link")</f>
        <v>KW Issue Link</v>
      </c>
      <c r="O2086" s="1" t="s">
        <v>291</v>
      </c>
    </row>
    <row r="2087" spans="1:15" ht="60" x14ac:dyDescent="0.25">
      <c r="A2087" s="1" t="s">
        <v>1266</v>
      </c>
      <c r="B2087" s="1"/>
      <c r="C2087" s="1" t="s">
        <v>722</v>
      </c>
      <c r="D2087" s="1">
        <v>121036</v>
      </c>
      <c r="E2087" s="1">
        <v>1835</v>
      </c>
      <c r="F2087" s="1" t="s">
        <v>3084</v>
      </c>
      <c r="G2087" s="1" t="s">
        <v>3043</v>
      </c>
      <c r="H2087" s="1" t="s">
        <v>141</v>
      </c>
      <c r="I2087" s="1" t="s">
        <v>65</v>
      </c>
      <c r="J2087" s="1">
        <v>3</v>
      </c>
      <c r="K2087" s="1" t="s">
        <v>142</v>
      </c>
      <c r="L2087" s="1" t="s">
        <v>153</v>
      </c>
      <c r="M2087" s="1" t="s">
        <v>1256</v>
      </c>
      <c r="N2087" s="1" t="str">
        <f>HYPERLINK("https://klocwork.india.ti.com:443/review/insight-review.html#issuedetails_goto:problemid=121036,project=MCU_PLUS_SDK_AM263X,searchquery=taxonomy:'C and C++' build:Build_Apr_13_2023_11_11_AM grouping:off ","KW Issue Link")</f>
        <v>KW Issue Link</v>
      </c>
      <c r="O2087" s="1" t="s">
        <v>291</v>
      </c>
    </row>
    <row r="2088" spans="1:15" ht="60" x14ac:dyDescent="0.25">
      <c r="A2088" s="1" t="s">
        <v>1266</v>
      </c>
      <c r="B2088" s="1"/>
      <c r="C2088" s="1" t="s">
        <v>722</v>
      </c>
      <c r="D2088" s="1">
        <v>121037</v>
      </c>
      <c r="E2088" s="1">
        <v>1964</v>
      </c>
      <c r="F2088" s="1" t="s">
        <v>3085</v>
      </c>
      <c r="G2088" s="1" t="s">
        <v>728</v>
      </c>
      <c r="H2088" s="1" t="s">
        <v>141</v>
      </c>
      <c r="I2088" s="1" t="s">
        <v>65</v>
      </c>
      <c r="J2088" s="1">
        <v>3</v>
      </c>
      <c r="K2088" s="1" t="s">
        <v>142</v>
      </c>
      <c r="L2088" s="1" t="s">
        <v>153</v>
      </c>
      <c r="M2088" s="1" t="s">
        <v>1256</v>
      </c>
      <c r="N2088" s="1" t="str">
        <f>HYPERLINK("https://klocwork.india.ti.com:443/review/insight-review.html#issuedetails_goto:problemid=121037,project=MCU_PLUS_SDK_AM263X,searchquery=taxonomy:'C and C++' build:Build_Apr_13_2023_11_11_AM grouping:off ","KW Issue Link")</f>
        <v>KW Issue Link</v>
      </c>
      <c r="O2088" s="1" t="s">
        <v>291</v>
      </c>
    </row>
    <row r="2089" spans="1:15" ht="60" x14ac:dyDescent="0.25">
      <c r="A2089" s="1" t="s">
        <v>1266</v>
      </c>
      <c r="B2089" s="1"/>
      <c r="C2089" s="1" t="s">
        <v>722</v>
      </c>
      <c r="D2089" s="1">
        <v>121038</v>
      </c>
      <c r="E2089" s="1">
        <v>2193</v>
      </c>
      <c r="F2089" s="1" t="s">
        <v>3086</v>
      </c>
      <c r="G2089" s="1" t="s">
        <v>729</v>
      </c>
      <c r="H2089" s="1" t="s">
        <v>141</v>
      </c>
      <c r="I2089" s="1" t="s">
        <v>65</v>
      </c>
      <c r="J2089" s="1">
        <v>3</v>
      </c>
      <c r="K2089" s="1" t="s">
        <v>142</v>
      </c>
      <c r="L2089" s="1" t="s">
        <v>153</v>
      </c>
      <c r="M2089" s="1" t="s">
        <v>1256</v>
      </c>
      <c r="N2089" s="1" t="str">
        <f>HYPERLINK("https://klocwork.india.ti.com:443/review/insight-review.html#issuedetails_goto:problemid=121038,project=MCU_PLUS_SDK_AM263X,searchquery=taxonomy:'C and C++' build:Build_Apr_13_2023_11_11_AM grouping:off ","KW Issue Link")</f>
        <v>KW Issue Link</v>
      </c>
      <c r="O2089" s="1" t="s">
        <v>291</v>
      </c>
    </row>
    <row r="2090" spans="1:15" ht="60" x14ac:dyDescent="0.25">
      <c r="A2090" s="1" t="s">
        <v>1266</v>
      </c>
      <c r="B2090" s="1"/>
      <c r="C2090" s="1" t="s">
        <v>722</v>
      </c>
      <c r="D2090" s="1">
        <v>121039</v>
      </c>
      <c r="E2090" s="1">
        <v>2319</v>
      </c>
      <c r="F2090" s="1" t="s">
        <v>3087</v>
      </c>
      <c r="G2090" s="1" t="s">
        <v>3047</v>
      </c>
      <c r="H2090" s="1" t="s">
        <v>141</v>
      </c>
      <c r="I2090" s="1" t="s">
        <v>65</v>
      </c>
      <c r="J2090" s="1">
        <v>3</v>
      </c>
      <c r="K2090" s="1" t="s">
        <v>142</v>
      </c>
      <c r="L2090" s="1" t="s">
        <v>153</v>
      </c>
      <c r="M2090" s="1" t="s">
        <v>1256</v>
      </c>
      <c r="N2090" s="1" t="str">
        <f>HYPERLINK("https://klocwork.india.ti.com:443/review/insight-review.html#issuedetails_goto:problemid=121039,project=MCU_PLUS_SDK_AM263X,searchquery=taxonomy:'C and C++' build:Build_Apr_13_2023_11_11_AM grouping:off ","KW Issue Link")</f>
        <v>KW Issue Link</v>
      </c>
      <c r="O2090" s="1" t="s">
        <v>291</v>
      </c>
    </row>
    <row r="2091" spans="1:15" ht="60" x14ac:dyDescent="0.25">
      <c r="A2091" s="1" t="s">
        <v>1266</v>
      </c>
      <c r="B2091" s="1"/>
      <c r="C2091" s="1" t="s">
        <v>722</v>
      </c>
      <c r="D2091" s="1">
        <v>121040</v>
      </c>
      <c r="E2091" s="1">
        <v>2477</v>
      </c>
      <c r="F2091" s="1" t="s">
        <v>3088</v>
      </c>
      <c r="G2091" s="1" t="s">
        <v>731</v>
      </c>
      <c r="H2091" s="1" t="s">
        <v>141</v>
      </c>
      <c r="I2091" s="1" t="s">
        <v>65</v>
      </c>
      <c r="J2091" s="1">
        <v>3</v>
      </c>
      <c r="K2091" s="1" t="s">
        <v>142</v>
      </c>
      <c r="L2091" s="1" t="s">
        <v>153</v>
      </c>
      <c r="M2091" s="1" t="s">
        <v>1256</v>
      </c>
      <c r="N2091" s="1" t="str">
        <f>HYPERLINK("https://klocwork.india.ti.com:443/review/insight-review.html#issuedetails_goto:problemid=121040,project=MCU_PLUS_SDK_AM263X,searchquery=taxonomy:'C and C++' build:Build_Apr_13_2023_11_11_AM grouping:off ","KW Issue Link")</f>
        <v>KW Issue Link</v>
      </c>
      <c r="O2091" s="1" t="s">
        <v>291</v>
      </c>
    </row>
    <row r="2092" spans="1:15" ht="60" x14ac:dyDescent="0.25">
      <c r="A2092" s="1" t="s">
        <v>1266</v>
      </c>
      <c r="B2092" s="1"/>
      <c r="C2092" s="1" t="s">
        <v>722</v>
      </c>
      <c r="D2092" s="1">
        <v>121041</v>
      </c>
      <c r="E2092" s="1">
        <v>2576</v>
      </c>
      <c r="F2092" s="1" t="s">
        <v>3089</v>
      </c>
      <c r="G2092" s="1" t="s">
        <v>3050</v>
      </c>
      <c r="H2092" s="1" t="s">
        <v>141</v>
      </c>
      <c r="I2092" s="1" t="s">
        <v>65</v>
      </c>
      <c r="J2092" s="1">
        <v>3</v>
      </c>
      <c r="K2092" s="1" t="s">
        <v>142</v>
      </c>
      <c r="L2092" s="1" t="s">
        <v>153</v>
      </c>
      <c r="M2092" s="1" t="s">
        <v>1256</v>
      </c>
      <c r="N2092" s="1" t="str">
        <f>HYPERLINK("https://klocwork.india.ti.com:443/review/insight-review.html#issuedetails_goto:problemid=121041,project=MCU_PLUS_SDK_AM263X,searchquery=taxonomy:'C and C++' build:Build_Apr_13_2023_11_11_AM grouping:off ","KW Issue Link")</f>
        <v>KW Issue Link</v>
      </c>
      <c r="O2092" s="1" t="s">
        <v>291</v>
      </c>
    </row>
    <row r="2093" spans="1:15" ht="60" x14ac:dyDescent="0.25">
      <c r="A2093" s="1" t="s">
        <v>1266</v>
      </c>
      <c r="B2093" s="1"/>
      <c r="C2093" s="1" t="s">
        <v>722</v>
      </c>
      <c r="D2093" s="1">
        <v>121042</v>
      </c>
      <c r="E2093" s="1">
        <v>2655</v>
      </c>
      <c r="F2093" s="1" t="s">
        <v>3090</v>
      </c>
      <c r="G2093" s="1" t="s">
        <v>3052</v>
      </c>
      <c r="H2093" s="1" t="s">
        <v>141</v>
      </c>
      <c r="I2093" s="1" t="s">
        <v>65</v>
      </c>
      <c r="J2093" s="1">
        <v>3</v>
      </c>
      <c r="K2093" s="1" t="s">
        <v>142</v>
      </c>
      <c r="L2093" s="1" t="s">
        <v>153</v>
      </c>
      <c r="M2093" s="1" t="s">
        <v>1256</v>
      </c>
      <c r="N2093" s="1" t="str">
        <f>HYPERLINK("https://klocwork.india.ti.com:443/review/insight-review.html#issuedetails_goto:problemid=121042,project=MCU_PLUS_SDK_AM263X,searchquery=taxonomy:'C and C++' build:Build_Apr_13_2023_11_11_AM grouping:off ","KW Issue Link")</f>
        <v>KW Issue Link</v>
      </c>
      <c r="O2093" s="1" t="s">
        <v>291</v>
      </c>
    </row>
    <row r="2094" spans="1:15" ht="60" x14ac:dyDescent="0.25">
      <c r="A2094" s="1" t="s">
        <v>1266</v>
      </c>
      <c r="B2094" s="1"/>
      <c r="C2094" s="1" t="s">
        <v>722</v>
      </c>
      <c r="D2094" s="1">
        <v>121043</v>
      </c>
      <c r="E2094" s="1">
        <v>2700</v>
      </c>
      <c r="F2094" s="1" t="s">
        <v>3091</v>
      </c>
      <c r="G2094" s="1" t="s">
        <v>3054</v>
      </c>
      <c r="H2094" s="1" t="s">
        <v>141</v>
      </c>
      <c r="I2094" s="1" t="s">
        <v>65</v>
      </c>
      <c r="J2094" s="1">
        <v>3</v>
      </c>
      <c r="K2094" s="1" t="s">
        <v>142</v>
      </c>
      <c r="L2094" s="1" t="s">
        <v>153</v>
      </c>
      <c r="M2094" s="1" t="s">
        <v>1256</v>
      </c>
      <c r="N2094" s="1" t="str">
        <f>HYPERLINK("https://klocwork.india.ti.com:443/review/insight-review.html#issuedetails_goto:problemid=121043,project=MCU_PLUS_SDK_AM263X,searchquery=taxonomy:'C and C++' build:Build_Apr_13_2023_11_11_AM grouping:off ","KW Issue Link")</f>
        <v>KW Issue Link</v>
      </c>
      <c r="O2094" s="1" t="s">
        <v>291</v>
      </c>
    </row>
    <row r="2095" spans="1:15" ht="60" x14ac:dyDescent="0.25">
      <c r="A2095" s="1" t="s">
        <v>1266</v>
      </c>
      <c r="B2095" s="1"/>
      <c r="C2095" s="1" t="s">
        <v>722</v>
      </c>
      <c r="D2095" s="1">
        <v>121044</v>
      </c>
      <c r="E2095" s="1">
        <v>2882</v>
      </c>
      <c r="F2095" s="1" t="s">
        <v>3092</v>
      </c>
      <c r="G2095" s="1" t="s">
        <v>742</v>
      </c>
      <c r="H2095" s="1" t="s">
        <v>141</v>
      </c>
      <c r="I2095" s="1" t="s">
        <v>65</v>
      </c>
      <c r="J2095" s="1">
        <v>3</v>
      </c>
      <c r="K2095" s="1" t="s">
        <v>142</v>
      </c>
      <c r="L2095" s="1" t="s">
        <v>153</v>
      </c>
      <c r="M2095" s="1" t="s">
        <v>1256</v>
      </c>
      <c r="N2095" s="1" t="str">
        <f>HYPERLINK("https://klocwork.india.ti.com:443/review/insight-review.html#issuedetails_goto:problemid=121044,project=MCU_PLUS_SDK_AM263X,searchquery=taxonomy:'C and C++' build:Build_Apr_13_2023_11_11_AM grouping:off ","KW Issue Link")</f>
        <v>KW Issue Link</v>
      </c>
      <c r="O2095" s="1" t="s">
        <v>291</v>
      </c>
    </row>
    <row r="2096" spans="1:15" ht="60" x14ac:dyDescent="0.25">
      <c r="A2096" s="1" t="s">
        <v>1266</v>
      </c>
      <c r="B2096" s="1"/>
      <c r="C2096" s="1" t="s">
        <v>722</v>
      </c>
      <c r="D2096" s="1">
        <v>121045</v>
      </c>
      <c r="E2096" s="1">
        <v>3303</v>
      </c>
      <c r="F2096" s="1" t="s">
        <v>3093</v>
      </c>
      <c r="G2096" s="1" t="s">
        <v>749</v>
      </c>
      <c r="H2096" s="1" t="s">
        <v>141</v>
      </c>
      <c r="I2096" s="1" t="s">
        <v>65</v>
      </c>
      <c r="J2096" s="1">
        <v>3</v>
      </c>
      <c r="K2096" s="1" t="s">
        <v>142</v>
      </c>
      <c r="L2096" s="1" t="s">
        <v>153</v>
      </c>
      <c r="M2096" s="1" t="s">
        <v>1256</v>
      </c>
      <c r="N2096" s="1" t="str">
        <f>HYPERLINK("https://klocwork.india.ti.com:443/review/insight-review.html#issuedetails_goto:problemid=121045,project=MCU_PLUS_SDK_AM263X,searchquery=taxonomy:'C and C++' build:Build_Apr_13_2023_11_11_AM grouping:off ","KW Issue Link")</f>
        <v>KW Issue Link</v>
      </c>
      <c r="O2096" s="1" t="s">
        <v>291</v>
      </c>
    </row>
    <row r="2097" spans="1:15" ht="60" x14ac:dyDescent="0.25">
      <c r="A2097" s="1" t="s">
        <v>1266</v>
      </c>
      <c r="B2097" s="1"/>
      <c r="C2097" s="1" t="s">
        <v>722</v>
      </c>
      <c r="D2097" s="1">
        <v>121046</v>
      </c>
      <c r="E2097" s="1">
        <v>3743</v>
      </c>
      <c r="F2097" s="1" t="s">
        <v>3094</v>
      </c>
      <c r="G2097" s="1" t="s">
        <v>3064</v>
      </c>
      <c r="H2097" s="1" t="s">
        <v>141</v>
      </c>
      <c r="I2097" s="1" t="s">
        <v>65</v>
      </c>
      <c r="J2097" s="1">
        <v>3</v>
      </c>
      <c r="K2097" s="1" t="s">
        <v>142</v>
      </c>
      <c r="L2097" s="1" t="s">
        <v>153</v>
      </c>
      <c r="M2097" s="1" t="s">
        <v>1256</v>
      </c>
      <c r="N2097" s="1" t="str">
        <f>HYPERLINK("https://klocwork.india.ti.com:443/review/insight-review.html#issuedetails_goto:problemid=121046,project=MCU_PLUS_SDK_AM263X,searchquery=taxonomy:'C and C++' build:Build_Apr_13_2023_11_11_AM grouping:off ","KW Issue Link")</f>
        <v>KW Issue Link</v>
      </c>
      <c r="O2097" s="1" t="s">
        <v>291</v>
      </c>
    </row>
    <row r="2098" spans="1:15" ht="60" x14ac:dyDescent="0.25">
      <c r="A2098" s="1" t="s">
        <v>1266</v>
      </c>
      <c r="B2098" s="1"/>
      <c r="C2098" s="1" t="s">
        <v>722</v>
      </c>
      <c r="D2098" s="1">
        <v>121047</v>
      </c>
      <c r="E2098" s="1">
        <v>3836</v>
      </c>
      <c r="F2098" s="1" t="s">
        <v>3095</v>
      </c>
      <c r="G2098" s="1" t="s">
        <v>3066</v>
      </c>
      <c r="H2098" s="1" t="s">
        <v>141</v>
      </c>
      <c r="I2098" s="1" t="s">
        <v>65</v>
      </c>
      <c r="J2098" s="1">
        <v>3</v>
      </c>
      <c r="K2098" s="1" t="s">
        <v>142</v>
      </c>
      <c r="L2098" s="1" t="s">
        <v>153</v>
      </c>
      <c r="M2098" s="1" t="s">
        <v>1256</v>
      </c>
      <c r="N2098" s="1" t="str">
        <f>HYPERLINK("https://klocwork.india.ti.com:443/review/insight-review.html#issuedetails_goto:problemid=121047,project=MCU_PLUS_SDK_AM263X,searchquery=taxonomy:'C and C++' build:Build_Apr_13_2023_11_11_AM grouping:off ","KW Issue Link")</f>
        <v>KW Issue Link</v>
      </c>
      <c r="O2098" s="1" t="s">
        <v>291</v>
      </c>
    </row>
    <row r="2099" spans="1:15" ht="60" x14ac:dyDescent="0.25">
      <c r="A2099" s="1" t="s">
        <v>1268</v>
      </c>
      <c r="B2099" s="1"/>
      <c r="C2099" s="1" t="s">
        <v>722</v>
      </c>
      <c r="D2099" s="1">
        <v>121048</v>
      </c>
      <c r="E2099" s="1">
        <v>620</v>
      </c>
      <c r="F2099" s="1" t="s">
        <v>3096</v>
      </c>
      <c r="G2099" s="1" t="s">
        <v>744</v>
      </c>
      <c r="H2099" s="1" t="s">
        <v>141</v>
      </c>
      <c r="I2099" s="1" t="s">
        <v>65</v>
      </c>
      <c r="J2099" s="1">
        <v>3</v>
      </c>
      <c r="K2099" s="1" t="s">
        <v>142</v>
      </c>
      <c r="L2099" s="1" t="s">
        <v>153</v>
      </c>
      <c r="M2099" s="1" t="s">
        <v>1256</v>
      </c>
      <c r="N2099" s="1" t="str">
        <f>HYPERLINK("https://klocwork.india.ti.com:443/review/insight-review.html#issuedetails_goto:problemid=121048,project=MCU_PLUS_SDK_AM263X,searchquery=taxonomy:'C and C++' build:Build_Apr_13_2023_11_11_AM grouping:off ","KW Issue Link")</f>
        <v>KW Issue Link</v>
      </c>
      <c r="O2099" s="1" t="s">
        <v>291</v>
      </c>
    </row>
    <row r="2100" spans="1:15" ht="60" x14ac:dyDescent="0.25">
      <c r="A2100" s="1" t="s">
        <v>1268</v>
      </c>
      <c r="B2100" s="1"/>
      <c r="C2100" s="1" t="s">
        <v>722</v>
      </c>
      <c r="D2100" s="1">
        <v>121049</v>
      </c>
      <c r="E2100" s="1">
        <v>718</v>
      </c>
      <c r="F2100" s="1" t="s">
        <v>3097</v>
      </c>
      <c r="G2100" s="1" t="s">
        <v>726</v>
      </c>
      <c r="H2100" s="1" t="s">
        <v>141</v>
      </c>
      <c r="I2100" s="1" t="s">
        <v>65</v>
      </c>
      <c r="J2100" s="1">
        <v>3</v>
      </c>
      <c r="K2100" s="1" t="s">
        <v>142</v>
      </c>
      <c r="L2100" s="1" t="s">
        <v>153</v>
      </c>
      <c r="M2100" s="1" t="s">
        <v>1256</v>
      </c>
      <c r="N2100" s="1" t="str">
        <f>HYPERLINK("https://klocwork.india.ti.com:443/review/insight-review.html#issuedetails_goto:problemid=121049,project=MCU_PLUS_SDK_AM263X,searchquery=taxonomy:'C and C++' build:Build_Apr_13_2023_11_11_AM grouping:off ","KW Issue Link")</f>
        <v>KW Issue Link</v>
      </c>
      <c r="O2100" s="1" t="s">
        <v>291</v>
      </c>
    </row>
    <row r="2101" spans="1:15" ht="60" x14ac:dyDescent="0.25">
      <c r="A2101" s="1" t="s">
        <v>1268</v>
      </c>
      <c r="B2101" s="1"/>
      <c r="C2101" s="1" t="s">
        <v>722</v>
      </c>
      <c r="D2101" s="1">
        <v>121050</v>
      </c>
      <c r="E2101" s="1">
        <v>772</v>
      </c>
      <c r="F2101" s="1" t="s">
        <v>3098</v>
      </c>
      <c r="G2101" s="1" t="s">
        <v>3023</v>
      </c>
      <c r="H2101" s="1" t="s">
        <v>141</v>
      </c>
      <c r="I2101" s="1" t="s">
        <v>65</v>
      </c>
      <c r="J2101" s="1">
        <v>3</v>
      </c>
      <c r="K2101" s="1" t="s">
        <v>142</v>
      </c>
      <c r="L2101" s="1" t="s">
        <v>153</v>
      </c>
      <c r="M2101" s="1" t="s">
        <v>1256</v>
      </c>
      <c r="N2101" s="1" t="str">
        <f>HYPERLINK("https://klocwork.india.ti.com:443/review/insight-review.html#issuedetails_goto:problemid=121050,project=MCU_PLUS_SDK_AM263X,searchquery=taxonomy:'C and C++' build:Build_Apr_13_2023_11_11_AM grouping:off ","KW Issue Link")</f>
        <v>KW Issue Link</v>
      </c>
      <c r="O2101" s="1" t="s">
        <v>291</v>
      </c>
    </row>
    <row r="2102" spans="1:15" ht="60" x14ac:dyDescent="0.25">
      <c r="A2102" s="1" t="s">
        <v>1268</v>
      </c>
      <c r="B2102" s="1"/>
      <c r="C2102" s="1" t="s">
        <v>722</v>
      </c>
      <c r="D2102" s="1">
        <v>121051</v>
      </c>
      <c r="E2102" s="1">
        <v>813</v>
      </c>
      <c r="F2102" s="1" t="s">
        <v>3099</v>
      </c>
      <c r="G2102" s="1" t="s">
        <v>747</v>
      </c>
      <c r="H2102" s="1" t="s">
        <v>141</v>
      </c>
      <c r="I2102" s="1" t="s">
        <v>65</v>
      </c>
      <c r="J2102" s="1">
        <v>3</v>
      </c>
      <c r="K2102" s="1" t="s">
        <v>142</v>
      </c>
      <c r="L2102" s="1" t="s">
        <v>153</v>
      </c>
      <c r="M2102" s="1" t="s">
        <v>1256</v>
      </c>
      <c r="N2102" s="1" t="str">
        <f>HYPERLINK("https://klocwork.india.ti.com:443/review/insight-review.html#issuedetails_goto:problemid=121051,project=MCU_PLUS_SDK_AM263X,searchquery=taxonomy:'C and C++' build:Build_Apr_13_2023_11_11_AM grouping:off ","KW Issue Link")</f>
        <v>KW Issue Link</v>
      </c>
      <c r="O2102" s="1" t="s">
        <v>291</v>
      </c>
    </row>
    <row r="2103" spans="1:15" ht="60" x14ac:dyDescent="0.25">
      <c r="A2103" s="1" t="s">
        <v>1268</v>
      </c>
      <c r="B2103" s="1"/>
      <c r="C2103" s="1" t="s">
        <v>722</v>
      </c>
      <c r="D2103" s="1">
        <v>121052</v>
      </c>
      <c r="E2103" s="1">
        <v>881</v>
      </c>
      <c r="F2103" s="1" t="s">
        <v>3100</v>
      </c>
      <c r="G2103" s="1" t="s">
        <v>3026</v>
      </c>
      <c r="H2103" s="1" t="s">
        <v>141</v>
      </c>
      <c r="I2103" s="1" t="s">
        <v>65</v>
      </c>
      <c r="J2103" s="1">
        <v>3</v>
      </c>
      <c r="K2103" s="1" t="s">
        <v>142</v>
      </c>
      <c r="L2103" s="1" t="s">
        <v>153</v>
      </c>
      <c r="M2103" s="1" t="s">
        <v>1256</v>
      </c>
      <c r="N2103" s="1" t="str">
        <f>HYPERLINK("https://klocwork.india.ti.com:443/review/insight-review.html#issuedetails_goto:problemid=121052,project=MCU_PLUS_SDK_AM263X,searchquery=taxonomy:'C and C++' build:Build_Apr_13_2023_11_11_AM grouping:off ","KW Issue Link")</f>
        <v>KW Issue Link</v>
      </c>
      <c r="O2103" s="1" t="s">
        <v>291</v>
      </c>
    </row>
    <row r="2104" spans="1:15" ht="60" x14ac:dyDescent="0.25">
      <c r="A2104" s="1" t="s">
        <v>1268</v>
      </c>
      <c r="B2104" s="1"/>
      <c r="C2104" s="1" t="s">
        <v>722</v>
      </c>
      <c r="D2104" s="1">
        <v>121053</v>
      </c>
      <c r="E2104" s="1">
        <v>920</v>
      </c>
      <c r="F2104" s="1" t="s">
        <v>3101</v>
      </c>
      <c r="G2104" s="1" t="s">
        <v>754</v>
      </c>
      <c r="H2104" s="1" t="s">
        <v>141</v>
      </c>
      <c r="I2104" s="1" t="s">
        <v>65</v>
      </c>
      <c r="J2104" s="1">
        <v>3</v>
      </c>
      <c r="K2104" s="1" t="s">
        <v>142</v>
      </c>
      <c r="L2104" s="1" t="s">
        <v>153</v>
      </c>
      <c r="M2104" s="1" t="s">
        <v>1256</v>
      </c>
      <c r="N2104" s="1" t="str">
        <f>HYPERLINK("https://klocwork.india.ti.com:443/review/insight-review.html#issuedetails_goto:problemid=121053,project=MCU_PLUS_SDK_AM263X,searchquery=taxonomy:'C and C++' build:Build_Apr_13_2023_11_11_AM grouping:off ","KW Issue Link")</f>
        <v>KW Issue Link</v>
      </c>
      <c r="O2104" s="1" t="s">
        <v>291</v>
      </c>
    </row>
    <row r="2105" spans="1:15" ht="60" x14ac:dyDescent="0.25">
      <c r="A2105" s="1" t="s">
        <v>1268</v>
      </c>
      <c r="B2105" s="1"/>
      <c r="C2105" s="1" t="s">
        <v>722</v>
      </c>
      <c r="D2105" s="1">
        <v>121054</v>
      </c>
      <c r="E2105" s="1">
        <v>1023</v>
      </c>
      <c r="F2105" s="1" t="s">
        <v>3102</v>
      </c>
      <c r="G2105" s="1" t="s">
        <v>746</v>
      </c>
      <c r="H2105" s="1" t="s">
        <v>141</v>
      </c>
      <c r="I2105" s="1" t="s">
        <v>65</v>
      </c>
      <c r="J2105" s="1">
        <v>3</v>
      </c>
      <c r="K2105" s="1" t="s">
        <v>142</v>
      </c>
      <c r="L2105" s="1" t="s">
        <v>153</v>
      </c>
      <c r="M2105" s="1" t="s">
        <v>1256</v>
      </c>
      <c r="N2105" s="1" t="str">
        <f>HYPERLINK("https://klocwork.india.ti.com:443/review/insight-review.html#issuedetails_goto:problemid=121054,project=MCU_PLUS_SDK_AM263X,searchquery=taxonomy:'C and C++' build:Build_Apr_13_2023_11_11_AM grouping:off ","KW Issue Link")</f>
        <v>KW Issue Link</v>
      </c>
      <c r="O2105" s="1" t="s">
        <v>291</v>
      </c>
    </row>
    <row r="2106" spans="1:15" ht="60" x14ac:dyDescent="0.25">
      <c r="A2106" s="1" t="s">
        <v>1268</v>
      </c>
      <c r="B2106" s="1"/>
      <c r="C2106" s="1" t="s">
        <v>722</v>
      </c>
      <c r="D2106" s="1">
        <v>121055</v>
      </c>
      <c r="E2106" s="1">
        <v>1056</v>
      </c>
      <c r="F2106" s="1" t="s">
        <v>3103</v>
      </c>
      <c r="G2106" s="1" t="s">
        <v>735</v>
      </c>
      <c r="H2106" s="1" t="s">
        <v>141</v>
      </c>
      <c r="I2106" s="1" t="s">
        <v>65</v>
      </c>
      <c r="J2106" s="1">
        <v>3</v>
      </c>
      <c r="K2106" s="1" t="s">
        <v>142</v>
      </c>
      <c r="L2106" s="1" t="s">
        <v>153</v>
      </c>
      <c r="M2106" s="1" t="s">
        <v>1256</v>
      </c>
      <c r="N2106" s="1" t="str">
        <f>HYPERLINK("https://klocwork.india.ti.com:443/review/insight-review.html#issuedetails_goto:problemid=121055,project=MCU_PLUS_SDK_AM263X,searchquery=taxonomy:'C and C++' build:Build_Apr_13_2023_11_11_AM grouping:off ","KW Issue Link")</f>
        <v>KW Issue Link</v>
      </c>
      <c r="O2106" s="1" t="s">
        <v>291</v>
      </c>
    </row>
    <row r="2107" spans="1:15" ht="60" x14ac:dyDescent="0.25">
      <c r="A2107" s="1" t="s">
        <v>1268</v>
      </c>
      <c r="B2107" s="1"/>
      <c r="C2107" s="1" t="s">
        <v>722</v>
      </c>
      <c r="D2107" s="1">
        <v>121056</v>
      </c>
      <c r="E2107" s="1">
        <v>1088</v>
      </c>
      <c r="F2107" s="1" t="s">
        <v>3104</v>
      </c>
      <c r="G2107" s="1" t="s">
        <v>738</v>
      </c>
      <c r="H2107" s="1" t="s">
        <v>141</v>
      </c>
      <c r="I2107" s="1" t="s">
        <v>65</v>
      </c>
      <c r="J2107" s="1">
        <v>3</v>
      </c>
      <c r="K2107" s="1" t="s">
        <v>142</v>
      </c>
      <c r="L2107" s="1" t="s">
        <v>153</v>
      </c>
      <c r="M2107" s="1" t="s">
        <v>1256</v>
      </c>
      <c r="N2107" s="1" t="str">
        <f>HYPERLINK("https://klocwork.india.ti.com:443/review/insight-review.html#issuedetails_goto:problemid=121056,project=MCU_PLUS_SDK_AM263X,searchquery=taxonomy:'C and C++' build:Build_Apr_13_2023_11_11_AM grouping:off ","KW Issue Link")</f>
        <v>KW Issue Link</v>
      </c>
      <c r="O2107" s="1" t="s">
        <v>291</v>
      </c>
    </row>
    <row r="2108" spans="1:15" ht="60" x14ac:dyDescent="0.25">
      <c r="A2108" s="1" t="s">
        <v>1268</v>
      </c>
      <c r="B2108" s="1"/>
      <c r="C2108" s="1" t="s">
        <v>722</v>
      </c>
      <c r="D2108" s="1">
        <v>121057</v>
      </c>
      <c r="E2108" s="1">
        <v>1199</v>
      </c>
      <c r="F2108" s="1" t="s">
        <v>3105</v>
      </c>
      <c r="G2108" s="1" t="s">
        <v>3031</v>
      </c>
      <c r="H2108" s="1" t="s">
        <v>141</v>
      </c>
      <c r="I2108" s="1" t="s">
        <v>65</v>
      </c>
      <c r="J2108" s="1">
        <v>3</v>
      </c>
      <c r="K2108" s="1" t="s">
        <v>142</v>
      </c>
      <c r="L2108" s="1" t="s">
        <v>153</v>
      </c>
      <c r="M2108" s="1" t="s">
        <v>1256</v>
      </c>
      <c r="N2108" s="1" t="str">
        <f>HYPERLINK("https://klocwork.india.ti.com:443/review/insight-review.html#issuedetails_goto:problemid=121057,project=MCU_PLUS_SDK_AM263X,searchquery=taxonomy:'C and C++' build:Build_Apr_13_2023_11_11_AM grouping:off ","KW Issue Link")</f>
        <v>KW Issue Link</v>
      </c>
      <c r="O2108" s="1" t="s">
        <v>291</v>
      </c>
    </row>
    <row r="2109" spans="1:15" ht="60" x14ac:dyDescent="0.25">
      <c r="A2109" s="1" t="s">
        <v>1268</v>
      </c>
      <c r="B2109" s="1"/>
      <c r="C2109" s="1" t="s">
        <v>722</v>
      </c>
      <c r="D2109" s="1">
        <v>121058</v>
      </c>
      <c r="E2109" s="1">
        <v>1281</v>
      </c>
      <c r="F2109" s="1" t="s">
        <v>3106</v>
      </c>
      <c r="G2109" s="1" t="s">
        <v>3033</v>
      </c>
      <c r="H2109" s="1" t="s">
        <v>141</v>
      </c>
      <c r="I2109" s="1" t="s">
        <v>65</v>
      </c>
      <c r="J2109" s="1">
        <v>3</v>
      </c>
      <c r="K2109" s="1" t="s">
        <v>142</v>
      </c>
      <c r="L2109" s="1" t="s">
        <v>153</v>
      </c>
      <c r="M2109" s="1" t="s">
        <v>1256</v>
      </c>
      <c r="N2109" s="1" t="str">
        <f>HYPERLINK("https://klocwork.india.ti.com:443/review/insight-review.html#issuedetails_goto:problemid=121058,project=MCU_PLUS_SDK_AM263X,searchquery=taxonomy:'C and C++' build:Build_Apr_13_2023_11_11_AM grouping:off ","KW Issue Link")</f>
        <v>KW Issue Link</v>
      </c>
      <c r="O2109" s="1" t="s">
        <v>291</v>
      </c>
    </row>
    <row r="2110" spans="1:15" ht="60" x14ac:dyDescent="0.25">
      <c r="A2110" s="1" t="s">
        <v>1268</v>
      </c>
      <c r="B2110" s="1"/>
      <c r="C2110" s="1" t="s">
        <v>722</v>
      </c>
      <c r="D2110" s="1">
        <v>121059</v>
      </c>
      <c r="E2110" s="1">
        <v>1382</v>
      </c>
      <c r="F2110" s="1" t="s">
        <v>3107</v>
      </c>
      <c r="G2110" s="1" t="s">
        <v>3035</v>
      </c>
      <c r="H2110" s="1" t="s">
        <v>141</v>
      </c>
      <c r="I2110" s="1" t="s">
        <v>65</v>
      </c>
      <c r="J2110" s="1">
        <v>3</v>
      </c>
      <c r="K2110" s="1" t="s">
        <v>142</v>
      </c>
      <c r="L2110" s="1" t="s">
        <v>153</v>
      </c>
      <c r="M2110" s="1" t="s">
        <v>1256</v>
      </c>
      <c r="N2110" s="1" t="str">
        <f>HYPERLINK("https://klocwork.india.ti.com:443/review/insight-review.html#issuedetails_goto:problemid=121059,project=MCU_PLUS_SDK_AM263X,searchquery=taxonomy:'C and C++' build:Build_Apr_13_2023_11_11_AM grouping:off ","KW Issue Link")</f>
        <v>KW Issue Link</v>
      </c>
      <c r="O2110" s="1" t="s">
        <v>291</v>
      </c>
    </row>
    <row r="2111" spans="1:15" ht="60" x14ac:dyDescent="0.25">
      <c r="A2111" s="1" t="s">
        <v>1268</v>
      </c>
      <c r="B2111" s="1"/>
      <c r="C2111" s="1" t="s">
        <v>722</v>
      </c>
      <c r="D2111" s="1">
        <v>121060</v>
      </c>
      <c r="E2111" s="1">
        <v>1422</v>
      </c>
      <c r="F2111" s="1" t="s">
        <v>3108</v>
      </c>
      <c r="G2111" s="1" t="s">
        <v>3037</v>
      </c>
      <c r="H2111" s="1" t="s">
        <v>141</v>
      </c>
      <c r="I2111" s="1" t="s">
        <v>65</v>
      </c>
      <c r="J2111" s="1">
        <v>3</v>
      </c>
      <c r="K2111" s="1" t="s">
        <v>142</v>
      </c>
      <c r="L2111" s="1" t="s">
        <v>153</v>
      </c>
      <c r="M2111" s="1" t="s">
        <v>1256</v>
      </c>
      <c r="N2111" s="1" t="str">
        <f>HYPERLINK("https://klocwork.india.ti.com:443/review/insight-review.html#issuedetails_goto:problemid=121060,project=MCU_PLUS_SDK_AM263X,searchquery=taxonomy:'C and C++' build:Build_Apr_13_2023_11_11_AM grouping:off ","KW Issue Link")</f>
        <v>KW Issue Link</v>
      </c>
      <c r="O2111" s="1" t="s">
        <v>291</v>
      </c>
    </row>
    <row r="2112" spans="1:15" ht="60" x14ac:dyDescent="0.25">
      <c r="A2112" s="1" t="s">
        <v>1268</v>
      </c>
      <c r="B2112" s="1"/>
      <c r="C2112" s="1" t="s">
        <v>722</v>
      </c>
      <c r="D2112" s="1">
        <v>121061</v>
      </c>
      <c r="E2112" s="1">
        <v>1585</v>
      </c>
      <c r="F2112" s="1" t="s">
        <v>3109</v>
      </c>
      <c r="G2112" s="1" t="s">
        <v>3039</v>
      </c>
      <c r="H2112" s="1" t="s">
        <v>141</v>
      </c>
      <c r="I2112" s="1" t="s">
        <v>65</v>
      </c>
      <c r="J2112" s="1">
        <v>3</v>
      </c>
      <c r="K2112" s="1" t="s">
        <v>142</v>
      </c>
      <c r="L2112" s="1" t="s">
        <v>153</v>
      </c>
      <c r="M2112" s="1" t="s">
        <v>1256</v>
      </c>
      <c r="N2112" s="1" t="str">
        <f>HYPERLINK("https://klocwork.india.ti.com:443/review/insight-review.html#issuedetails_goto:problemid=121061,project=MCU_PLUS_SDK_AM263X,searchquery=taxonomy:'C and C++' build:Build_Apr_13_2023_11_11_AM grouping:off ","KW Issue Link")</f>
        <v>KW Issue Link</v>
      </c>
      <c r="O2112" s="1" t="s">
        <v>291</v>
      </c>
    </row>
    <row r="2113" spans="1:15" ht="60" x14ac:dyDescent="0.25">
      <c r="A2113" s="1" t="s">
        <v>1268</v>
      </c>
      <c r="B2113" s="1"/>
      <c r="C2113" s="1" t="s">
        <v>722</v>
      </c>
      <c r="D2113" s="1">
        <v>121062</v>
      </c>
      <c r="E2113" s="1">
        <v>1685</v>
      </c>
      <c r="F2113" s="1" t="s">
        <v>3110</v>
      </c>
      <c r="G2113" s="1" t="s">
        <v>748</v>
      </c>
      <c r="H2113" s="1" t="s">
        <v>141</v>
      </c>
      <c r="I2113" s="1" t="s">
        <v>65</v>
      </c>
      <c r="J2113" s="1">
        <v>3</v>
      </c>
      <c r="K2113" s="1" t="s">
        <v>142</v>
      </c>
      <c r="L2113" s="1" t="s">
        <v>153</v>
      </c>
      <c r="M2113" s="1" t="s">
        <v>1256</v>
      </c>
      <c r="N2113" s="1" t="str">
        <f>HYPERLINK("https://klocwork.india.ti.com:443/review/insight-review.html#issuedetails_goto:problemid=121062,project=MCU_PLUS_SDK_AM263X,searchquery=taxonomy:'C and C++' build:Build_Apr_13_2023_11_11_AM grouping:off ","KW Issue Link")</f>
        <v>KW Issue Link</v>
      </c>
      <c r="O2113" s="1" t="s">
        <v>291</v>
      </c>
    </row>
    <row r="2114" spans="1:15" ht="60" x14ac:dyDescent="0.25">
      <c r="A2114" s="1" t="s">
        <v>1268</v>
      </c>
      <c r="B2114" s="1"/>
      <c r="C2114" s="1" t="s">
        <v>722</v>
      </c>
      <c r="D2114" s="1">
        <v>121063</v>
      </c>
      <c r="E2114" s="1">
        <v>1835</v>
      </c>
      <c r="F2114" s="1" t="s">
        <v>3111</v>
      </c>
      <c r="G2114" s="1" t="s">
        <v>3043</v>
      </c>
      <c r="H2114" s="1" t="s">
        <v>141</v>
      </c>
      <c r="I2114" s="1" t="s">
        <v>65</v>
      </c>
      <c r="J2114" s="1">
        <v>3</v>
      </c>
      <c r="K2114" s="1" t="s">
        <v>142</v>
      </c>
      <c r="L2114" s="1" t="s">
        <v>153</v>
      </c>
      <c r="M2114" s="1" t="s">
        <v>1256</v>
      </c>
      <c r="N2114" s="1" t="str">
        <f>HYPERLINK("https://klocwork.india.ti.com:443/review/insight-review.html#issuedetails_goto:problemid=121063,project=MCU_PLUS_SDK_AM263X,searchquery=taxonomy:'C and C++' build:Build_Apr_13_2023_11_11_AM grouping:off ","KW Issue Link")</f>
        <v>KW Issue Link</v>
      </c>
      <c r="O2114" s="1" t="s">
        <v>291</v>
      </c>
    </row>
    <row r="2115" spans="1:15" ht="60" x14ac:dyDescent="0.25">
      <c r="A2115" s="1" t="s">
        <v>1268</v>
      </c>
      <c r="B2115" s="1"/>
      <c r="C2115" s="1" t="s">
        <v>722</v>
      </c>
      <c r="D2115" s="1">
        <v>121064</v>
      </c>
      <c r="E2115" s="1">
        <v>1964</v>
      </c>
      <c r="F2115" s="1" t="s">
        <v>3112</v>
      </c>
      <c r="G2115" s="1" t="s">
        <v>728</v>
      </c>
      <c r="H2115" s="1" t="s">
        <v>141</v>
      </c>
      <c r="I2115" s="1" t="s">
        <v>65</v>
      </c>
      <c r="J2115" s="1">
        <v>3</v>
      </c>
      <c r="K2115" s="1" t="s">
        <v>142</v>
      </c>
      <c r="L2115" s="1" t="s">
        <v>153</v>
      </c>
      <c r="M2115" s="1" t="s">
        <v>1256</v>
      </c>
      <c r="N2115" s="1" t="str">
        <f>HYPERLINK("https://klocwork.india.ti.com:443/review/insight-review.html#issuedetails_goto:problemid=121064,project=MCU_PLUS_SDK_AM263X,searchquery=taxonomy:'C and C++' build:Build_Apr_13_2023_11_11_AM grouping:off ","KW Issue Link")</f>
        <v>KW Issue Link</v>
      </c>
      <c r="O2115" s="1" t="s">
        <v>291</v>
      </c>
    </row>
    <row r="2116" spans="1:15" ht="60" x14ac:dyDescent="0.25">
      <c r="A2116" s="1" t="s">
        <v>1268</v>
      </c>
      <c r="B2116" s="1"/>
      <c r="C2116" s="1" t="s">
        <v>722</v>
      </c>
      <c r="D2116" s="1">
        <v>121065</v>
      </c>
      <c r="E2116" s="1">
        <v>2193</v>
      </c>
      <c r="F2116" s="1" t="s">
        <v>3113</v>
      </c>
      <c r="G2116" s="1" t="s">
        <v>729</v>
      </c>
      <c r="H2116" s="1" t="s">
        <v>141</v>
      </c>
      <c r="I2116" s="1" t="s">
        <v>65</v>
      </c>
      <c r="J2116" s="1">
        <v>3</v>
      </c>
      <c r="K2116" s="1" t="s">
        <v>142</v>
      </c>
      <c r="L2116" s="1" t="s">
        <v>153</v>
      </c>
      <c r="M2116" s="1" t="s">
        <v>1256</v>
      </c>
      <c r="N2116" s="1" t="str">
        <f>HYPERLINK("https://klocwork.india.ti.com:443/review/insight-review.html#issuedetails_goto:problemid=121065,project=MCU_PLUS_SDK_AM263X,searchquery=taxonomy:'C and C++' build:Build_Apr_13_2023_11_11_AM grouping:off ","KW Issue Link")</f>
        <v>KW Issue Link</v>
      </c>
      <c r="O2116" s="1" t="s">
        <v>291</v>
      </c>
    </row>
    <row r="2117" spans="1:15" ht="60" x14ac:dyDescent="0.25">
      <c r="A2117" s="1" t="s">
        <v>1268</v>
      </c>
      <c r="B2117" s="1"/>
      <c r="C2117" s="1" t="s">
        <v>722</v>
      </c>
      <c r="D2117" s="1">
        <v>121066</v>
      </c>
      <c r="E2117" s="1">
        <v>2319</v>
      </c>
      <c r="F2117" s="1" t="s">
        <v>3114</v>
      </c>
      <c r="G2117" s="1" t="s">
        <v>3047</v>
      </c>
      <c r="H2117" s="1" t="s">
        <v>141</v>
      </c>
      <c r="I2117" s="1" t="s">
        <v>65</v>
      </c>
      <c r="J2117" s="1">
        <v>3</v>
      </c>
      <c r="K2117" s="1" t="s">
        <v>142</v>
      </c>
      <c r="L2117" s="1" t="s">
        <v>153</v>
      </c>
      <c r="M2117" s="1" t="s">
        <v>1256</v>
      </c>
      <c r="N2117" s="1" t="str">
        <f>HYPERLINK("https://klocwork.india.ti.com:443/review/insight-review.html#issuedetails_goto:problemid=121066,project=MCU_PLUS_SDK_AM263X,searchquery=taxonomy:'C and C++' build:Build_Apr_13_2023_11_11_AM grouping:off ","KW Issue Link")</f>
        <v>KW Issue Link</v>
      </c>
      <c r="O2117" s="1" t="s">
        <v>291</v>
      </c>
    </row>
    <row r="2118" spans="1:15" ht="60" x14ac:dyDescent="0.25">
      <c r="A2118" s="1" t="s">
        <v>1268</v>
      </c>
      <c r="B2118" s="1"/>
      <c r="C2118" s="1" t="s">
        <v>722</v>
      </c>
      <c r="D2118" s="1">
        <v>121067</v>
      </c>
      <c r="E2118" s="1">
        <v>2655</v>
      </c>
      <c r="F2118" s="1" t="s">
        <v>3115</v>
      </c>
      <c r="G2118" s="1" t="s">
        <v>3052</v>
      </c>
      <c r="H2118" s="1" t="s">
        <v>141</v>
      </c>
      <c r="I2118" s="1" t="s">
        <v>65</v>
      </c>
      <c r="J2118" s="1">
        <v>3</v>
      </c>
      <c r="K2118" s="1" t="s">
        <v>142</v>
      </c>
      <c r="L2118" s="1" t="s">
        <v>153</v>
      </c>
      <c r="M2118" s="1" t="s">
        <v>1256</v>
      </c>
      <c r="N2118" s="1" t="str">
        <f>HYPERLINK("https://klocwork.india.ti.com:443/review/insight-review.html#issuedetails_goto:problemid=121067,project=MCU_PLUS_SDK_AM263X,searchquery=taxonomy:'C and C++' build:Build_Apr_13_2023_11_11_AM grouping:off ","KW Issue Link")</f>
        <v>KW Issue Link</v>
      </c>
      <c r="O2118" s="1" t="s">
        <v>291</v>
      </c>
    </row>
    <row r="2119" spans="1:15" ht="60" x14ac:dyDescent="0.25">
      <c r="A2119" s="1" t="s">
        <v>1268</v>
      </c>
      <c r="B2119" s="1"/>
      <c r="C2119" s="1" t="s">
        <v>722</v>
      </c>
      <c r="D2119" s="1">
        <v>121068</v>
      </c>
      <c r="E2119" s="1">
        <v>2700</v>
      </c>
      <c r="F2119" s="1" t="s">
        <v>3116</v>
      </c>
      <c r="G2119" s="1" t="s">
        <v>3054</v>
      </c>
      <c r="H2119" s="1" t="s">
        <v>141</v>
      </c>
      <c r="I2119" s="1" t="s">
        <v>65</v>
      </c>
      <c r="J2119" s="1">
        <v>3</v>
      </c>
      <c r="K2119" s="1" t="s">
        <v>142</v>
      </c>
      <c r="L2119" s="1" t="s">
        <v>153</v>
      </c>
      <c r="M2119" s="1" t="s">
        <v>1256</v>
      </c>
      <c r="N2119" s="1" t="str">
        <f>HYPERLINK("https://klocwork.india.ti.com:443/review/insight-review.html#issuedetails_goto:problemid=121068,project=MCU_PLUS_SDK_AM263X,searchquery=taxonomy:'C and C++' build:Build_Apr_13_2023_11_11_AM grouping:off ","KW Issue Link")</f>
        <v>KW Issue Link</v>
      </c>
      <c r="O2119" s="1" t="s">
        <v>291</v>
      </c>
    </row>
    <row r="2120" spans="1:15" ht="60" x14ac:dyDescent="0.25">
      <c r="A2120" s="1" t="s">
        <v>1268</v>
      </c>
      <c r="B2120" s="1"/>
      <c r="C2120" s="1" t="s">
        <v>722</v>
      </c>
      <c r="D2120" s="1">
        <v>121069</v>
      </c>
      <c r="E2120" s="1">
        <v>2882</v>
      </c>
      <c r="F2120" s="1" t="s">
        <v>3117</v>
      </c>
      <c r="G2120" s="1" t="s">
        <v>742</v>
      </c>
      <c r="H2120" s="1" t="s">
        <v>141</v>
      </c>
      <c r="I2120" s="1" t="s">
        <v>65</v>
      </c>
      <c r="J2120" s="1">
        <v>3</v>
      </c>
      <c r="K2120" s="1" t="s">
        <v>142</v>
      </c>
      <c r="L2120" s="1" t="s">
        <v>153</v>
      </c>
      <c r="M2120" s="1" t="s">
        <v>1256</v>
      </c>
      <c r="N2120" s="1" t="str">
        <f>HYPERLINK("https://klocwork.india.ti.com:443/review/insight-review.html#issuedetails_goto:problemid=121069,project=MCU_PLUS_SDK_AM263X,searchquery=taxonomy:'C and C++' build:Build_Apr_13_2023_11_11_AM grouping:off ","KW Issue Link")</f>
        <v>KW Issue Link</v>
      </c>
      <c r="O2120" s="1" t="s">
        <v>291</v>
      </c>
    </row>
    <row r="2121" spans="1:15" ht="60" x14ac:dyDescent="0.25">
      <c r="A2121" s="1" t="s">
        <v>1268</v>
      </c>
      <c r="B2121" s="1"/>
      <c r="C2121" s="1" t="s">
        <v>722</v>
      </c>
      <c r="D2121" s="1">
        <v>121070</v>
      </c>
      <c r="E2121" s="1">
        <v>3303</v>
      </c>
      <c r="F2121" s="1" t="s">
        <v>3118</v>
      </c>
      <c r="G2121" s="1" t="s">
        <v>749</v>
      </c>
      <c r="H2121" s="1" t="s">
        <v>141</v>
      </c>
      <c r="I2121" s="1" t="s">
        <v>65</v>
      </c>
      <c r="J2121" s="1">
        <v>3</v>
      </c>
      <c r="K2121" s="1" t="s">
        <v>142</v>
      </c>
      <c r="L2121" s="1" t="s">
        <v>153</v>
      </c>
      <c r="M2121" s="1" t="s">
        <v>1256</v>
      </c>
      <c r="N2121" s="1" t="str">
        <f>HYPERLINK("https://klocwork.india.ti.com:443/review/insight-review.html#issuedetails_goto:problemid=121070,project=MCU_PLUS_SDK_AM263X,searchquery=taxonomy:'C and C++' build:Build_Apr_13_2023_11_11_AM grouping:off ","KW Issue Link")</f>
        <v>KW Issue Link</v>
      </c>
      <c r="O2121" s="1" t="s">
        <v>291</v>
      </c>
    </row>
    <row r="2122" spans="1:15" ht="60" x14ac:dyDescent="0.25">
      <c r="A2122" s="1" t="s">
        <v>1268</v>
      </c>
      <c r="B2122" s="1"/>
      <c r="C2122" s="1" t="s">
        <v>722</v>
      </c>
      <c r="D2122" s="1">
        <v>121071</v>
      </c>
      <c r="E2122" s="1">
        <v>3743</v>
      </c>
      <c r="F2122" s="1" t="s">
        <v>3119</v>
      </c>
      <c r="G2122" s="1" t="s">
        <v>3064</v>
      </c>
      <c r="H2122" s="1" t="s">
        <v>141</v>
      </c>
      <c r="I2122" s="1" t="s">
        <v>65</v>
      </c>
      <c r="J2122" s="1">
        <v>3</v>
      </c>
      <c r="K2122" s="1" t="s">
        <v>142</v>
      </c>
      <c r="L2122" s="1" t="s">
        <v>153</v>
      </c>
      <c r="M2122" s="1" t="s">
        <v>1256</v>
      </c>
      <c r="N2122" s="1" t="str">
        <f>HYPERLINK("https://klocwork.india.ti.com:443/review/insight-review.html#issuedetails_goto:problemid=121071,project=MCU_PLUS_SDK_AM263X,searchquery=taxonomy:'C and C++' build:Build_Apr_13_2023_11_11_AM grouping:off ","KW Issue Link")</f>
        <v>KW Issue Link</v>
      </c>
      <c r="O2122" s="1" t="s">
        <v>291</v>
      </c>
    </row>
    <row r="2123" spans="1:15" ht="60" x14ac:dyDescent="0.25">
      <c r="A2123" s="1" t="s">
        <v>1268</v>
      </c>
      <c r="B2123" s="1"/>
      <c r="C2123" s="1" t="s">
        <v>722</v>
      </c>
      <c r="D2123" s="1">
        <v>121072</v>
      </c>
      <c r="E2123" s="1">
        <v>3836</v>
      </c>
      <c r="F2123" s="1" t="s">
        <v>3120</v>
      </c>
      <c r="G2123" s="1" t="s">
        <v>3066</v>
      </c>
      <c r="H2123" s="1" t="s">
        <v>141</v>
      </c>
      <c r="I2123" s="1" t="s">
        <v>65</v>
      </c>
      <c r="J2123" s="1">
        <v>3</v>
      </c>
      <c r="K2123" s="1" t="s">
        <v>142</v>
      </c>
      <c r="L2123" s="1" t="s">
        <v>153</v>
      </c>
      <c r="M2123" s="1" t="s">
        <v>1256</v>
      </c>
      <c r="N2123" s="1" t="str">
        <f>HYPERLINK("https://klocwork.india.ti.com:443/review/insight-review.html#issuedetails_goto:problemid=121072,project=MCU_PLUS_SDK_AM263X,searchquery=taxonomy:'C and C++' build:Build_Apr_13_2023_11_11_AM grouping:off ","KW Issue Link")</f>
        <v>KW Issue Link</v>
      </c>
      <c r="O2123" s="1" t="s">
        <v>291</v>
      </c>
    </row>
    <row r="2124" spans="1:15" ht="60" x14ac:dyDescent="0.25">
      <c r="A2124" s="1" t="s">
        <v>1252</v>
      </c>
      <c r="B2124" s="1"/>
      <c r="C2124" s="1" t="s">
        <v>722</v>
      </c>
      <c r="D2124" s="1">
        <v>121073</v>
      </c>
      <c r="E2124" s="1">
        <v>1056</v>
      </c>
      <c r="F2124" s="1" t="s">
        <v>3121</v>
      </c>
      <c r="G2124" s="1" t="s">
        <v>735</v>
      </c>
      <c r="H2124" s="1" t="s">
        <v>141</v>
      </c>
      <c r="I2124" s="1" t="s">
        <v>65</v>
      </c>
      <c r="J2124" s="1">
        <v>3</v>
      </c>
      <c r="K2124" s="1" t="s">
        <v>142</v>
      </c>
      <c r="L2124" s="1" t="s">
        <v>153</v>
      </c>
      <c r="M2124" s="1" t="s">
        <v>1256</v>
      </c>
      <c r="N2124" s="1" t="str">
        <f>HYPERLINK("https://klocwork.india.ti.com:443/review/insight-review.html#issuedetails_goto:problemid=121073,project=MCU_PLUS_SDK_AM263X,searchquery=taxonomy:'C and C++' build:Build_Apr_13_2023_11_11_AM grouping:off ","KW Issue Link")</f>
        <v>KW Issue Link</v>
      </c>
      <c r="O2124" s="1" t="s">
        <v>291</v>
      </c>
    </row>
    <row r="2125" spans="1:15" ht="60" x14ac:dyDescent="0.25">
      <c r="A2125" s="1" t="s">
        <v>1252</v>
      </c>
      <c r="B2125" s="1"/>
      <c r="C2125" s="1" t="s">
        <v>722</v>
      </c>
      <c r="D2125" s="1">
        <v>121074</v>
      </c>
      <c r="E2125" s="1">
        <v>1199</v>
      </c>
      <c r="F2125" s="1" t="s">
        <v>3122</v>
      </c>
      <c r="G2125" s="1" t="s">
        <v>3031</v>
      </c>
      <c r="H2125" s="1" t="s">
        <v>141</v>
      </c>
      <c r="I2125" s="1" t="s">
        <v>65</v>
      </c>
      <c r="J2125" s="1">
        <v>3</v>
      </c>
      <c r="K2125" s="1" t="s">
        <v>142</v>
      </c>
      <c r="L2125" s="1" t="s">
        <v>153</v>
      </c>
      <c r="M2125" s="1" t="s">
        <v>1256</v>
      </c>
      <c r="N2125" s="1" t="str">
        <f>HYPERLINK("https://klocwork.india.ti.com:443/review/insight-review.html#issuedetails_goto:problemid=121074,project=MCU_PLUS_SDK_AM263X,searchquery=taxonomy:'C and C++' build:Build_Apr_13_2023_11_11_AM grouping:off ","KW Issue Link")</f>
        <v>KW Issue Link</v>
      </c>
      <c r="O2125" s="1" t="s">
        <v>291</v>
      </c>
    </row>
    <row r="2126" spans="1:15" ht="60" x14ac:dyDescent="0.25">
      <c r="A2126" s="1" t="s">
        <v>1252</v>
      </c>
      <c r="B2126" s="1"/>
      <c r="C2126" s="1" t="s">
        <v>722</v>
      </c>
      <c r="D2126" s="1">
        <v>121075</v>
      </c>
      <c r="E2126" s="1">
        <v>1585</v>
      </c>
      <c r="F2126" s="1" t="s">
        <v>3123</v>
      </c>
      <c r="G2126" s="1" t="s">
        <v>3039</v>
      </c>
      <c r="H2126" s="1" t="s">
        <v>141</v>
      </c>
      <c r="I2126" s="1" t="s">
        <v>65</v>
      </c>
      <c r="J2126" s="1">
        <v>3</v>
      </c>
      <c r="K2126" s="1" t="s">
        <v>142</v>
      </c>
      <c r="L2126" s="1" t="s">
        <v>153</v>
      </c>
      <c r="M2126" s="1" t="s">
        <v>1256</v>
      </c>
      <c r="N2126" s="1" t="str">
        <f>HYPERLINK("https://klocwork.india.ti.com:443/review/insight-review.html#issuedetails_goto:problemid=121075,project=MCU_PLUS_SDK_AM263X,searchquery=taxonomy:'C and C++' build:Build_Apr_13_2023_11_11_AM grouping:off ","KW Issue Link")</f>
        <v>KW Issue Link</v>
      </c>
      <c r="O2126" s="1" t="s">
        <v>291</v>
      </c>
    </row>
    <row r="2127" spans="1:15" ht="60" x14ac:dyDescent="0.25">
      <c r="A2127" s="1" t="s">
        <v>1252</v>
      </c>
      <c r="B2127" s="1"/>
      <c r="C2127" s="1" t="s">
        <v>722</v>
      </c>
      <c r="D2127" s="1">
        <v>121076</v>
      </c>
      <c r="E2127" s="1">
        <v>1835</v>
      </c>
      <c r="F2127" s="1" t="s">
        <v>3124</v>
      </c>
      <c r="G2127" s="1" t="s">
        <v>3043</v>
      </c>
      <c r="H2127" s="1" t="s">
        <v>141</v>
      </c>
      <c r="I2127" s="1" t="s">
        <v>65</v>
      </c>
      <c r="J2127" s="1">
        <v>3</v>
      </c>
      <c r="K2127" s="1" t="s">
        <v>142</v>
      </c>
      <c r="L2127" s="1" t="s">
        <v>153</v>
      </c>
      <c r="M2127" s="1" t="s">
        <v>1256</v>
      </c>
      <c r="N2127" s="1" t="str">
        <f>HYPERLINK("https://klocwork.india.ti.com:443/review/insight-review.html#issuedetails_goto:problemid=121076,project=MCU_PLUS_SDK_AM263X,searchquery=taxonomy:'C and C++' build:Build_Apr_13_2023_11_11_AM grouping:off ","KW Issue Link")</f>
        <v>KW Issue Link</v>
      </c>
      <c r="O2127" s="1" t="s">
        <v>291</v>
      </c>
    </row>
    <row r="2128" spans="1:15" ht="60" x14ac:dyDescent="0.25">
      <c r="A2128" s="1" t="s">
        <v>1266</v>
      </c>
      <c r="B2128" s="1"/>
      <c r="C2128" s="1" t="s">
        <v>3125</v>
      </c>
      <c r="D2128" s="1">
        <v>121077</v>
      </c>
      <c r="E2128" s="1">
        <v>64</v>
      </c>
      <c r="F2128" s="1" t="s">
        <v>3126</v>
      </c>
      <c r="G2128" s="1" t="s">
        <v>3127</v>
      </c>
      <c r="H2128" s="1" t="s">
        <v>141</v>
      </c>
      <c r="I2128" s="1" t="s">
        <v>65</v>
      </c>
      <c r="J2128" s="1">
        <v>3</v>
      </c>
      <c r="K2128" s="1" t="s">
        <v>142</v>
      </c>
      <c r="L2128" s="1" t="s">
        <v>153</v>
      </c>
      <c r="M2128" s="1" t="s">
        <v>1256</v>
      </c>
      <c r="N2128" s="1" t="str">
        <f>HYPERLINK("https://klocwork.india.ti.com:443/review/insight-review.html#issuedetails_goto:problemid=121077,project=MCU_PLUS_SDK_AM263X,searchquery=taxonomy:'C and C++' build:Build_Apr_13_2023_11_11_AM grouping:off ","KW Issue Link")</f>
        <v>KW Issue Link</v>
      </c>
      <c r="O2128" s="1" t="s">
        <v>291</v>
      </c>
    </row>
    <row r="2129" spans="1:15" ht="60" x14ac:dyDescent="0.25">
      <c r="A2129" s="1" t="s">
        <v>1266</v>
      </c>
      <c r="B2129" s="1"/>
      <c r="C2129" s="1" t="s">
        <v>3125</v>
      </c>
      <c r="D2129" s="1">
        <v>121078</v>
      </c>
      <c r="E2129" s="1">
        <v>83</v>
      </c>
      <c r="F2129" s="1" t="s">
        <v>3128</v>
      </c>
      <c r="G2129" s="1" t="s">
        <v>3129</v>
      </c>
      <c r="H2129" s="1" t="s">
        <v>141</v>
      </c>
      <c r="I2129" s="1" t="s">
        <v>65</v>
      </c>
      <c r="J2129" s="1">
        <v>3</v>
      </c>
      <c r="K2129" s="1" t="s">
        <v>142</v>
      </c>
      <c r="L2129" s="1" t="s">
        <v>153</v>
      </c>
      <c r="M2129" s="1" t="s">
        <v>1256</v>
      </c>
      <c r="N2129" s="1" t="str">
        <f>HYPERLINK("https://klocwork.india.ti.com:443/review/insight-review.html#issuedetails_goto:problemid=121078,project=MCU_PLUS_SDK_AM263X,searchquery=taxonomy:'C and C++' build:Build_Apr_13_2023_11_11_AM grouping:off ","KW Issue Link")</f>
        <v>KW Issue Link</v>
      </c>
      <c r="O2129" s="1" t="s">
        <v>291</v>
      </c>
    </row>
    <row r="2130" spans="1:15" ht="60" x14ac:dyDescent="0.25">
      <c r="A2130" s="1" t="s">
        <v>1266</v>
      </c>
      <c r="B2130" s="1"/>
      <c r="C2130" s="1" t="s">
        <v>3125</v>
      </c>
      <c r="D2130" s="1">
        <v>121080</v>
      </c>
      <c r="E2130" s="1">
        <v>127</v>
      </c>
      <c r="F2130" s="1" t="s">
        <v>3130</v>
      </c>
      <c r="G2130" s="1" t="s">
        <v>3131</v>
      </c>
      <c r="H2130" s="1" t="s">
        <v>141</v>
      </c>
      <c r="I2130" s="1" t="s">
        <v>65</v>
      </c>
      <c r="J2130" s="1">
        <v>3</v>
      </c>
      <c r="K2130" s="1" t="s">
        <v>142</v>
      </c>
      <c r="L2130" s="1" t="s">
        <v>153</v>
      </c>
      <c r="M2130" s="1" t="s">
        <v>1256</v>
      </c>
      <c r="N2130" s="1" t="str">
        <f>HYPERLINK("https://klocwork.india.ti.com:443/review/insight-review.html#issuedetails_goto:problemid=121080,project=MCU_PLUS_SDK_AM263X,searchquery=taxonomy:'C and C++' build:Build_Apr_13_2023_11_11_AM grouping:off ","KW Issue Link")</f>
        <v>KW Issue Link</v>
      </c>
      <c r="O2130" s="1" t="s">
        <v>291</v>
      </c>
    </row>
    <row r="2131" spans="1:15" ht="60" x14ac:dyDescent="0.25">
      <c r="A2131" s="1" t="s">
        <v>1268</v>
      </c>
      <c r="B2131" s="1"/>
      <c r="C2131" s="1" t="s">
        <v>3125</v>
      </c>
      <c r="D2131" s="1">
        <v>121081</v>
      </c>
      <c r="E2131" s="1">
        <v>64</v>
      </c>
      <c r="F2131" s="1" t="s">
        <v>3132</v>
      </c>
      <c r="G2131" s="1" t="s">
        <v>3127</v>
      </c>
      <c r="H2131" s="1" t="s">
        <v>141</v>
      </c>
      <c r="I2131" s="1" t="s">
        <v>65</v>
      </c>
      <c r="J2131" s="1">
        <v>3</v>
      </c>
      <c r="K2131" s="1" t="s">
        <v>142</v>
      </c>
      <c r="L2131" s="1" t="s">
        <v>153</v>
      </c>
      <c r="M2131" s="1" t="s">
        <v>1256</v>
      </c>
      <c r="N2131" s="1" t="str">
        <f>HYPERLINK("https://klocwork.india.ti.com:443/review/insight-review.html#issuedetails_goto:problemid=121081,project=MCU_PLUS_SDK_AM263X,searchquery=taxonomy:'C and C++' build:Build_Apr_13_2023_11_11_AM grouping:off ","KW Issue Link")</f>
        <v>KW Issue Link</v>
      </c>
      <c r="O2131" s="1" t="s">
        <v>291</v>
      </c>
    </row>
    <row r="2132" spans="1:15" ht="60" x14ac:dyDescent="0.25">
      <c r="A2132" s="1" t="s">
        <v>1268</v>
      </c>
      <c r="B2132" s="1"/>
      <c r="C2132" s="1" t="s">
        <v>3125</v>
      </c>
      <c r="D2132" s="1">
        <v>121082</v>
      </c>
      <c r="E2132" s="1">
        <v>83</v>
      </c>
      <c r="F2132" s="1" t="s">
        <v>3133</v>
      </c>
      <c r="G2132" s="1" t="s">
        <v>3129</v>
      </c>
      <c r="H2132" s="1" t="s">
        <v>141</v>
      </c>
      <c r="I2132" s="1" t="s">
        <v>65</v>
      </c>
      <c r="J2132" s="1">
        <v>3</v>
      </c>
      <c r="K2132" s="1" t="s">
        <v>142</v>
      </c>
      <c r="L2132" s="1" t="s">
        <v>153</v>
      </c>
      <c r="M2132" s="1" t="s">
        <v>1256</v>
      </c>
      <c r="N2132" s="1" t="str">
        <f>HYPERLINK("https://klocwork.india.ti.com:443/review/insight-review.html#issuedetails_goto:problemid=121082,project=MCU_PLUS_SDK_AM263X,searchquery=taxonomy:'C and C++' build:Build_Apr_13_2023_11_11_AM grouping:off ","KW Issue Link")</f>
        <v>KW Issue Link</v>
      </c>
      <c r="O2132" s="1" t="s">
        <v>291</v>
      </c>
    </row>
    <row r="2133" spans="1:15" ht="60" x14ac:dyDescent="0.25">
      <c r="A2133" s="1" t="s">
        <v>1268</v>
      </c>
      <c r="B2133" s="1"/>
      <c r="C2133" s="1" t="s">
        <v>3125</v>
      </c>
      <c r="D2133" s="1">
        <v>121084</v>
      </c>
      <c r="E2133" s="1">
        <v>127</v>
      </c>
      <c r="F2133" s="1" t="s">
        <v>3134</v>
      </c>
      <c r="G2133" s="1" t="s">
        <v>3131</v>
      </c>
      <c r="H2133" s="1" t="s">
        <v>141</v>
      </c>
      <c r="I2133" s="1" t="s">
        <v>65</v>
      </c>
      <c r="J2133" s="1">
        <v>3</v>
      </c>
      <c r="K2133" s="1" t="s">
        <v>142</v>
      </c>
      <c r="L2133" s="1" t="s">
        <v>153</v>
      </c>
      <c r="M2133" s="1" t="s">
        <v>1256</v>
      </c>
      <c r="N2133" s="1" t="str">
        <f>HYPERLINK("https://klocwork.india.ti.com:443/review/insight-review.html#issuedetails_goto:problemid=121084,project=MCU_PLUS_SDK_AM263X,searchquery=taxonomy:'C and C++' build:Build_Apr_13_2023_11_11_AM grouping:off ","KW Issue Link")</f>
        <v>KW Issue Link</v>
      </c>
      <c r="O2133" s="1" t="s">
        <v>291</v>
      </c>
    </row>
    <row r="2134" spans="1:15" ht="75" x14ac:dyDescent="0.25">
      <c r="A2134" s="1" t="s">
        <v>1257</v>
      </c>
      <c r="B2134" s="1"/>
      <c r="C2134" s="1" t="s">
        <v>762</v>
      </c>
      <c r="D2134" s="1">
        <v>121092</v>
      </c>
      <c r="E2134" s="1">
        <v>261</v>
      </c>
      <c r="F2134" s="1" t="s">
        <v>3135</v>
      </c>
      <c r="G2134" s="1" t="s">
        <v>780</v>
      </c>
      <c r="H2134" s="1" t="s">
        <v>141</v>
      </c>
      <c r="I2134" s="1" t="s">
        <v>65</v>
      </c>
      <c r="J2134" s="1">
        <v>3</v>
      </c>
      <c r="K2134" s="1" t="s">
        <v>142</v>
      </c>
      <c r="L2134" s="1" t="s">
        <v>153</v>
      </c>
      <c r="M2134" s="1" t="s">
        <v>1256</v>
      </c>
      <c r="N2134" s="1" t="str">
        <f>HYPERLINK("https://klocwork.india.ti.com:443/review/insight-review.html#issuedetails_goto:problemid=121092,project=MCU_PLUS_SDK_AM263X,searchquery=taxonomy:'C and C++' build:Build_Apr_13_2023_11_11_AM grouping:off ","KW Issue Link")</f>
        <v>KW Issue Link</v>
      </c>
      <c r="O2134" s="1" t="s">
        <v>765</v>
      </c>
    </row>
    <row r="2135" spans="1:15" ht="75" x14ac:dyDescent="0.25">
      <c r="A2135" s="1" t="s">
        <v>1257</v>
      </c>
      <c r="B2135" s="1"/>
      <c r="C2135" s="1" t="s">
        <v>762</v>
      </c>
      <c r="D2135" s="1">
        <v>121094</v>
      </c>
      <c r="E2135" s="1">
        <v>295</v>
      </c>
      <c r="F2135" s="1" t="s">
        <v>3136</v>
      </c>
      <c r="G2135" s="1" t="s">
        <v>785</v>
      </c>
      <c r="H2135" s="1" t="s">
        <v>141</v>
      </c>
      <c r="I2135" s="1" t="s">
        <v>65</v>
      </c>
      <c r="J2135" s="1">
        <v>3</v>
      </c>
      <c r="K2135" s="1" t="s">
        <v>142</v>
      </c>
      <c r="L2135" s="1" t="s">
        <v>153</v>
      </c>
      <c r="M2135" s="1" t="s">
        <v>1256</v>
      </c>
      <c r="N2135" s="1" t="str">
        <f>HYPERLINK("https://klocwork.india.ti.com:443/review/insight-review.html#issuedetails_goto:problemid=121094,project=MCU_PLUS_SDK_AM263X,searchquery=taxonomy:'C and C++' build:Build_Apr_13_2023_11_11_AM grouping:off ","KW Issue Link")</f>
        <v>KW Issue Link</v>
      </c>
      <c r="O2135" s="1" t="s">
        <v>765</v>
      </c>
    </row>
    <row r="2136" spans="1:15" ht="75" x14ac:dyDescent="0.25">
      <c r="A2136" s="1" t="s">
        <v>1257</v>
      </c>
      <c r="B2136" s="1"/>
      <c r="C2136" s="1" t="s">
        <v>762</v>
      </c>
      <c r="D2136" s="1">
        <v>121098</v>
      </c>
      <c r="E2136" s="1">
        <v>359</v>
      </c>
      <c r="F2136" s="1" t="s">
        <v>3137</v>
      </c>
      <c r="G2136" s="1" t="s">
        <v>798</v>
      </c>
      <c r="H2136" s="1" t="s">
        <v>141</v>
      </c>
      <c r="I2136" s="1" t="s">
        <v>65</v>
      </c>
      <c r="J2136" s="1">
        <v>3</v>
      </c>
      <c r="K2136" s="1" t="s">
        <v>142</v>
      </c>
      <c r="L2136" s="1" t="s">
        <v>153</v>
      </c>
      <c r="M2136" s="1" t="s">
        <v>1256</v>
      </c>
      <c r="N2136" s="1" t="str">
        <f>HYPERLINK("https://klocwork.india.ti.com:443/review/insight-review.html#issuedetails_goto:problemid=121098,project=MCU_PLUS_SDK_AM263X,searchquery=taxonomy:'C and C++' build:Build_Apr_13_2023_11_11_AM grouping:off ","KW Issue Link")</f>
        <v>KW Issue Link</v>
      </c>
      <c r="O2136" s="1" t="s">
        <v>765</v>
      </c>
    </row>
    <row r="2137" spans="1:15" ht="75" x14ac:dyDescent="0.25">
      <c r="A2137" s="1" t="s">
        <v>1257</v>
      </c>
      <c r="B2137" s="1"/>
      <c r="C2137" s="1" t="s">
        <v>762</v>
      </c>
      <c r="D2137" s="1">
        <v>121099</v>
      </c>
      <c r="E2137" s="1">
        <v>376</v>
      </c>
      <c r="F2137" s="1" t="s">
        <v>3138</v>
      </c>
      <c r="G2137" s="1" t="s">
        <v>801</v>
      </c>
      <c r="H2137" s="1" t="s">
        <v>141</v>
      </c>
      <c r="I2137" s="1" t="s">
        <v>65</v>
      </c>
      <c r="J2137" s="1">
        <v>3</v>
      </c>
      <c r="K2137" s="1" t="s">
        <v>142</v>
      </c>
      <c r="L2137" s="1" t="s">
        <v>153</v>
      </c>
      <c r="M2137" s="1" t="s">
        <v>1256</v>
      </c>
      <c r="N2137" s="1" t="str">
        <f>HYPERLINK("https://klocwork.india.ti.com:443/review/insight-review.html#issuedetails_goto:problemid=121099,project=MCU_PLUS_SDK_AM263X,searchquery=taxonomy:'C and C++' build:Build_Apr_13_2023_11_11_AM grouping:off ","KW Issue Link")</f>
        <v>KW Issue Link</v>
      </c>
      <c r="O2137" s="1" t="s">
        <v>765</v>
      </c>
    </row>
    <row r="2138" spans="1:15" ht="75" x14ac:dyDescent="0.25">
      <c r="A2138" s="1" t="s">
        <v>1257</v>
      </c>
      <c r="B2138" s="1"/>
      <c r="C2138" s="1" t="s">
        <v>762</v>
      </c>
      <c r="D2138" s="1">
        <v>121100</v>
      </c>
      <c r="E2138" s="1">
        <v>397</v>
      </c>
      <c r="F2138" s="1" t="s">
        <v>3139</v>
      </c>
      <c r="G2138" s="1" t="s">
        <v>804</v>
      </c>
      <c r="H2138" s="1" t="s">
        <v>141</v>
      </c>
      <c r="I2138" s="1" t="s">
        <v>65</v>
      </c>
      <c r="J2138" s="1">
        <v>3</v>
      </c>
      <c r="K2138" s="1" t="s">
        <v>142</v>
      </c>
      <c r="L2138" s="1" t="s">
        <v>153</v>
      </c>
      <c r="M2138" s="1" t="s">
        <v>1256</v>
      </c>
      <c r="N2138" s="1" t="str">
        <f>HYPERLINK("https://klocwork.india.ti.com:443/review/insight-review.html#issuedetails_goto:problemid=121100,project=MCU_PLUS_SDK_AM263X,searchquery=taxonomy:'C and C++' build:Build_Apr_13_2023_11_11_AM grouping:off ","KW Issue Link")</f>
        <v>KW Issue Link</v>
      </c>
      <c r="O2138" s="1" t="s">
        <v>765</v>
      </c>
    </row>
    <row r="2139" spans="1:15" ht="75" x14ac:dyDescent="0.25">
      <c r="A2139" s="1" t="s">
        <v>1257</v>
      </c>
      <c r="B2139" s="1"/>
      <c r="C2139" s="1" t="s">
        <v>762</v>
      </c>
      <c r="D2139" s="1">
        <v>121104</v>
      </c>
      <c r="E2139" s="1">
        <v>598</v>
      </c>
      <c r="F2139" s="1" t="s">
        <v>3140</v>
      </c>
      <c r="G2139" s="1" t="s">
        <v>3141</v>
      </c>
      <c r="H2139" s="1" t="s">
        <v>141</v>
      </c>
      <c r="I2139" s="1" t="s">
        <v>65</v>
      </c>
      <c r="J2139" s="1">
        <v>3</v>
      </c>
      <c r="K2139" s="1" t="s">
        <v>142</v>
      </c>
      <c r="L2139" s="1" t="s">
        <v>153</v>
      </c>
      <c r="M2139" s="1" t="s">
        <v>1256</v>
      </c>
      <c r="N2139" s="1" t="str">
        <f>HYPERLINK("https://klocwork.india.ti.com:443/review/insight-review.html#issuedetails_goto:problemid=121104,project=MCU_PLUS_SDK_AM263X,searchquery=taxonomy:'C and C++' build:Build_Apr_13_2023_11_11_AM grouping:off ","KW Issue Link")</f>
        <v>KW Issue Link</v>
      </c>
      <c r="O2139" s="1" t="s">
        <v>765</v>
      </c>
    </row>
    <row r="2140" spans="1:15" ht="75" x14ac:dyDescent="0.25">
      <c r="A2140" s="1" t="s">
        <v>1266</v>
      </c>
      <c r="B2140" s="1"/>
      <c r="C2140" s="1" t="s">
        <v>762</v>
      </c>
      <c r="D2140" s="1">
        <v>121106</v>
      </c>
      <c r="E2140" s="1">
        <v>177</v>
      </c>
      <c r="F2140" s="1" t="s">
        <v>3142</v>
      </c>
      <c r="G2140" s="1" t="s">
        <v>767</v>
      </c>
      <c r="H2140" s="1" t="s">
        <v>141</v>
      </c>
      <c r="I2140" s="1" t="s">
        <v>65</v>
      </c>
      <c r="J2140" s="1">
        <v>3</v>
      </c>
      <c r="K2140" s="1" t="s">
        <v>142</v>
      </c>
      <c r="L2140" s="1" t="s">
        <v>153</v>
      </c>
      <c r="M2140" s="1" t="s">
        <v>1256</v>
      </c>
      <c r="N2140" s="1" t="str">
        <f>HYPERLINK("https://klocwork.india.ti.com:443/review/insight-review.html#issuedetails_goto:problemid=121106,project=MCU_PLUS_SDK_AM263X,searchquery=taxonomy:'C and C++' build:Build_Apr_13_2023_11_11_AM grouping:off ","KW Issue Link")</f>
        <v>KW Issue Link</v>
      </c>
      <c r="O2140" s="1" t="s">
        <v>765</v>
      </c>
    </row>
    <row r="2141" spans="1:15" ht="75" x14ac:dyDescent="0.25">
      <c r="A2141" s="1" t="s">
        <v>1266</v>
      </c>
      <c r="B2141" s="1"/>
      <c r="C2141" s="1" t="s">
        <v>762</v>
      </c>
      <c r="D2141" s="1">
        <v>121110</v>
      </c>
      <c r="E2141" s="1">
        <v>261</v>
      </c>
      <c r="F2141" s="1" t="s">
        <v>3143</v>
      </c>
      <c r="G2141" s="1" t="s">
        <v>780</v>
      </c>
      <c r="H2141" s="1" t="s">
        <v>141</v>
      </c>
      <c r="I2141" s="1" t="s">
        <v>65</v>
      </c>
      <c r="J2141" s="1">
        <v>3</v>
      </c>
      <c r="K2141" s="1" t="s">
        <v>142</v>
      </c>
      <c r="L2141" s="1" t="s">
        <v>153</v>
      </c>
      <c r="M2141" s="1" t="s">
        <v>1256</v>
      </c>
      <c r="N2141" s="1" t="str">
        <f>HYPERLINK("https://klocwork.india.ti.com:443/review/insight-review.html#issuedetails_goto:problemid=121110,project=MCU_PLUS_SDK_AM263X,searchquery=taxonomy:'C and C++' build:Build_Apr_13_2023_11_11_AM grouping:off ","KW Issue Link")</f>
        <v>KW Issue Link</v>
      </c>
      <c r="O2141" s="1" t="s">
        <v>765</v>
      </c>
    </row>
    <row r="2142" spans="1:15" ht="75" x14ac:dyDescent="0.25">
      <c r="A2142" s="1" t="s">
        <v>1266</v>
      </c>
      <c r="B2142" s="1"/>
      <c r="C2142" s="1" t="s">
        <v>762</v>
      </c>
      <c r="D2142" s="1">
        <v>121112</v>
      </c>
      <c r="E2142" s="1">
        <v>295</v>
      </c>
      <c r="F2142" s="1" t="s">
        <v>3144</v>
      </c>
      <c r="G2142" s="1" t="s">
        <v>785</v>
      </c>
      <c r="H2142" s="1" t="s">
        <v>141</v>
      </c>
      <c r="I2142" s="1" t="s">
        <v>65</v>
      </c>
      <c r="J2142" s="1">
        <v>3</v>
      </c>
      <c r="K2142" s="1" t="s">
        <v>142</v>
      </c>
      <c r="L2142" s="1" t="s">
        <v>153</v>
      </c>
      <c r="M2142" s="1" t="s">
        <v>1256</v>
      </c>
      <c r="N2142" s="1" t="str">
        <f>HYPERLINK("https://klocwork.india.ti.com:443/review/insight-review.html#issuedetails_goto:problemid=121112,project=MCU_PLUS_SDK_AM263X,searchquery=taxonomy:'C and C++' build:Build_Apr_13_2023_11_11_AM grouping:off ","KW Issue Link")</f>
        <v>KW Issue Link</v>
      </c>
      <c r="O2142" s="1" t="s">
        <v>765</v>
      </c>
    </row>
    <row r="2143" spans="1:15" ht="75" x14ac:dyDescent="0.25">
      <c r="A2143" s="1" t="s">
        <v>1266</v>
      </c>
      <c r="B2143" s="1"/>
      <c r="C2143" s="1" t="s">
        <v>762</v>
      </c>
      <c r="D2143" s="1">
        <v>121116</v>
      </c>
      <c r="E2143" s="1">
        <v>359</v>
      </c>
      <c r="F2143" s="1" t="s">
        <v>3145</v>
      </c>
      <c r="G2143" s="1" t="s">
        <v>798</v>
      </c>
      <c r="H2143" s="1" t="s">
        <v>141</v>
      </c>
      <c r="I2143" s="1" t="s">
        <v>65</v>
      </c>
      <c r="J2143" s="1">
        <v>3</v>
      </c>
      <c r="K2143" s="1" t="s">
        <v>142</v>
      </c>
      <c r="L2143" s="1" t="s">
        <v>153</v>
      </c>
      <c r="M2143" s="1" t="s">
        <v>1256</v>
      </c>
      <c r="N2143" s="1" t="str">
        <f>HYPERLINK("https://klocwork.india.ti.com:443/review/insight-review.html#issuedetails_goto:problemid=121116,project=MCU_PLUS_SDK_AM263X,searchquery=taxonomy:'C and C++' build:Build_Apr_13_2023_11_11_AM grouping:off ","KW Issue Link")</f>
        <v>KW Issue Link</v>
      </c>
      <c r="O2143" s="1" t="s">
        <v>765</v>
      </c>
    </row>
    <row r="2144" spans="1:15" ht="75" x14ac:dyDescent="0.25">
      <c r="A2144" s="1" t="s">
        <v>1266</v>
      </c>
      <c r="B2144" s="1"/>
      <c r="C2144" s="1" t="s">
        <v>762</v>
      </c>
      <c r="D2144" s="1">
        <v>121117</v>
      </c>
      <c r="E2144" s="1">
        <v>376</v>
      </c>
      <c r="F2144" s="1" t="s">
        <v>3146</v>
      </c>
      <c r="G2144" s="1" t="s">
        <v>801</v>
      </c>
      <c r="H2144" s="1" t="s">
        <v>141</v>
      </c>
      <c r="I2144" s="1" t="s">
        <v>65</v>
      </c>
      <c r="J2144" s="1">
        <v>3</v>
      </c>
      <c r="K2144" s="1" t="s">
        <v>142</v>
      </c>
      <c r="L2144" s="1" t="s">
        <v>153</v>
      </c>
      <c r="M2144" s="1" t="s">
        <v>1256</v>
      </c>
      <c r="N2144" s="1" t="str">
        <f>HYPERLINK("https://klocwork.india.ti.com:443/review/insight-review.html#issuedetails_goto:problemid=121117,project=MCU_PLUS_SDK_AM263X,searchquery=taxonomy:'C and C++' build:Build_Apr_13_2023_11_11_AM grouping:off ","KW Issue Link")</f>
        <v>KW Issue Link</v>
      </c>
      <c r="O2144" s="1" t="s">
        <v>765</v>
      </c>
    </row>
    <row r="2145" spans="1:15" ht="75" x14ac:dyDescent="0.25">
      <c r="A2145" s="1" t="s">
        <v>1266</v>
      </c>
      <c r="B2145" s="1"/>
      <c r="C2145" s="1" t="s">
        <v>762</v>
      </c>
      <c r="D2145" s="1">
        <v>121118</v>
      </c>
      <c r="E2145" s="1">
        <v>397</v>
      </c>
      <c r="F2145" s="1" t="s">
        <v>3147</v>
      </c>
      <c r="G2145" s="1" t="s">
        <v>804</v>
      </c>
      <c r="H2145" s="1" t="s">
        <v>141</v>
      </c>
      <c r="I2145" s="1" t="s">
        <v>65</v>
      </c>
      <c r="J2145" s="1">
        <v>3</v>
      </c>
      <c r="K2145" s="1" t="s">
        <v>142</v>
      </c>
      <c r="L2145" s="1" t="s">
        <v>153</v>
      </c>
      <c r="M2145" s="1" t="s">
        <v>1256</v>
      </c>
      <c r="N2145" s="1" t="str">
        <f>HYPERLINK("https://klocwork.india.ti.com:443/review/insight-review.html#issuedetails_goto:problemid=121118,project=MCU_PLUS_SDK_AM263X,searchquery=taxonomy:'C and C++' build:Build_Apr_13_2023_11_11_AM grouping:off ","KW Issue Link")</f>
        <v>KW Issue Link</v>
      </c>
      <c r="O2145" s="1" t="s">
        <v>765</v>
      </c>
    </row>
    <row r="2146" spans="1:15" ht="75" x14ac:dyDescent="0.25">
      <c r="A2146" s="1" t="s">
        <v>1266</v>
      </c>
      <c r="B2146" s="1"/>
      <c r="C2146" s="1" t="s">
        <v>762</v>
      </c>
      <c r="D2146" s="1">
        <v>121119</v>
      </c>
      <c r="E2146" s="1">
        <v>430</v>
      </c>
      <c r="F2146" s="1" t="s">
        <v>3148</v>
      </c>
      <c r="G2146" s="1" t="s">
        <v>808</v>
      </c>
      <c r="H2146" s="1" t="s">
        <v>141</v>
      </c>
      <c r="I2146" s="1" t="s">
        <v>65</v>
      </c>
      <c r="J2146" s="1">
        <v>3</v>
      </c>
      <c r="K2146" s="1" t="s">
        <v>142</v>
      </c>
      <c r="L2146" s="1" t="s">
        <v>153</v>
      </c>
      <c r="M2146" s="1" t="s">
        <v>1256</v>
      </c>
      <c r="N2146" s="1" t="str">
        <f>HYPERLINK("https://klocwork.india.ti.com:443/review/insight-review.html#issuedetails_goto:problemid=121119,project=MCU_PLUS_SDK_AM263X,searchquery=taxonomy:'C and C++' build:Build_Apr_13_2023_11_11_AM grouping:off ","KW Issue Link")</f>
        <v>KW Issue Link</v>
      </c>
      <c r="O2146" s="1" t="s">
        <v>765</v>
      </c>
    </row>
    <row r="2147" spans="1:15" ht="75" x14ac:dyDescent="0.25">
      <c r="A2147" s="1" t="s">
        <v>1266</v>
      </c>
      <c r="B2147" s="1"/>
      <c r="C2147" s="1" t="s">
        <v>762</v>
      </c>
      <c r="D2147" s="1">
        <v>121120</v>
      </c>
      <c r="E2147" s="1">
        <v>455</v>
      </c>
      <c r="F2147" s="1" t="s">
        <v>3149</v>
      </c>
      <c r="G2147" s="1" t="s">
        <v>811</v>
      </c>
      <c r="H2147" s="1" t="s">
        <v>141</v>
      </c>
      <c r="I2147" s="1" t="s">
        <v>65</v>
      </c>
      <c r="J2147" s="1">
        <v>3</v>
      </c>
      <c r="K2147" s="1" t="s">
        <v>142</v>
      </c>
      <c r="L2147" s="1" t="s">
        <v>153</v>
      </c>
      <c r="M2147" s="1" t="s">
        <v>1256</v>
      </c>
      <c r="N2147" s="1" t="str">
        <f>HYPERLINK("https://klocwork.india.ti.com:443/review/insight-review.html#issuedetails_goto:problemid=121120,project=MCU_PLUS_SDK_AM263X,searchquery=taxonomy:'C and C++' build:Build_Apr_13_2023_11_11_AM grouping:off ","KW Issue Link")</f>
        <v>KW Issue Link</v>
      </c>
      <c r="O2147" s="1" t="s">
        <v>765</v>
      </c>
    </row>
    <row r="2148" spans="1:15" ht="75" x14ac:dyDescent="0.25">
      <c r="A2148" s="1" t="s">
        <v>1268</v>
      </c>
      <c r="B2148" s="1"/>
      <c r="C2148" s="1" t="s">
        <v>762</v>
      </c>
      <c r="D2148" s="1">
        <v>121123</v>
      </c>
      <c r="E2148" s="1">
        <v>177</v>
      </c>
      <c r="F2148" s="1" t="s">
        <v>3150</v>
      </c>
      <c r="G2148" s="1" t="s">
        <v>767</v>
      </c>
      <c r="H2148" s="1" t="s">
        <v>141</v>
      </c>
      <c r="I2148" s="1" t="s">
        <v>65</v>
      </c>
      <c r="J2148" s="1">
        <v>3</v>
      </c>
      <c r="K2148" s="1" t="s">
        <v>142</v>
      </c>
      <c r="L2148" s="1" t="s">
        <v>153</v>
      </c>
      <c r="M2148" s="1" t="s">
        <v>1256</v>
      </c>
      <c r="N2148" s="1" t="str">
        <f>HYPERLINK("https://klocwork.india.ti.com:443/review/insight-review.html#issuedetails_goto:problemid=121123,project=MCU_PLUS_SDK_AM263X,searchquery=taxonomy:'C and C++' build:Build_Apr_13_2023_11_11_AM grouping:off ","KW Issue Link")</f>
        <v>KW Issue Link</v>
      </c>
      <c r="O2148" s="1" t="s">
        <v>765</v>
      </c>
    </row>
    <row r="2149" spans="1:15" ht="75" x14ac:dyDescent="0.25">
      <c r="A2149" s="1" t="s">
        <v>1268</v>
      </c>
      <c r="B2149" s="1"/>
      <c r="C2149" s="1" t="s">
        <v>762</v>
      </c>
      <c r="D2149" s="1">
        <v>121126</v>
      </c>
      <c r="E2149" s="1">
        <v>261</v>
      </c>
      <c r="F2149" s="1" t="s">
        <v>3151</v>
      </c>
      <c r="G2149" s="1" t="s">
        <v>780</v>
      </c>
      <c r="H2149" s="1" t="s">
        <v>141</v>
      </c>
      <c r="I2149" s="1" t="s">
        <v>65</v>
      </c>
      <c r="J2149" s="1">
        <v>3</v>
      </c>
      <c r="K2149" s="1" t="s">
        <v>142</v>
      </c>
      <c r="L2149" s="1" t="s">
        <v>153</v>
      </c>
      <c r="M2149" s="1" t="s">
        <v>1256</v>
      </c>
      <c r="N2149" s="1" t="str">
        <f>HYPERLINK("https://klocwork.india.ti.com:443/review/insight-review.html#issuedetails_goto:problemid=121126,project=MCU_PLUS_SDK_AM263X,searchquery=taxonomy:'C and C++' build:Build_Apr_13_2023_11_11_AM grouping:off ","KW Issue Link")</f>
        <v>KW Issue Link</v>
      </c>
      <c r="O2149" s="1" t="s">
        <v>765</v>
      </c>
    </row>
    <row r="2150" spans="1:15" ht="75" x14ac:dyDescent="0.25">
      <c r="A2150" s="1" t="s">
        <v>1268</v>
      </c>
      <c r="B2150" s="1"/>
      <c r="C2150" s="1" t="s">
        <v>762</v>
      </c>
      <c r="D2150" s="1">
        <v>121128</v>
      </c>
      <c r="E2150" s="1">
        <v>295</v>
      </c>
      <c r="F2150" s="1" t="s">
        <v>3152</v>
      </c>
      <c r="G2150" s="1" t="s">
        <v>785</v>
      </c>
      <c r="H2150" s="1" t="s">
        <v>141</v>
      </c>
      <c r="I2150" s="1" t="s">
        <v>65</v>
      </c>
      <c r="J2150" s="1">
        <v>3</v>
      </c>
      <c r="K2150" s="1" t="s">
        <v>142</v>
      </c>
      <c r="L2150" s="1" t="s">
        <v>153</v>
      </c>
      <c r="M2150" s="1" t="s">
        <v>1256</v>
      </c>
      <c r="N2150" s="1" t="str">
        <f>HYPERLINK("https://klocwork.india.ti.com:443/review/insight-review.html#issuedetails_goto:problemid=121128,project=MCU_PLUS_SDK_AM263X,searchquery=taxonomy:'C and C++' build:Build_Apr_13_2023_11_11_AM grouping:off ","KW Issue Link")</f>
        <v>KW Issue Link</v>
      </c>
      <c r="O2150" s="1" t="s">
        <v>765</v>
      </c>
    </row>
    <row r="2151" spans="1:15" ht="75" x14ac:dyDescent="0.25">
      <c r="A2151" s="1" t="s">
        <v>1268</v>
      </c>
      <c r="B2151" s="1"/>
      <c r="C2151" s="1" t="s">
        <v>762</v>
      </c>
      <c r="D2151" s="1">
        <v>121131</v>
      </c>
      <c r="E2151" s="1">
        <v>359</v>
      </c>
      <c r="F2151" s="1" t="s">
        <v>3153</v>
      </c>
      <c r="G2151" s="1" t="s">
        <v>798</v>
      </c>
      <c r="H2151" s="1" t="s">
        <v>141</v>
      </c>
      <c r="I2151" s="1" t="s">
        <v>65</v>
      </c>
      <c r="J2151" s="1">
        <v>3</v>
      </c>
      <c r="K2151" s="1" t="s">
        <v>142</v>
      </c>
      <c r="L2151" s="1" t="s">
        <v>153</v>
      </c>
      <c r="M2151" s="1" t="s">
        <v>1256</v>
      </c>
      <c r="N2151" s="1" t="str">
        <f>HYPERLINK("https://klocwork.india.ti.com:443/review/insight-review.html#issuedetails_goto:problemid=121131,project=MCU_PLUS_SDK_AM263X,searchquery=taxonomy:'C and C++' build:Build_Apr_13_2023_11_11_AM grouping:off ","KW Issue Link")</f>
        <v>KW Issue Link</v>
      </c>
      <c r="O2151" s="1" t="s">
        <v>765</v>
      </c>
    </row>
    <row r="2152" spans="1:15" ht="75" x14ac:dyDescent="0.25">
      <c r="A2152" s="1" t="s">
        <v>1268</v>
      </c>
      <c r="B2152" s="1"/>
      <c r="C2152" s="1" t="s">
        <v>762</v>
      </c>
      <c r="D2152" s="1">
        <v>121132</v>
      </c>
      <c r="E2152" s="1">
        <v>376</v>
      </c>
      <c r="F2152" s="1" t="s">
        <v>3154</v>
      </c>
      <c r="G2152" s="1" t="s">
        <v>801</v>
      </c>
      <c r="H2152" s="1" t="s">
        <v>141</v>
      </c>
      <c r="I2152" s="1" t="s">
        <v>65</v>
      </c>
      <c r="J2152" s="1">
        <v>3</v>
      </c>
      <c r="K2152" s="1" t="s">
        <v>142</v>
      </c>
      <c r="L2152" s="1" t="s">
        <v>153</v>
      </c>
      <c r="M2152" s="1" t="s">
        <v>1256</v>
      </c>
      <c r="N2152" s="1" t="str">
        <f>HYPERLINK("https://klocwork.india.ti.com:443/review/insight-review.html#issuedetails_goto:problemid=121132,project=MCU_PLUS_SDK_AM263X,searchquery=taxonomy:'C and C++' build:Build_Apr_13_2023_11_11_AM grouping:off ","KW Issue Link")</f>
        <v>KW Issue Link</v>
      </c>
      <c r="O2152" s="1" t="s">
        <v>765</v>
      </c>
    </row>
    <row r="2153" spans="1:15" ht="75" x14ac:dyDescent="0.25">
      <c r="A2153" s="1" t="s">
        <v>1268</v>
      </c>
      <c r="B2153" s="1"/>
      <c r="C2153" s="1" t="s">
        <v>762</v>
      </c>
      <c r="D2153" s="1">
        <v>121133</v>
      </c>
      <c r="E2153" s="1">
        <v>397</v>
      </c>
      <c r="F2153" s="1" t="s">
        <v>3155</v>
      </c>
      <c r="G2153" s="1" t="s">
        <v>804</v>
      </c>
      <c r="H2153" s="1" t="s">
        <v>141</v>
      </c>
      <c r="I2153" s="1" t="s">
        <v>65</v>
      </c>
      <c r="J2153" s="1">
        <v>3</v>
      </c>
      <c r="K2153" s="1" t="s">
        <v>142</v>
      </c>
      <c r="L2153" s="1" t="s">
        <v>153</v>
      </c>
      <c r="M2153" s="1" t="s">
        <v>1256</v>
      </c>
      <c r="N2153" s="1" t="str">
        <f>HYPERLINK("https://klocwork.india.ti.com:443/review/insight-review.html#issuedetails_goto:problemid=121133,project=MCU_PLUS_SDK_AM263X,searchquery=taxonomy:'C and C++' build:Build_Apr_13_2023_11_11_AM grouping:off ","KW Issue Link")</f>
        <v>KW Issue Link</v>
      </c>
      <c r="O2153" s="1" t="s">
        <v>765</v>
      </c>
    </row>
    <row r="2154" spans="1:15" ht="75" x14ac:dyDescent="0.25">
      <c r="A2154" s="1" t="s">
        <v>1268</v>
      </c>
      <c r="B2154" s="1"/>
      <c r="C2154" s="1" t="s">
        <v>762</v>
      </c>
      <c r="D2154" s="1">
        <v>121134</v>
      </c>
      <c r="E2154" s="1">
        <v>430</v>
      </c>
      <c r="F2154" s="1" t="s">
        <v>3156</v>
      </c>
      <c r="G2154" s="1" t="s">
        <v>808</v>
      </c>
      <c r="H2154" s="1" t="s">
        <v>141</v>
      </c>
      <c r="I2154" s="1" t="s">
        <v>65</v>
      </c>
      <c r="J2154" s="1">
        <v>3</v>
      </c>
      <c r="K2154" s="1" t="s">
        <v>142</v>
      </c>
      <c r="L2154" s="1" t="s">
        <v>153</v>
      </c>
      <c r="M2154" s="1" t="s">
        <v>1256</v>
      </c>
      <c r="N2154" s="1" t="str">
        <f>HYPERLINK("https://klocwork.india.ti.com:443/review/insight-review.html#issuedetails_goto:problemid=121134,project=MCU_PLUS_SDK_AM263X,searchquery=taxonomy:'C and C++' build:Build_Apr_13_2023_11_11_AM grouping:off ","KW Issue Link")</f>
        <v>KW Issue Link</v>
      </c>
      <c r="O2154" s="1" t="s">
        <v>765</v>
      </c>
    </row>
    <row r="2155" spans="1:15" ht="75" x14ac:dyDescent="0.25">
      <c r="A2155" s="1" t="s">
        <v>1268</v>
      </c>
      <c r="B2155" s="1"/>
      <c r="C2155" s="1" t="s">
        <v>762</v>
      </c>
      <c r="D2155" s="1">
        <v>121135</v>
      </c>
      <c r="E2155" s="1">
        <v>455</v>
      </c>
      <c r="F2155" s="1" t="s">
        <v>3157</v>
      </c>
      <c r="G2155" s="1" t="s">
        <v>811</v>
      </c>
      <c r="H2155" s="1" t="s">
        <v>141</v>
      </c>
      <c r="I2155" s="1" t="s">
        <v>65</v>
      </c>
      <c r="J2155" s="1">
        <v>3</v>
      </c>
      <c r="K2155" s="1" t="s">
        <v>142</v>
      </c>
      <c r="L2155" s="1" t="s">
        <v>153</v>
      </c>
      <c r="M2155" s="1" t="s">
        <v>1256</v>
      </c>
      <c r="N2155" s="1" t="str">
        <f>HYPERLINK("https://klocwork.india.ti.com:443/review/insight-review.html#issuedetails_goto:problemid=121135,project=MCU_PLUS_SDK_AM263X,searchquery=taxonomy:'C and C++' build:Build_Apr_13_2023_11_11_AM grouping:off ","KW Issue Link")</f>
        <v>KW Issue Link</v>
      </c>
      <c r="O2155" s="1" t="s">
        <v>765</v>
      </c>
    </row>
    <row r="2156" spans="1:15" ht="60" x14ac:dyDescent="0.25">
      <c r="A2156" s="1" t="s">
        <v>1252</v>
      </c>
      <c r="B2156" s="1"/>
      <c r="C2156" s="1" t="s">
        <v>218</v>
      </c>
      <c r="D2156" s="1">
        <v>121138</v>
      </c>
      <c r="E2156" s="1">
        <v>573</v>
      </c>
      <c r="F2156" s="1" t="s">
        <v>3158</v>
      </c>
      <c r="G2156" s="1" t="s">
        <v>3159</v>
      </c>
      <c r="H2156" s="1" t="s">
        <v>141</v>
      </c>
      <c r="I2156" s="1" t="s">
        <v>65</v>
      </c>
      <c r="J2156" s="1">
        <v>3</v>
      </c>
      <c r="K2156" s="1" t="s">
        <v>142</v>
      </c>
      <c r="L2156" s="1" t="s">
        <v>153</v>
      </c>
      <c r="M2156" s="1" t="s">
        <v>1256</v>
      </c>
      <c r="N2156" s="1" t="str">
        <f>HYPERLINK("https://klocwork.india.ti.com:443/review/insight-review.html#issuedetails_goto:problemid=121138,project=MCU_PLUS_SDK_AM263X,searchquery=taxonomy:'C and C++' build:Build_Apr_13_2023_11_11_AM grouping:off ","KW Issue Link")</f>
        <v>KW Issue Link</v>
      </c>
      <c r="O2156" s="1" t="s">
        <v>217</v>
      </c>
    </row>
    <row r="2157" spans="1:15" ht="60" x14ac:dyDescent="0.25">
      <c r="A2157" s="1" t="s">
        <v>1252</v>
      </c>
      <c r="B2157" s="1"/>
      <c r="C2157" s="1" t="s">
        <v>218</v>
      </c>
      <c r="D2157" s="1">
        <v>121139</v>
      </c>
      <c r="E2157" s="1">
        <v>726</v>
      </c>
      <c r="F2157" s="1" t="s">
        <v>3160</v>
      </c>
      <c r="G2157" s="1" t="s">
        <v>3161</v>
      </c>
      <c r="H2157" s="1" t="s">
        <v>141</v>
      </c>
      <c r="I2157" s="1" t="s">
        <v>65</v>
      </c>
      <c r="J2157" s="1">
        <v>3</v>
      </c>
      <c r="K2157" s="1" t="s">
        <v>142</v>
      </c>
      <c r="L2157" s="1" t="s">
        <v>153</v>
      </c>
      <c r="M2157" s="1" t="s">
        <v>1256</v>
      </c>
      <c r="N2157" s="1" t="str">
        <f>HYPERLINK("https://klocwork.india.ti.com:443/review/insight-review.html#issuedetails_goto:problemid=121139,project=MCU_PLUS_SDK_AM263X,searchquery=taxonomy:'C and C++' build:Build_Apr_13_2023_11_11_AM grouping:off ","KW Issue Link")</f>
        <v>KW Issue Link</v>
      </c>
      <c r="O2157" s="1" t="s">
        <v>217</v>
      </c>
    </row>
    <row r="2158" spans="1:15" ht="60" x14ac:dyDescent="0.25">
      <c r="A2158" s="1" t="s">
        <v>1252</v>
      </c>
      <c r="B2158" s="1"/>
      <c r="C2158" s="1" t="s">
        <v>218</v>
      </c>
      <c r="D2158" s="1">
        <v>121140</v>
      </c>
      <c r="E2158" s="1">
        <v>817</v>
      </c>
      <c r="F2158" s="1" t="s">
        <v>3162</v>
      </c>
      <c r="G2158" s="1" t="s">
        <v>3163</v>
      </c>
      <c r="H2158" s="1" t="s">
        <v>141</v>
      </c>
      <c r="I2158" s="1" t="s">
        <v>65</v>
      </c>
      <c r="J2158" s="1">
        <v>3</v>
      </c>
      <c r="K2158" s="1" t="s">
        <v>142</v>
      </c>
      <c r="L2158" s="1" t="s">
        <v>153</v>
      </c>
      <c r="M2158" s="1" t="s">
        <v>1256</v>
      </c>
      <c r="N2158" s="1" t="str">
        <f>HYPERLINK("https://klocwork.india.ti.com:443/review/insight-review.html#issuedetails_goto:problemid=121140,project=MCU_PLUS_SDK_AM263X,searchquery=taxonomy:'C and C++' build:Build_Apr_13_2023_11_11_AM grouping:off ","KW Issue Link")</f>
        <v>KW Issue Link</v>
      </c>
      <c r="O2158" s="1" t="s">
        <v>217</v>
      </c>
    </row>
    <row r="2159" spans="1:15" ht="60" x14ac:dyDescent="0.25">
      <c r="A2159" s="1" t="s">
        <v>1252</v>
      </c>
      <c r="B2159" s="1"/>
      <c r="C2159" s="1" t="s">
        <v>218</v>
      </c>
      <c r="D2159" s="1">
        <v>121141</v>
      </c>
      <c r="E2159" s="1">
        <v>4965</v>
      </c>
      <c r="F2159" s="1" t="s">
        <v>3164</v>
      </c>
      <c r="G2159" s="1" t="s">
        <v>3165</v>
      </c>
      <c r="H2159" s="1" t="s">
        <v>141</v>
      </c>
      <c r="I2159" s="1" t="s">
        <v>65</v>
      </c>
      <c r="J2159" s="1">
        <v>3</v>
      </c>
      <c r="K2159" s="1" t="s">
        <v>142</v>
      </c>
      <c r="L2159" s="1" t="s">
        <v>153</v>
      </c>
      <c r="M2159" s="1" t="s">
        <v>1256</v>
      </c>
      <c r="N2159" s="1" t="str">
        <f>HYPERLINK("https://klocwork.india.ti.com:443/review/insight-review.html#issuedetails_goto:problemid=121141,project=MCU_PLUS_SDK_AM263X,searchquery=taxonomy:'C and C++' build:Build_Apr_13_2023_11_11_AM grouping:off ","KW Issue Link")</f>
        <v>KW Issue Link</v>
      </c>
      <c r="O2159" s="1" t="s">
        <v>217</v>
      </c>
    </row>
    <row r="2160" spans="1:15" ht="60" x14ac:dyDescent="0.25">
      <c r="A2160" s="1" t="s">
        <v>1257</v>
      </c>
      <c r="B2160" s="1"/>
      <c r="C2160" s="1" t="s">
        <v>218</v>
      </c>
      <c r="D2160" s="1">
        <v>121142</v>
      </c>
      <c r="E2160" s="1">
        <v>1381</v>
      </c>
      <c r="F2160" s="1" t="s">
        <v>3166</v>
      </c>
      <c r="G2160" s="1" t="s">
        <v>220</v>
      </c>
      <c r="H2160" s="1" t="s">
        <v>141</v>
      </c>
      <c r="I2160" s="1" t="s">
        <v>65</v>
      </c>
      <c r="J2160" s="1">
        <v>3</v>
      </c>
      <c r="K2160" s="1" t="s">
        <v>142</v>
      </c>
      <c r="L2160" s="1" t="s">
        <v>153</v>
      </c>
      <c r="M2160" s="1" t="s">
        <v>1256</v>
      </c>
      <c r="N2160" s="1" t="str">
        <f>HYPERLINK("https://klocwork.india.ti.com:443/review/insight-review.html#issuedetails_goto:problemid=121142,project=MCU_PLUS_SDK_AM263X,searchquery=taxonomy:'C and C++' build:Build_Apr_13_2023_11_11_AM grouping:off ","KW Issue Link")</f>
        <v>KW Issue Link</v>
      </c>
      <c r="O2160" s="1" t="s">
        <v>217</v>
      </c>
    </row>
    <row r="2161" spans="1:15" ht="60" x14ac:dyDescent="0.25">
      <c r="A2161" s="1" t="s">
        <v>1257</v>
      </c>
      <c r="B2161" s="1"/>
      <c r="C2161" s="1" t="s">
        <v>218</v>
      </c>
      <c r="D2161" s="1">
        <v>121143</v>
      </c>
      <c r="E2161" s="1">
        <v>1858</v>
      </c>
      <c r="F2161" s="1" t="s">
        <v>3167</v>
      </c>
      <c r="G2161" s="1" t="s">
        <v>3168</v>
      </c>
      <c r="H2161" s="1" t="s">
        <v>141</v>
      </c>
      <c r="I2161" s="1" t="s">
        <v>65</v>
      </c>
      <c r="J2161" s="1">
        <v>3</v>
      </c>
      <c r="K2161" s="1" t="s">
        <v>142</v>
      </c>
      <c r="L2161" s="1" t="s">
        <v>153</v>
      </c>
      <c r="M2161" s="1" t="s">
        <v>1256</v>
      </c>
      <c r="N2161" s="1" t="str">
        <f>HYPERLINK("https://klocwork.india.ti.com:443/review/insight-review.html#issuedetails_goto:problemid=121143,project=MCU_PLUS_SDK_AM263X,searchquery=taxonomy:'C and C++' build:Build_Apr_13_2023_11_11_AM grouping:off ","KW Issue Link")</f>
        <v>KW Issue Link</v>
      </c>
      <c r="O2161" s="1" t="s">
        <v>217</v>
      </c>
    </row>
    <row r="2162" spans="1:15" ht="60" x14ac:dyDescent="0.25">
      <c r="A2162" s="1" t="s">
        <v>1257</v>
      </c>
      <c r="B2162" s="1"/>
      <c r="C2162" s="1" t="s">
        <v>218</v>
      </c>
      <c r="D2162" s="1">
        <v>121144</v>
      </c>
      <c r="E2162" s="1">
        <v>2210</v>
      </c>
      <c r="F2162" s="1" t="s">
        <v>3169</v>
      </c>
      <c r="G2162" s="1" t="s">
        <v>3170</v>
      </c>
      <c r="H2162" s="1" t="s">
        <v>141</v>
      </c>
      <c r="I2162" s="1" t="s">
        <v>65</v>
      </c>
      <c r="J2162" s="1">
        <v>3</v>
      </c>
      <c r="K2162" s="1" t="s">
        <v>142</v>
      </c>
      <c r="L2162" s="1" t="s">
        <v>153</v>
      </c>
      <c r="M2162" s="1" t="s">
        <v>1256</v>
      </c>
      <c r="N2162" s="1" t="str">
        <f>HYPERLINK("https://klocwork.india.ti.com:443/review/insight-review.html#issuedetails_goto:problemid=121144,project=MCU_PLUS_SDK_AM263X,searchquery=taxonomy:'C and C++' build:Build_Apr_13_2023_11_11_AM grouping:off ","KW Issue Link")</f>
        <v>KW Issue Link</v>
      </c>
      <c r="O2162" s="1" t="s">
        <v>217</v>
      </c>
    </row>
    <row r="2163" spans="1:15" ht="60" x14ac:dyDescent="0.25">
      <c r="A2163" s="1" t="s">
        <v>1257</v>
      </c>
      <c r="B2163" s="1"/>
      <c r="C2163" s="1" t="s">
        <v>218</v>
      </c>
      <c r="D2163" s="1">
        <v>121145</v>
      </c>
      <c r="E2163" s="1">
        <v>2725</v>
      </c>
      <c r="F2163" s="1" t="s">
        <v>3171</v>
      </c>
      <c r="G2163" s="1" t="s">
        <v>225</v>
      </c>
      <c r="H2163" s="1" t="s">
        <v>141</v>
      </c>
      <c r="I2163" s="1" t="s">
        <v>65</v>
      </c>
      <c r="J2163" s="1">
        <v>3</v>
      </c>
      <c r="K2163" s="1" t="s">
        <v>142</v>
      </c>
      <c r="L2163" s="1" t="s">
        <v>153</v>
      </c>
      <c r="M2163" s="1" t="s">
        <v>1256</v>
      </c>
      <c r="N2163" s="1" t="str">
        <f>HYPERLINK("https://klocwork.india.ti.com:443/review/insight-review.html#issuedetails_goto:problemid=121145,project=MCU_PLUS_SDK_AM263X,searchquery=taxonomy:'C and C++' build:Build_Apr_13_2023_11_11_AM grouping:off ","KW Issue Link")</f>
        <v>KW Issue Link</v>
      </c>
      <c r="O2163" s="1" t="s">
        <v>217</v>
      </c>
    </row>
    <row r="2164" spans="1:15" ht="60" x14ac:dyDescent="0.25">
      <c r="A2164" s="1" t="s">
        <v>1257</v>
      </c>
      <c r="B2164" s="1"/>
      <c r="C2164" s="1" t="s">
        <v>218</v>
      </c>
      <c r="D2164" s="1">
        <v>121146</v>
      </c>
      <c r="E2164" s="1">
        <v>3710</v>
      </c>
      <c r="F2164" s="1" t="s">
        <v>3172</v>
      </c>
      <c r="G2164" s="1" t="s">
        <v>3173</v>
      </c>
      <c r="H2164" s="1" t="s">
        <v>141</v>
      </c>
      <c r="I2164" s="1" t="s">
        <v>65</v>
      </c>
      <c r="J2164" s="1">
        <v>3</v>
      </c>
      <c r="K2164" s="1" t="s">
        <v>142</v>
      </c>
      <c r="L2164" s="1" t="s">
        <v>153</v>
      </c>
      <c r="M2164" s="1" t="s">
        <v>1256</v>
      </c>
      <c r="N2164" s="1" t="str">
        <f>HYPERLINK("https://klocwork.india.ti.com:443/review/insight-review.html#issuedetails_goto:problemid=121146,project=MCU_PLUS_SDK_AM263X,searchquery=taxonomy:'C and C++' build:Build_Apr_13_2023_11_11_AM grouping:off ","KW Issue Link")</f>
        <v>KW Issue Link</v>
      </c>
      <c r="O2164" s="1" t="s">
        <v>217</v>
      </c>
    </row>
    <row r="2165" spans="1:15" ht="60" x14ac:dyDescent="0.25">
      <c r="A2165" s="1" t="s">
        <v>1257</v>
      </c>
      <c r="B2165" s="1"/>
      <c r="C2165" s="1" t="s">
        <v>218</v>
      </c>
      <c r="D2165" s="1">
        <v>121147</v>
      </c>
      <c r="E2165" s="1">
        <v>3809</v>
      </c>
      <c r="F2165" s="1" t="s">
        <v>3174</v>
      </c>
      <c r="G2165" s="1" t="s">
        <v>3175</v>
      </c>
      <c r="H2165" s="1" t="s">
        <v>141</v>
      </c>
      <c r="I2165" s="1" t="s">
        <v>65</v>
      </c>
      <c r="J2165" s="1">
        <v>3</v>
      </c>
      <c r="K2165" s="1" t="s">
        <v>142</v>
      </c>
      <c r="L2165" s="1" t="s">
        <v>153</v>
      </c>
      <c r="M2165" s="1" t="s">
        <v>1256</v>
      </c>
      <c r="N2165" s="1" t="str">
        <f>HYPERLINK("https://klocwork.india.ti.com:443/review/insight-review.html#issuedetails_goto:problemid=121147,project=MCU_PLUS_SDK_AM263X,searchquery=taxonomy:'C and C++' build:Build_Apr_13_2023_11_11_AM grouping:off ","KW Issue Link")</f>
        <v>KW Issue Link</v>
      </c>
      <c r="O2165" s="1" t="s">
        <v>217</v>
      </c>
    </row>
    <row r="2166" spans="1:15" ht="60" x14ac:dyDescent="0.25">
      <c r="A2166" s="1" t="s">
        <v>1257</v>
      </c>
      <c r="B2166" s="1"/>
      <c r="C2166" s="1" t="s">
        <v>218</v>
      </c>
      <c r="D2166" s="1">
        <v>121148</v>
      </c>
      <c r="E2166" s="1">
        <v>4056</v>
      </c>
      <c r="F2166" s="1" t="s">
        <v>3176</v>
      </c>
      <c r="G2166" s="1" t="s">
        <v>3177</v>
      </c>
      <c r="H2166" s="1" t="s">
        <v>141</v>
      </c>
      <c r="I2166" s="1" t="s">
        <v>65</v>
      </c>
      <c r="J2166" s="1">
        <v>3</v>
      </c>
      <c r="K2166" s="1" t="s">
        <v>142</v>
      </c>
      <c r="L2166" s="1" t="s">
        <v>153</v>
      </c>
      <c r="M2166" s="1" t="s">
        <v>1256</v>
      </c>
      <c r="N2166" s="1" t="str">
        <f>HYPERLINK("https://klocwork.india.ti.com:443/review/insight-review.html#issuedetails_goto:problemid=121148,project=MCU_PLUS_SDK_AM263X,searchquery=taxonomy:'C and C++' build:Build_Apr_13_2023_11_11_AM grouping:off ","KW Issue Link")</f>
        <v>KW Issue Link</v>
      </c>
      <c r="O2166" s="1" t="s">
        <v>217</v>
      </c>
    </row>
    <row r="2167" spans="1:15" ht="60" x14ac:dyDescent="0.25">
      <c r="A2167" s="1" t="s">
        <v>1257</v>
      </c>
      <c r="B2167" s="1"/>
      <c r="C2167" s="1" t="s">
        <v>218</v>
      </c>
      <c r="D2167" s="1">
        <v>121149</v>
      </c>
      <c r="E2167" s="1">
        <v>4146</v>
      </c>
      <c r="F2167" s="1" t="s">
        <v>3178</v>
      </c>
      <c r="G2167" s="1" t="s">
        <v>3179</v>
      </c>
      <c r="H2167" s="1" t="s">
        <v>141</v>
      </c>
      <c r="I2167" s="1" t="s">
        <v>65</v>
      </c>
      <c r="J2167" s="1">
        <v>3</v>
      </c>
      <c r="K2167" s="1" t="s">
        <v>142</v>
      </c>
      <c r="L2167" s="1" t="s">
        <v>153</v>
      </c>
      <c r="M2167" s="1" t="s">
        <v>1256</v>
      </c>
      <c r="N2167" s="1" t="str">
        <f>HYPERLINK("https://klocwork.india.ti.com:443/review/insight-review.html#issuedetails_goto:problemid=121149,project=MCU_PLUS_SDK_AM263X,searchquery=taxonomy:'C and C++' build:Build_Apr_13_2023_11_11_AM grouping:off ","KW Issue Link")</f>
        <v>KW Issue Link</v>
      </c>
      <c r="O2167" s="1" t="s">
        <v>217</v>
      </c>
    </row>
    <row r="2168" spans="1:15" ht="60" x14ac:dyDescent="0.25">
      <c r="A2168" s="1" t="s">
        <v>1257</v>
      </c>
      <c r="B2168" s="1"/>
      <c r="C2168" s="1" t="s">
        <v>218</v>
      </c>
      <c r="D2168" s="1">
        <v>121150</v>
      </c>
      <c r="E2168" s="1">
        <v>4226</v>
      </c>
      <c r="F2168" s="1" t="s">
        <v>3180</v>
      </c>
      <c r="G2168" s="1" t="s">
        <v>3181</v>
      </c>
      <c r="H2168" s="1" t="s">
        <v>141</v>
      </c>
      <c r="I2168" s="1" t="s">
        <v>65</v>
      </c>
      <c r="J2168" s="1">
        <v>3</v>
      </c>
      <c r="K2168" s="1" t="s">
        <v>142</v>
      </c>
      <c r="L2168" s="1" t="s">
        <v>153</v>
      </c>
      <c r="M2168" s="1" t="s">
        <v>1256</v>
      </c>
      <c r="N2168" s="1" t="str">
        <f>HYPERLINK("https://klocwork.india.ti.com:443/review/insight-review.html#issuedetails_goto:problemid=121150,project=MCU_PLUS_SDK_AM263X,searchquery=taxonomy:'C and C++' build:Build_Apr_13_2023_11_11_AM grouping:off ","KW Issue Link")</f>
        <v>KW Issue Link</v>
      </c>
      <c r="O2168" s="1" t="s">
        <v>217</v>
      </c>
    </row>
    <row r="2169" spans="1:15" ht="60" x14ac:dyDescent="0.25">
      <c r="A2169" s="1" t="s">
        <v>1257</v>
      </c>
      <c r="B2169" s="1"/>
      <c r="C2169" s="1" t="s">
        <v>218</v>
      </c>
      <c r="D2169" s="1">
        <v>121151</v>
      </c>
      <c r="E2169" s="1">
        <v>4526</v>
      </c>
      <c r="F2169" s="1" t="s">
        <v>3182</v>
      </c>
      <c r="G2169" s="1" t="s">
        <v>3183</v>
      </c>
      <c r="H2169" s="1" t="s">
        <v>141</v>
      </c>
      <c r="I2169" s="1" t="s">
        <v>65</v>
      </c>
      <c r="J2169" s="1">
        <v>3</v>
      </c>
      <c r="K2169" s="1" t="s">
        <v>142</v>
      </c>
      <c r="L2169" s="1" t="s">
        <v>153</v>
      </c>
      <c r="M2169" s="1" t="s">
        <v>1256</v>
      </c>
      <c r="N2169" s="1" t="str">
        <f>HYPERLINK("https://klocwork.india.ti.com:443/review/insight-review.html#issuedetails_goto:problemid=121151,project=MCU_PLUS_SDK_AM263X,searchquery=taxonomy:'C and C++' build:Build_Apr_13_2023_11_11_AM grouping:off ","KW Issue Link")</f>
        <v>KW Issue Link</v>
      </c>
      <c r="O2169" s="1" t="s">
        <v>217</v>
      </c>
    </row>
    <row r="2170" spans="1:15" ht="60" x14ac:dyDescent="0.25">
      <c r="A2170" s="1" t="s">
        <v>1266</v>
      </c>
      <c r="B2170" s="1"/>
      <c r="C2170" s="1" t="s">
        <v>218</v>
      </c>
      <c r="D2170" s="1">
        <v>121153</v>
      </c>
      <c r="E2170" s="1">
        <v>2210</v>
      </c>
      <c r="F2170" s="1" t="s">
        <v>3184</v>
      </c>
      <c r="G2170" s="1" t="s">
        <v>3170</v>
      </c>
      <c r="H2170" s="1" t="s">
        <v>141</v>
      </c>
      <c r="I2170" s="1" t="s">
        <v>65</v>
      </c>
      <c r="J2170" s="1">
        <v>3</v>
      </c>
      <c r="K2170" s="1" t="s">
        <v>142</v>
      </c>
      <c r="L2170" s="1" t="s">
        <v>153</v>
      </c>
      <c r="M2170" s="1" t="s">
        <v>1256</v>
      </c>
      <c r="N2170" s="1" t="str">
        <f>HYPERLINK("https://klocwork.india.ti.com:443/review/insight-review.html#issuedetails_goto:problemid=121153,project=MCU_PLUS_SDK_AM263X,searchquery=taxonomy:'C and C++' build:Build_Apr_13_2023_11_11_AM grouping:off ","KW Issue Link")</f>
        <v>KW Issue Link</v>
      </c>
      <c r="O2170" s="1" t="s">
        <v>217</v>
      </c>
    </row>
    <row r="2171" spans="1:15" ht="60" x14ac:dyDescent="0.25">
      <c r="A2171" s="1" t="s">
        <v>1266</v>
      </c>
      <c r="B2171" s="1"/>
      <c r="C2171" s="1" t="s">
        <v>218</v>
      </c>
      <c r="D2171" s="1">
        <v>121154</v>
      </c>
      <c r="E2171" s="1">
        <v>2725</v>
      </c>
      <c r="F2171" s="1" t="s">
        <v>3185</v>
      </c>
      <c r="G2171" s="1" t="s">
        <v>225</v>
      </c>
      <c r="H2171" s="1" t="s">
        <v>141</v>
      </c>
      <c r="I2171" s="1" t="s">
        <v>65</v>
      </c>
      <c r="J2171" s="1">
        <v>3</v>
      </c>
      <c r="K2171" s="1" t="s">
        <v>142</v>
      </c>
      <c r="L2171" s="1" t="s">
        <v>153</v>
      </c>
      <c r="M2171" s="1" t="s">
        <v>1256</v>
      </c>
      <c r="N2171" s="1" t="str">
        <f>HYPERLINK("https://klocwork.india.ti.com:443/review/insight-review.html#issuedetails_goto:problemid=121154,project=MCU_PLUS_SDK_AM263X,searchquery=taxonomy:'C and C++' build:Build_Apr_13_2023_11_11_AM grouping:off ","KW Issue Link")</f>
        <v>KW Issue Link</v>
      </c>
      <c r="O2171" s="1" t="s">
        <v>217</v>
      </c>
    </row>
    <row r="2172" spans="1:15" ht="60" x14ac:dyDescent="0.25">
      <c r="A2172" s="1" t="s">
        <v>1266</v>
      </c>
      <c r="B2172" s="1"/>
      <c r="C2172" s="1" t="s">
        <v>218</v>
      </c>
      <c r="D2172" s="1">
        <v>121156</v>
      </c>
      <c r="E2172" s="1">
        <v>4842</v>
      </c>
      <c r="F2172" s="1" t="s">
        <v>3186</v>
      </c>
      <c r="G2172" s="1" t="s">
        <v>3187</v>
      </c>
      <c r="H2172" s="1" t="s">
        <v>141</v>
      </c>
      <c r="I2172" s="1" t="s">
        <v>65</v>
      </c>
      <c r="J2172" s="1">
        <v>3</v>
      </c>
      <c r="K2172" s="1" t="s">
        <v>142</v>
      </c>
      <c r="L2172" s="1" t="s">
        <v>153</v>
      </c>
      <c r="M2172" s="1" t="s">
        <v>1256</v>
      </c>
      <c r="N2172" s="1" t="str">
        <f>HYPERLINK("https://klocwork.india.ti.com:443/review/insight-review.html#issuedetails_goto:problemid=121156,project=MCU_PLUS_SDK_AM263X,searchquery=taxonomy:'C and C++' build:Build_Apr_13_2023_11_11_AM grouping:off ","KW Issue Link")</f>
        <v>KW Issue Link</v>
      </c>
      <c r="O2172" s="1" t="s">
        <v>217</v>
      </c>
    </row>
    <row r="2173" spans="1:15" ht="60" x14ac:dyDescent="0.25">
      <c r="A2173" s="1" t="s">
        <v>1266</v>
      </c>
      <c r="B2173" s="1"/>
      <c r="C2173" s="1" t="s">
        <v>218</v>
      </c>
      <c r="D2173" s="1">
        <v>121157</v>
      </c>
      <c r="E2173" s="1">
        <v>4965</v>
      </c>
      <c r="F2173" s="1" t="s">
        <v>3188</v>
      </c>
      <c r="G2173" s="1" t="s">
        <v>3165</v>
      </c>
      <c r="H2173" s="1" t="s">
        <v>141</v>
      </c>
      <c r="I2173" s="1" t="s">
        <v>65</v>
      </c>
      <c r="J2173" s="1">
        <v>3</v>
      </c>
      <c r="K2173" s="1" t="s">
        <v>142</v>
      </c>
      <c r="L2173" s="1" t="s">
        <v>153</v>
      </c>
      <c r="M2173" s="1" t="s">
        <v>1256</v>
      </c>
      <c r="N2173" s="1" t="str">
        <f>HYPERLINK("https://klocwork.india.ti.com:443/review/insight-review.html#issuedetails_goto:problemid=121157,project=MCU_PLUS_SDK_AM263X,searchquery=taxonomy:'C and C++' build:Build_Apr_13_2023_11_11_AM grouping:off ","KW Issue Link")</f>
        <v>KW Issue Link</v>
      </c>
      <c r="O2173" s="1" t="s">
        <v>217</v>
      </c>
    </row>
    <row r="2174" spans="1:15" ht="60" x14ac:dyDescent="0.25">
      <c r="A2174" s="1" t="s">
        <v>1268</v>
      </c>
      <c r="B2174" s="1"/>
      <c r="C2174" s="1" t="s">
        <v>218</v>
      </c>
      <c r="D2174" s="1">
        <v>121158</v>
      </c>
      <c r="E2174" s="1">
        <v>1706</v>
      </c>
      <c r="F2174" s="1" t="s">
        <v>3189</v>
      </c>
      <c r="G2174" s="1" t="s">
        <v>221</v>
      </c>
      <c r="H2174" s="1" t="s">
        <v>141</v>
      </c>
      <c r="I2174" s="1" t="s">
        <v>65</v>
      </c>
      <c r="J2174" s="1">
        <v>3</v>
      </c>
      <c r="K2174" s="1" t="s">
        <v>142</v>
      </c>
      <c r="L2174" s="1" t="s">
        <v>153</v>
      </c>
      <c r="M2174" s="1" t="s">
        <v>1256</v>
      </c>
      <c r="N2174" s="1" t="str">
        <f>HYPERLINK("https://klocwork.india.ti.com:443/review/insight-review.html#issuedetails_goto:problemid=121158,project=MCU_PLUS_SDK_AM263X,searchquery=taxonomy:'C and C++' build:Build_Apr_13_2023_11_11_AM grouping:off ","KW Issue Link")</f>
        <v>KW Issue Link</v>
      </c>
      <c r="O2174" s="1" t="s">
        <v>217</v>
      </c>
    </row>
    <row r="2175" spans="1:15" ht="60" x14ac:dyDescent="0.25">
      <c r="A2175" s="1" t="s">
        <v>1268</v>
      </c>
      <c r="B2175" s="1"/>
      <c r="C2175" s="1" t="s">
        <v>218</v>
      </c>
      <c r="D2175" s="1">
        <v>121159</v>
      </c>
      <c r="E2175" s="1">
        <v>2210</v>
      </c>
      <c r="F2175" s="1" t="s">
        <v>3190</v>
      </c>
      <c r="G2175" s="1" t="s">
        <v>3170</v>
      </c>
      <c r="H2175" s="1" t="s">
        <v>141</v>
      </c>
      <c r="I2175" s="1" t="s">
        <v>65</v>
      </c>
      <c r="J2175" s="1">
        <v>3</v>
      </c>
      <c r="K2175" s="1" t="s">
        <v>142</v>
      </c>
      <c r="L2175" s="1" t="s">
        <v>153</v>
      </c>
      <c r="M2175" s="1" t="s">
        <v>1256</v>
      </c>
      <c r="N2175" s="1" t="str">
        <f>HYPERLINK("https://klocwork.india.ti.com:443/review/insight-review.html#issuedetails_goto:problemid=121159,project=MCU_PLUS_SDK_AM263X,searchquery=taxonomy:'C and C++' build:Build_Apr_13_2023_11_11_AM grouping:off ","KW Issue Link")</f>
        <v>KW Issue Link</v>
      </c>
      <c r="O2175" s="1" t="s">
        <v>217</v>
      </c>
    </row>
    <row r="2176" spans="1:15" ht="60" x14ac:dyDescent="0.25">
      <c r="A2176" s="1" t="s">
        <v>1268</v>
      </c>
      <c r="B2176" s="1"/>
      <c r="C2176" s="1" t="s">
        <v>218</v>
      </c>
      <c r="D2176" s="1">
        <v>121162</v>
      </c>
      <c r="E2176" s="1">
        <v>4965</v>
      </c>
      <c r="F2176" s="1" t="s">
        <v>3191</v>
      </c>
      <c r="G2176" s="1" t="s">
        <v>3165</v>
      </c>
      <c r="H2176" s="1" t="s">
        <v>141</v>
      </c>
      <c r="I2176" s="1" t="s">
        <v>65</v>
      </c>
      <c r="J2176" s="1">
        <v>3</v>
      </c>
      <c r="K2176" s="1" t="s">
        <v>142</v>
      </c>
      <c r="L2176" s="1" t="s">
        <v>153</v>
      </c>
      <c r="M2176" s="1" t="s">
        <v>1256</v>
      </c>
      <c r="N2176" s="1" t="str">
        <f>HYPERLINK("https://klocwork.india.ti.com:443/review/insight-review.html#issuedetails_goto:problemid=121162,project=MCU_PLUS_SDK_AM263X,searchquery=taxonomy:'C and C++' build:Build_Apr_13_2023_11_11_AM grouping:off ","KW Issue Link")</f>
        <v>KW Issue Link</v>
      </c>
      <c r="O2176" s="1" t="s">
        <v>217</v>
      </c>
    </row>
    <row r="2177" spans="1:15" ht="60" x14ac:dyDescent="0.25">
      <c r="A2177" s="1" t="s">
        <v>1257</v>
      </c>
      <c r="B2177" s="1"/>
      <c r="C2177" s="1" t="s">
        <v>813</v>
      </c>
      <c r="D2177" s="1">
        <v>121167</v>
      </c>
      <c r="E2177" s="1">
        <v>294</v>
      </c>
      <c r="F2177" s="1" t="s">
        <v>3192</v>
      </c>
      <c r="G2177" s="1" t="s">
        <v>817</v>
      </c>
      <c r="H2177" s="1" t="s">
        <v>141</v>
      </c>
      <c r="I2177" s="1" t="s">
        <v>65</v>
      </c>
      <c r="J2177" s="1">
        <v>3</v>
      </c>
      <c r="K2177" s="1" t="s">
        <v>142</v>
      </c>
      <c r="L2177" s="1" t="s">
        <v>153</v>
      </c>
      <c r="M2177" s="1" t="s">
        <v>1256</v>
      </c>
      <c r="N2177" s="1" t="str">
        <f>HYPERLINK("https://klocwork.india.ti.com:443/review/insight-review.html#issuedetails_goto:problemid=121167,project=MCU_PLUS_SDK_AM263X,searchquery=taxonomy:'C and C++' build:Build_Apr_13_2023_11_11_AM grouping:off ","KW Issue Link")</f>
        <v>KW Issue Link</v>
      </c>
      <c r="O2177" s="1" t="s">
        <v>291</v>
      </c>
    </row>
    <row r="2178" spans="1:15" ht="60" x14ac:dyDescent="0.25">
      <c r="A2178" s="1" t="s">
        <v>1257</v>
      </c>
      <c r="B2178" s="1"/>
      <c r="C2178" s="1" t="s">
        <v>813</v>
      </c>
      <c r="D2178" s="1">
        <v>121168</v>
      </c>
      <c r="E2178" s="1">
        <v>317</v>
      </c>
      <c r="F2178" s="1" t="s">
        <v>3193</v>
      </c>
      <c r="G2178" s="1" t="s">
        <v>819</v>
      </c>
      <c r="H2178" s="1" t="s">
        <v>141</v>
      </c>
      <c r="I2178" s="1" t="s">
        <v>65</v>
      </c>
      <c r="J2178" s="1">
        <v>3</v>
      </c>
      <c r="K2178" s="1" t="s">
        <v>142</v>
      </c>
      <c r="L2178" s="1" t="s">
        <v>153</v>
      </c>
      <c r="M2178" s="1" t="s">
        <v>1256</v>
      </c>
      <c r="N2178" s="1" t="str">
        <f>HYPERLINK("https://klocwork.india.ti.com:443/review/insight-review.html#issuedetails_goto:problemid=121168,project=MCU_PLUS_SDK_AM263X,searchquery=taxonomy:'C and C++' build:Build_Apr_13_2023_11_11_AM grouping:off ","KW Issue Link")</f>
        <v>KW Issue Link</v>
      </c>
      <c r="O2178" s="1" t="s">
        <v>291</v>
      </c>
    </row>
    <row r="2179" spans="1:15" ht="60" x14ac:dyDescent="0.25">
      <c r="A2179" s="1" t="s">
        <v>1257</v>
      </c>
      <c r="B2179" s="1"/>
      <c r="C2179" s="1" t="s">
        <v>813</v>
      </c>
      <c r="D2179" s="1">
        <v>121169</v>
      </c>
      <c r="E2179" s="1">
        <v>348</v>
      </c>
      <c r="F2179" s="1" t="s">
        <v>3194</v>
      </c>
      <c r="G2179" s="1" t="s">
        <v>821</v>
      </c>
      <c r="H2179" s="1" t="s">
        <v>141</v>
      </c>
      <c r="I2179" s="1" t="s">
        <v>65</v>
      </c>
      <c r="J2179" s="1">
        <v>3</v>
      </c>
      <c r="K2179" s="1" t="s">
        <v>142</v>
      </c>
      <c r="L2179" s="1" t="s">
        <v>153</v>
      </c>
      <c r="M2179" s="1" t="s">
        <v>1256</v>
      </c>
      <c r="N2179" s="1" t="str">
        <f>HYPERLINK("https://klocwork.india.ti.com:443/review/insight-review.html#issuedetails_goto:problemid=121169,project=MCU_PLUS_SDK_AM263X,searchquery=taxonomy:'C and C++' build:Build_Apr_13_2023_11_11_AM grouping:off ","KW Issue Link")</f>
        <v>KW Issue Link</v>
      </c>
      <c r="O2179" s="1" t="s">
        <v>291</v>
      </c>
    </row>
    <row r="2180" spans="1:15" ht="60" x14ac:dyDescent="0.25">
      <c r="A2180" s="1" t="s">
        <v>1257</v>
      </c>
      <c r="B2180" s="1"/>
      <c r="C2180" s="1" t="s">
        <v>813</v>
      </c>
      <c r="D2180" s="1">
        <v>121171</v>
      </c>
      <c r="E2180" s="1">
        <v>484</v>
      </c>
      <c r="F2180" s="1" t="s">
        <v>3195</v>
      </c>
      <c r="G2180" s="1" t="s">
        <v>3196</v>
      </c>
      <c r="H2180" s="1" t="s">
        <v>141</v>
      </c>
      <c r="I2180" s="1" t="s">
        <v>65</v>
      </c>
      <c r="J2180" s="1">
        <v>3</v>
      </c>
      <c r="K2180" s="1" t="s">
        <v>142</v>
      </c>
      <c r="L2180" s="1" t="s">
        <v>153</v>
      </c>
      <c r="M2180" s="1" t="s">
        <v>1256</v>
      </c>
      <c r="N2180" s="1" t="str">
        <f>HYPERLINK("https://klocwork.india.ti.com:443/review/insight-review.html#issuedetails_goto:problemid=121171,project=MCU_PLUS_SDK_AM263X,searchquery=taxonomy:'C and C++' build:Build_Apr_13_2023_11_11_AM grouping:off ","KW Issue Link")</f>
        <v>KW Issue Link</v>
      </c>
      <c r="O2180" s="1" t="s">
        <v>291</v>
      </c>
    </row>
    <row r="2181" spans="1:15" ht="60" x14ac:dyDescent="0.25">
      <c r="A2181" s="1" t="s">
        <v>1257</v>
      </c>
      <c r="B2181" s="1"/>
      <c r="C2181" s="1" t="s">
        <v>813</v>
      </c>
      <c r="D2181" s="1">
        <v>121173</v>
      </c>
      <c r="E2181" s="1">
        <v>563</v>
      </c>
      <c r="F2181" s="1" t="s">
        <v>3197</v>
      </c>
      <c r="G2181" s="1" t="s">
        <v>3198</v>
      </c>
      <c r="H2181" s="1" t="s">
        <v>141</v>
      </c>
      <c r="I2181" s="1" t="s">
        <v>65</v>
      </c>
      <c r="J2181" s="1">
        <v>3</v>
      </c>
      <c r="K2181" s="1" t="s">
        <v>142</v>
      </c>
      <c r="L2181" s="1" t="s">
        <v>153</v>
      </c>
      <c r="M2181" s="1" t="s">
        <v>1256</v>
      </c>
      <c r="N2181" s="1" t="str">
        <f>HYPERLINK("https://klocwork.india.ti.com:443/review/insight-review.html#issuedetails_goto:problemid=121173,project=MCU_PLUS_SDK_AM263X,searchquery=taxonomy:'C and C++' build:Build_Apr_13_2023_11_11_AM grouping:off ","KW Issue Link")</f>
        <v>KW Issue Link</v>
      </c>
      <c r="O2181" s="1" t="s">
        <v>291</v>
      </c>
    </row>
    <row r="2182" spans="1:15" ht="60" x14ac:dyDescent="0.25">
      <c r="A2182" s="1" t="s">
        <v>1257</v>
      </c>
      <c r="B2182" s="1"/>
      <c r="C2182" s="1" t="s">
        <v>813</v>
      </c>
      <c r="D2182" s="1">
        <v>121174</v>
      </c>
      <c r="E2182" s="1">
        <v>661</v>
      </c>
      <c r="F2182" s="1" t="s">
        <v>3199</v>
      </c>
      <c r="G2182" s="1" t="s">
        <v>832</v>
      </c>
      <c r="H2182" s="1" t="s">
        <v>141</v>
      </c>
      <c r="I2182" s="1" t="s">
        <v>65</v>
      </c>
      <c r="J2182" s="1">
        <v>3</v>
      </c>
      <c r="K2182" s="1" t="s">
        <v>142</v>
      </c>
      <c r="L2182" s="1" t="s">
        <v>153</v>
      </c>
      <c r="M2182" s="1" t="s">
        <v>1256</v>
      </c>
      <c r="N2182" s="1" t="str">
        <f>HYPERLINK("https://klocwork.india.ti.com:443/review/insight-review.html#issuedetails_goto:problemid=121174,project=MCU_PLUS_SDK_AM263X,searchquery=taxonomy:'C and C++' build:Build_Apr_13_2023_11_11_AM grouping:off ","KW Issue Link")</f>
        <v>KW Issue Link</v>
      </c>
      <c r="O2182" s="1" t="s">
        <v>291</v>
      </c>
    </row>
    <row r="2183" spans="1:15" ht="60" x14ac:dyDescent="0.25">
      <c r="A2183" s="1" t="s">
        <v>1257</v>
      </c>
      <c r="B2183" s="1"/>
      <c r="C2183" s="1" t="s">
        <v>813</v>
      </c>
      <c r="D2183" s="1">
        <v>121176</v>
      </c>
      <c r="E2183" s="1">
        <v>848</v>
      </c>
      <c r="F2183" s="1" t="s">
        <v>3200</v>
      </c>
      <c r="G2183" s="1" t="s">
        <v>834</v>
      </c>
      <c r="H2183" s="1" t="s">
        <v>141</v>
      </c>
      <c r="I2183" s="1" t="s">
        <v>65</v>
      </c>
      <c r="J2183" s="1">
        <v>3</v>
      </c>
      <c r="K2183" s="1" t="s">
        <v>142</v>
      </c>
      <c r="L2183" s="1" t="s">
        <v>153</v>
      </c>
      <c r="M2183" s="1" t="s">
        <v>1256</v>
      </c>
      <c r="N2183" s="1" t="str">
        <f>HYPERLINK("https://klocwork.india.ti.com:443/review/insight-review.html#issuedetails_goto:problemid=121176,project=MCU_PLUS_SDK_AM263X,searchquery=taxonomy:'C and C++' build:Build_Apr_13_2023_11_11_AM grouping:off ","KW Issue Link")</f>
        <v>KW Issue Link</v>
      </c>
      <c r="O2183" s="1" t="s">
        <v>291</v>
      </c>
    </row>
    <row r="2184" spans="1:15" ht="60" x14ac:dyDescent="0.25">
      <c r="A2184" s="1" t="s">
        <v>1257</v>
      </c>
      <c r="B2184" s="1"/>
      <c r="C2184" s="1" t="s">
        <v>813</v>
      </c>
      <c r="D2184" s="1">
        <v>121177</v>
      </c>
      <c r="E2184" s="1">
        <v>930</v>
      </c>
      <c r="F2184" s="1" t="s">
        <v>3201</v>
      </c>
      <c r="G2184" s="1" t="s">
        <v>826</v>
      </c>
      <c r="H2184" s="1" t="s">
        <v>141</v>
      </c>
      <c r="I2184" s="1" t="s">
        <v>65</v>
      </c>
      <c r="J2184" s="1">
        <v>3</v>
      </c>
      <c r="K2184" s="1" t="s">
        <v>142</v>
      </c>
      <c r="L2184" s="1" t="s">
        <v>153</v>
      </c>
      <c r="M2184" s="1" t="s">
        <v>1256</v>
      </c>
      <c r="N2184" s="1" t="str">
        <f>HYPERLINK("https://klocwork.india.ti.com:443/review/insight-review.html#issuedetails_goto:problemid=121177,project=MCU_PLUS_SDK_AM263X,searchquery=taxonomy:'C and C++' build:Build_Apr_13_2023_11_11_AM grouping:off ","KW Issue Link")</f>
        <v>KW Issue Link</v>
      </c>
      <c r="O2184" s="1" t="s">
        <v>291</v>
      </c>
    </row>
    <row r="2185" spans="1:15" ht="60" x14ac:dyDescent="0.25">
      <c r="A2185" s="1" t="s">
        <v>1257</v>
      </c>
      <c r="B2185" s="1"/>
      <c r="C2185" s="1" t="s">
        <v>813</v>
      </c>
      <c r="D2185" s="1">
        <v>121178</v>
      </c>
      <c r="E2185" s="1">
        <v>968</v>
      </c>
      <c r="F2185" s="1" t="s">
        <v>3202</v>
      </c>
      <c r="G2185" s="1" t="s">
        <v>3203</v>
      </c>
      <c r="H2185" s="1" t="s">
        <v>141</v>
      </c>
      <c r="I2185" s="1" t="s">
        <v>65</v>
      </c>
      <c r="J2185" s="1">
        <v>3</v>
      </c>
      <c r="K2185" s="1" t="s">
        <v>142</v>
      </c>
      <c r="L2185" s="1" t="s">
        <v>153</v>
      </c>
      <c r="M2185" s="1" t="s">
        <v>1256</v>
      </c>
      <c r="N2185" s="1" t="str">
        <f>HYPERLINK("https://klocwork.india.ti.com:443/review/insight-review.html#issuedetails_goto:problemid=121178,project=MCU_PLUS_SDK_AM263X,searchquery=taxonomy:'C and C++' build:Build_Apr_13_2023_11_11_AM grouping:off ","KW Issue Link")</f>
        <v>KW Issue Link</v>
      </c>
      <c r="O2185" s="1" t="s">
        <v>291</v>
      </c>
    </row>
    <row r="2186" spans="1:15" ht="60" x14ac:dyDescent="0.25">
      <c r="A2186" s="1" t="s">
        <v>1257</v>
      </c>
      <c r="B2186" s="1"/>
      <c r="C2186" s="1" t="s">
        <v>813</v>
      </c>
      <c r="D2186" s="1">
        <v>121179</v>
      </c>
      <c r="E2186" s="1">
        <v>1011</v>
      </c>
      <c r="F2186" s="1" t="s">
        <v>3204</v>
      </c>
      <c r="G2186" s="1" t="s">
        <v>3205</v>
      </c>
      <c r="H2186" s="1" t="s">
        <v>141</v>
      </c>
      <c r="I2186" s="1" t="s">
        <v>65</v>
      </c>
      <c r="J2186" s="1">
        <v>3</v>
      </c>
      <c r="K2186" s="1" t="s">
        <v>142</v>
      </c>
      <c r="L2186" s="1" t="s">
        <v>153</v>
      </c>
      <c r="M2186" s="1" t="s">
        <v>1256</v>
      </c>
      <c r="N2186" s="1" t="str">
        <f>HYPERLINK("https://klocwork.india.ti.com:443/review/insight-review.html#issuedetails_goto:problemid=121179,project=MCU_PLUS_SDK_AM263X,searchquery=taxonomy:'C and C++' build:Build_Apr_13_2023_11_11_AM grouping:off ","KW Issue Link")</f>
        <v>KW Issue Link</v>
      </c>
      <c r="O2186" s="1" t="s">
        <v>291</v>
      </c>
    </row>
    <row r="2187" spans="1:15" ht="60" x14ac:dyDescent="0.25">
      <c r="A2187" s="1" t="s">
        <v>1257</v>
      </c>
      <c r="B2187" s="1"/>
      <c r="C2187" s="1" t="s">
        <v>813</v>
      </c>
      <c r="D2187" s="1">
        <v>121180</v>
      </c>
      <c r="E2187" s="1">
        <v>1067</v>
      </c>
      <c r="F2187" s="1" t="s">
        <v>3206</v>
      </c>
      <c r="G2187" s="1" t="s">
        <v>836</v>
      </c>
      <c r="H2187" s="1" t="s">
        <v>141</v>
      </c>
      <c r="I2187" s="1" t="s">
        <v>65</v>
      </c>
      <c r="J2187" s="1">
        <v>3</v>
      </c>
      <c r="K2187" s="1" t="s">
        <v>142</v>
      </c>
      <c r="L2187" s="1" t="s">
        <v>153</v>
      </c>
      <c r="M2187" s="1" t="s">
        <v>1256</v>
      </c>
      <c r="N2187" s="1" t="str">
        <f>HYPERLINK("https://klocwork.india.ti.com:443/review/insight-review.html#issuedetails_goto:problemid=121180,project=MCU_PLUS_SDK_AM263X,searchquery=taxonomy:'C and C++' build:Build_Apr_13_2023_11_11_AM grouping:off ","KW Issue Link")</f>
        <v>KW Issue Link</v>
      </c>
      <c r="O2187" s="1" t="s">
        <v>291</v>
      </c>
    </row>
    <row r="2188" spans="1:15" ht="60" x14ac:dyDescent="0.25">
      <c r="A2188" s="1" t="s">
        <v>1257</v>
      </c>
      <c r="B2188" s="1"/>
      <c r="C2188" s="1" t="s">
        <v>813</v>
      </c>
      <c r="D2188" s="1">
        <v>121181</v>
      </c>
      <c r="E2188" s="1">
        <v>1192</v>
      </c>
      <c r="F2188" s="1" t="s">
        <v>3207</v>
      </c>
      <c r="G2188" s="1" t="s">
        <v>838</v>
      </c>
      <c r="H2188" s="1" t="s">
        <v>141</v>
      </c>
      <c r="I2188" s="1" t="s">
        <v>65</v>
      </c>
      <c r="J2188" s="1">
        <v>3</v>
      </c>
      <c r="K2188" s="1" t="s">
        <v>142</v>
      </c>
      <c r="L2188" s="1" t="s">
        <v>153</v>
      </c>
      <c r="M2188" s="1" t="s">
        <v>1256</v>
      </c>
      <c r="N2188" s="1" t="str">
        <f>HYPERLINK("https://klocwork.india.ti.com:443/review/insight-review.html#issuedetails_goto:problemid=121181,project=MCU_PLUS_SDK_AM263X,searchquery=taxonomy:'C and C++' build:Build_Apr_13_2023_11_11_AM grouping:off ","KW Issue Link")</f>
        <v>KW Issue Link</v>
      </c>
      <c r="O2188" s="1" t="s">
        <v>291</v>
      </c>
    </row>
    <row r="2189" spans="1:15" ht="60" x14ac:dyDescent="0.25">
      <c r="A2189" s="1" t="s">
        <v>1257</v>
      </c>
      <c r="B2189" s="1"/>
      <c r="C2189" s="1" t="s">
        <v>813</v>
      </c>
      <c r="D2189" s="1">
        <v>121182</v>
      </c>
      <c r="E2189" s="1">
        <v>1479</v>
      </c>
      <c r="F2189" s="1" t="s">
        <v>3208</v>
      </c>
      <c r="G2189" s="1" t="s">
        <v>839</v>
      </c>
      <c r="H2189" s="1" t="s">
        <v>141</v>
      </c>
      <c r="I2189" s="1" t="s">
        <v>65</v>
      </c>
      <c r="J2189" s="1">
        <v>3</v>
      </c>
      <c r="K2189" s="1" t="s">
        <v>142</v>
      </c>
      <c r="L2189" s="1" t="s">
        <v>153</v>
      </c>
      <c r="M2189" s="1" t="s">
        <v>1256</v>
      </c>
      <c r="N2189" s="1" t="str">
        <f>HYPERLINK("https://klocwork.india.ti.com:443/review/insight-review.html#issuedetails_goto:problemid=121182,project=MCU_PLUS_SDK_AM263X,searchquery=taxonomy:'C and C++' build:Build_Apr_13_2023_11_11_AM grouping:off ","KW Issue Link")</f>
        <v>KW Issue Link</v>
      </c>
      <c r="O2189" s="1" t="s">
        <v>291</v>
      </c>
    </row>
    <row r="2190" spans="1:15" ht="60" x14ac:dyDescent="0.25">
      <c r="A2190" s="1" t="s">
        <v>1257</v>
      </c>
      <c r="B2190" s="1"/>
      <c r="C2190" s="1" t="s">
        <v>813</v>
      </c>
      <c r="D2190" s="1">
        <v>121183</v>
      </c>
      <c r="E2190" s="1">
        <v>1539</v>
      </c>
      <c r="F2190" s="1" t="s">
        <v>3209</v>
      </c>
      <c r="G2190" s="1" t="s">
        <v>3210</v>
      </c>
      <c r="H2190" s="1" t="s">
        <v>141</v>
      </c>
      <c r="I2190" s="1" t="s">
        <v>65</v>
      </c>
      <c r="J2190" s="1">
        <v>3</v>
      </c>
      <c r="K2190" s="1" t="s">
        <v>142</v>
      </c>
      <c r="L2190" s="1" t="s">
        <v>153</v>
      </c>
      <c r="M2190" s="1" t="s">
        <v>1256</v>
      </c>
      <c r="N2190" s="1" t="str">
        <f>HYPERLINK("https://klocwork.india.ti.com:443/review/insight-review.html#issuedetails_goto:problemid=121183,project=MCU_PLUS_SDK_AM263X,searchquery=taxonomy:'C and C++' build:Build_Apr_13_2023_11_11_AM grouping:off ","KW Issue Link")</f>
        <v>KW Issue Link</v>
      </c>
      <c r="O2190" s="1" t="s">
        <v>291</v>
      </c>
    </row>
    <row r="2191" spans="1:15" ht="60" x14ac:dyDescent="0.25">
      <c r="A2191" s="1" t="s">
        <v>1257</v>
      </c>
      <c r="B2191" s="1"/>
      <c r="C2191" s="1" t="s">
        <v>813</v>
      </c>
      <c r="D2191" s="1">
        <v>121187</v>
      </c>
      <c r="E2191" s="1">
        <v>1706</v>
      </c>
      <c r="F2191" s="1" t="s">
        <v>3211</v>
      </c>
      <c r="G2191" s="1" t="s">
        <v>3212</v>
      </c>
      <c r="H2191" s="1" t="s">
        <v>141</v>
      </c>
      <c r="I2191" s="1" t="s">
        <v>65</v>
      </c>
      <c r="J2191" s="1">
        <v>3</v>
      </c>
      <c r="K2191" s="1" t="s">
        <v>142</v>
      </c>
      <c r="L2191" s="1" t="s">
        <v>153</v>
      </c>
      <c r="M2191" s="1" t="s">
        <v>1256</v>
      </c>
      <c r="N2191" s="1" t="str">
        <f>HYPERLINK("https://klocwork.india.ti.com:443/review/insight-review.html#issuedetails_goto:problemid=121187,project=MCU_PLUS_SDK_AM263X,searchquery=taxonomy:'C and C++' build:Build_Apr_13_2023_11_11_AM grouping:off ","KW Issue Link")</f>
        <v>KW Issue Link</v>
      </c>
      <c r="O2191" s="1" t="s">
        <v>291</v>
      </c>
    </row>
    <row r="2192" spans="1:15" ht="60" x14ac:dyDescent="0.25">
      <c r="A2192" s="1" t="s">
        <v>1257</v>
      </c>
      <c r="B2192" s="1"/>
      <c r="C2192" s="1" t="s">
        <v>813</v>
      </c>
      <c r="D2192" s="1">
        <v>121188</v>
      </c>
      <c r="E2192" s="1">
        <v>1752</v>
      </c>
      <c r="F2192" s="1" t="s">
        <v>3213</v>
      </c>
      <c r="G2192" s="1" t="s">
        <v>3214</v>
      </c>
      <c r="H2192" s="1" t="s">
        <v>141</v>
      </c>
      <c r="I2192" s="1" t="s">
        <v>65</v>
      </c>
      <c r="J2192" s="1">
        <v>3</v>
      </c>
      <c r="K2192" s="1" t="s">
        <v>142</v>
      </c>
      <c r="L2192" s="1" t="s">
        <v>153</v>
      </c>
      <c r="M2192" s="1" t="s">
        <v>1256</v>
      </c>
      <c r="N2192" s="1" t="str">
        <f>HYPERLINK("https://klocwork.india.ti.com:443/review/insight-review.html#issuedetails_goto:problemid=121188,project=MCU_PLUS_SDK_AM263X,searchquery=taxonomy:'C and C++' build:Build_Apr_13_2023_11_11_AM grouping:off ","KW Issue Link")</f>
        <v>KW Issue Link</v>
      </c>
      <c r="O2192" s="1" t="s">
        <v>291</v>
      </c>
    </row>
    <row r="2193" spans="1:15" ht="60" x14ac:dyDescent="0.25">
      <c r="A2193" s="1" t="s">
        <v>1257</v>
      </c>
      <c r="B2193" s="1"/>
      <c r="C2193" s="1" t="s">
        <v>813</v>
      </c>
      <c r="D2193" s="1">
        <v>121189</v>
      </c>
      <c r="E2193" s="1">
        <v>1784</v>
      </c>
      <c r="F2193" s="1" t="s">
        <v>3215</v>
      </c>
      <c r="G2193" s="1" t="s">
        <v>3216</v>
      </c>
      <c r="H2193" s="1" t="s">
        <v>141</v>
      </c>
      <c r="I2193" s="1" t="s">
        <v>65</v>
      </c>
      <c r="J2193" s="1">
        <v>3</v>
      </c>
      <c r="K2193" s="1" t="s">
        <v>142</v>
      </c>
      <c r="L2193" s="1" t="s">
        <v>153</v>
      </c>
      <c r="M2193" s="1" t="s">
        <v>1256</v>
      </c>
      <c r="N2193" s="1" t="str">
        <f>HYPERLINK("https://klocwork.india.ti.com:443/review/insight-review.html#issuedetails_goto:problemid=121189,project=MCU_PLUS_SDK_AM263X,searchquery=taxonomy:'C and C++' build:Build_Apr_13_2023_11_11_AM grouping:off ","KW Issue Link")</f>
        <v>KW Issue Link</v>
      </c>
      <c r="O2193" s="1" t="s">
        <v>291</v>
      </c>
    </row>
    <row r="2194" spans="1:15" ht="60" x14ac:dyDescent="0.25">
      <c r="A2194" s="1" t="s">
        <v>1257</v>
      </c>
      <c r="B2194" s="1"/>
      <c r="C2194" s="1" t="s">
        <v>813</v>
      </c>
      <c r="D2194" s="1">
        <v>121190</v>
      </c>
      <c r="E2194" s="1">
        <v>1811</v>
      </c>
      <c r="F2194" s="1" t="s">
        <v>3217</v>
      </c>
      <c r="G2194" s="1" t="s">
        <v>3218</v>
      </c>
      <c r="H2194" s="1" t="s">
        <v>141</v>
      </c>
      <c r="I2194" s="1" t="s">
        <v>65</v>
      </c>
      <c r="J2194" s="1">
        <v>3</v>
      </c>
      <c r="K2194" s="1" t="s">
        <v>142</v>
      </c>
      <c r="L2194" s="1" t="s">
        <v>153</v>
      </c>
      <c r="M2194" s="1" t="s">
        <v>1256</v>
      </c>
      <c r="N2194" s="1" t="str">
        <f>HYPERLINK("https://klocwork.india.ti.com:443/review/insight-review.html#issuedetails_goto:problemid=121190,project=MCU_PLUS_SDK_AM263X,searchquery=taxonomy:'C and C++' build:Build_Apr_13_2023_11_11_AM grouping:off ","KW Issue Link")</f>
        <v>KW Issue Link</v>
      </c>
      <c r="O2194" s="1" t="s">
        <v>291</v>
      </c>
    </row>
    <row r="2195" spans="1:15" ht="60" x14ac:dyDescent="0.25">
      <c r="A2195" s="1" t="s">
        <v>1257</v>
      </c>
      <c r="B2195" s="1"/>
      <c r="C2195" s="1" t="s">
        <v>813</v>
      </c>
      <c r="D2195" s="1">
        <v>121191</v>
      </c>
      <c r="E2195" s="1">
        <v>1834</v>
      </c>
      <c r="F2195" s="1" t="s">
        <v>3219</v>
      </c>
      <c r="G2195" s="1" t="s">
        <v>3220</v>
      </c>
      <c r="H2195" s="1" t="s">
        <v>141</v>
      </c>
      <c r="I2195" s="1" t="s">
        <v>65</v>
      </c>
      <c r="J2195" s="1">
        <v>3</v>
      </c>
      <c r="K2195" s="1" t="s">
        <v>142</v>
      </c>
      <c r="L2195" s="1" t="s">
        <v>153</v>
      </c>
      <c r="M2195" s="1" t="s">
        <v>1256</v>
      </c>
      <c r="N2195" s="1" t="str">
        <f>HYPERLINK("https://klocwork.india.ti.com:443/review/insight-review.html#issuedetails_goto:problemid=121191,project=MCU_PLUS_SDK_AM263X,searchquery=taxonomy:'C and C++' build:Build_Apr_13_2023_11_11_AM grouping:off ","KW Issue Link")</f>
        <v>KW Issue Link</v>
      </c>
      <c r="O2195" s="1" t="s">
        <v>291</v>
      </c>
    </row>
    <row r="2196" spans="1:15" ht="60" x14ac:dyDescent="0.25">
      <c r="A2196" s="1" t="s">
        <v>1257</v>
      </c>
      <c r="B2196" s="1"/>
      <c r="C2196" s="1" t="s">
        <v>813</v>
      </c>
      <c r="D2196" s="1">
        <v>121192</v>
      </c>
      <c r="E2196" s="1">
        <v>2011</v>
      </c>
      <c r="F2196" s="1" t="s">
        <v>3221</v>
      </c>
      <c r="G2196" s="1" t="s">
        <v>3222</v>
      </c>
      <c r="H2196" s="1" t="s">
        <v>141</v>
      </c>
      <c r="I2196" s="1" t="s">
        <v>65</v>
      </c>
      <c r="J2196" s="1">
        <v>3</v>
      </c>
      <c r="K2196" s="1" t="s">
        <v>142</v>
      </c>
      <c r="L2196" s="1" t="s">
        <v>153</v>
      </c>
      <c r="M2196" s="1" t="s">
        <v>1256</v>
      </c>
      <c r="N2196" s="1" t="str">
        <f>HYPERLINK("https://klocwork.india.ti.com:443/review/insight-review.html#issuedetails_goto:problemid=121192,project=MCU_PLUS_SDK_AM263X,searchquery=taxonomy:'C and C++' build:Build_Apr_13_2023_11_11_AM grouping:off ","KW Issue Link")</f>
        <v>KW Issue Link</v>
      </c>
      <c r="O2196" s="1" t="s">
        <v>291</v>
      </c>
    </row>
    <row r="2197" spans="1:15" ht="60" x14ac:dyDescent="0.25">
      <c r="A2197" s="1" t="s">
        <v>1257</v>
      </c>
      <c r="B2197" s="1"/>
      <c r="C2197" s="1" t="s">
        <v>813</v>
      </c>
      <c r="D2197" s="1">
        <v>121193</v>
      </c>
      <c r="E2197" s="1">
        <v>2031</v>
      </c>
      <c r="F2197" s="1" t="s">
        <v>3223</v>
      </c>
      <c r="G2197" s="1" t="s">
        <v>3224</v>
      </c>
      <c r="H2197" s="1" t="s">
        <v>141</v>
      </c>
      <c r="I2197" s="1" t="s">
        <v>65</v>
      </c>
      <c r="J2197" s="1">
        <v>3</v>
      </c>
      <c r="K2197" s="1" t="s">
        <v>142</v>
      </c>
      <c r="L2197" s="1" t="s">
        <v>153</v>
      </c>
      <c r="M2197" s="1" t="s">
        <v>1256</v>
      </c>
      <c r="N2197" s="1" t="str">
        <f>HYPERLINK("https://klocwork.india.ti.com:443/review/insight-review.html#issuedetails_goto:problemid=121193,project=MCU_PLUS_SDK_AM263X,searchquery=taxonomy:'C and C++' build:Build_Apr_13_2023_11_11_AM grouping:off ","KW Issue Link")</f>
        <v>KW Issue Link</v>
      </c>
      <c r="O2197" s="1" t="s">
        <v>291</v>
      </c>
    </row>
    <row r="2198" spans="1:15" ht="60" x14ac:dyDescent="0.25">
      <c r="A2198" s="1" t="s">
        <v>1257</v>
      </c>
      <c r="B2198" s="1"/>
      <c r="C2198" s="1" t="s">
        <v>813</v>
      </c>
      <c r="D2198" s="1">
        <v>121194</v>
      </c>
      <c r="E2198" s="1">
        <v>2057</v>
      </c>
      <c r="F2198" s="1" t="s">
        <v>3225</v>
      </c>
      <c r="G2198" s="1" t="s">
        <v>3226</v>
      </c>
      <c r="H2198" s="1" t="s">
        <v>141</v>
      </c>
      <c r="I2198" s="1" t="s">
        <v>65</v>
      </c>
      <c r="J2198" s="1">
        <v>3</v>
      </c>
      <c r="K2198" s="1" t="s">
        <v>142</v>
      </c>
      <c r="L2198" s="1" t="s">
        <v>153</v>
      </c>
      <c r="M2198" s="1" t="s">
        <v>1256</v>
      </c>
      <c r="N2198" s="1" t="str">
        <f>HYPERLINK("https://klocwork.india.ti.com:443/review/insight-review.html#issuedetails_goto:problemid=121194,project=MCU_PLUS_SDK_AM263X,searchquery=taxonomy:'C and C++' build:Build_Apr_13_2023_11_11_AM grouping:off ","KW Issue Link")</f>
        <v>KW Issue Link</v>
      </c>
      <c r="O2198" s="1" t="s">
        <v>291</v>
      </c>
    </row>
    <row r="2199" spans="1:15" ht="60" x14ac:dyDescent="0.25">
      <c r="A2199" s="1" t="s">
        <v>1257</v>
      </c>
      <c r="B2199" s="1"/>
      <c r="C2199" s="1" t="s">
        <v>813</v>
      </c>
      <c r="D2199" s="1">
        <v>121196</v>
      </c>
      <c r="E2199" s="1">
        <v>2127</v>
      </c>
      <c r="F2199" s="1" t="s">
        <v>3227</v>
      </c>
      <c r="G2199" s="1" t="s">
        <v>3228</v>
      </c>
      <c r="H2199" s="1" t="s">
        <v>141</v>
      </c>
      <c r="I2199" s="1" t="s">
        <v>65</v>
      </c>
      <c r="J2199" s="1">
        <v>3</v>
      </c>
      <c r="K2199" s="1" t="s">
        <v>142</v>
      </c>
      <c r="L2199" s="1" t="s">
        <v>153</v>
      </c>
      <c r="M2199" s="1" t="s">
        <v>1256</v>
      </c>
      <c r="N2199" s="1" t="str">
        <f>HYPERLINK("https://klocwork.india.ti.com:443/review/insight-review.html#issuedetails_goto:problemid=121196,project=MCU_PLUS_SDK_AM263X,searchquery=taxonomy:'C and C++' build:Build_Apr_13_2023_11_11_AM grouping:off ","KW Issue Link")</f>
        <v>KW Issue Link</v>
      </c>
      <c r="O2199" s="1" t="s">
        <v>291</v>
      </c>
    </row>
    <row r="2200" spans="1:15" ht="60" x14ac:dyDescent="0.25">
      <c r="A2200" s="1" t="s">
        <v>1257</v>
      </c>
      <c r="B2200" s="1"/>
      <c r="C2200" s="1" t="s">
        <v>813</v>
      </c>
      <c r="D2200" s="1">
        <v>121197</v>
      </c>
      <c r="E2200" s="1">
        <v>2177</v>
      </c>
      <c r="F2200" s="1" t="s">
        <v>3229</v>
      </c>
      <c r="G2200" s="1" t="s">
        <v>828</v>
      </c>
      <c r="H2200" s="1" t="s">
        <v>141</v>
      </c>
      <c r="I2200" s="1" t="s">
        <v>65</v>
      </c>
      <c r="J2200" s="1">
        <v>3</v>
      </c>
      <c r="K2200" s="1" t="s">
        <v>142</v>
      </c>
      <c r="L2200" s="1" t="s">
        <v>153</v>
      </c>
      <c r="M2200" s="1" t="s">
        <v>1256</v>
      </c>
      <c r="N2200" s="1" t="str">
        <f>HYPERLINK("https://klocwork.india.ti.com:443/review/insight-review.html#issuedetails_goto:problemid=121197,project=MCU_PLUS_SDK_AM263X,searchquery=taxonomy:'C and C++' build:Build_Apr_13_2023_11_11_AM grouping:off ","KW Issue Link")</f>
        <v>KW Issue Link</v>
      </c>
      <c r="O2200" s="1" t="s">
        <v>291</v>
      </c>
    </row>
    <row r="2201" spans="1:15" ht="60" x14ac:dyDescent="0.25">
      <c r="A2201" s="1" t="s">
        <v>1257</v>
      </c>
      <c r="B2201" s="1"/>
      <c r="C2201" s="1" t="s">
        <v>813</v>
      </c>
      <c r="D2201" s="1">
        <v>121200</v>
      </c>
      <c r="E2201" s="1">
        <v>2299</v>
      </c>
      <c r="F2201" s="1" t="s">
        <v>3230</v>
      </c>
      <c r="G2201" s="1" t="s">
        <v>843</v>
      </c>
      <c r="H2201" s="1" t="s">
        <v>141</v>
      </c>
      <c r="I2201" s="1" t="s">
        <v>65</v>
      </c>
      <c r="J2201" s="1">
        <v>3</v>
      </c>
      <c r="K2201" s="1" t="s">
        <v>142</v>
      </c>
      <c r="L2201" s="1" t="s">
        <v>153</v>
      </c>
      <c r="M2201" s="1" t="s">
        <v>1256</v>
      </c>
      <c r="N2201" s="1" t="str">
        <f>HYPERLINK("https://klocwork.india.ti.com:443/review/insight-review.html#issuedetails_goto:problemid=121200,project=MCU_PLUS_SDK_AM263X,searchquery=taxonomy:'C and C++' build:Build_Apr_13_2023_11_11_AM grouping:off ","KW Issue Link")</f>
        <v>KW Issue Link</v>
      </c>
      <c r="O2201" s="1" t="s">
        <v>291</v>
      </c>
    </row>
    <row r="2202" spans="1:15" ht="60" x14ac:dyDescent="0.25">
      <c r="A2202" s="1" t="s">
        <v>1257</v>
      </c>
      <c r="B2202" s="1"/>
      <c r="C2202" s="1" t="s">
        <v>813</v>
      </c>
      <c r="D2202" s="1">
        <v>121201</v>
      </c>
      <c r="E2202" s="1">
        <v>2331</v>
      </c>
      <c r="F2202" s="1" t="s">
        <v>3231</v>
      </c>
      <c r="G2202" s="1" t="s">
        <v>3232</v>
      </c>
      <c r="H2202" s="1" t="s">
        <v>141</v>
      </c>
      <c r="I2202" s="1" t="s">
        <v>65</v>
      </c>
      <c r="J2202" s="1">
        <v>3</v>
      </c>
      <c r="K2202" s="1" t="s">
        <v>142</v>
      </c>
      <c r="L2202" s="1" t="s">
        <v>153</v>
      </c>
      <c r="M2202" s="1" t="s">
        <v>1256</v>
      </c>
      <c r="N2202" s="1" t="str">
        <f>HYPERLINK("https://klocwork.india.ti.com:443/review/insight-review.html#issuedetails_goto:problemid=121201,project=MCU_PLUS_SDK_AM263X,searchquery=taxonomy:'C and C++' build:Build_Apr_13_2023_11_11_AM grouping:off ","KW Issue Link")</f>
        <v>KW Issue Link</v>
      </c>
      <c r="O2202" s="1" t="s">
        <v>291</v>
      </c>
    </row>
    <row r="2203" spans="1:15" ht="60" x14ac:dyDescent="0.25">
      <c r="A2203" s="1" t="s">
        <v>1257</v>
      </c>
      <c r="B2203" s="1"/>
      <c r="C2203" s="1" t="s">
        <v>813</v>
      </c>
      <c r="D2203" s="1">
        <v>121202</v>
      </c>
      <c r="E2203" s="1">
        <v>2360</v>
      </c>
      <c r="F2203" s="1" t="s">
        <v>3233</v>
      </c>
      <c r="G2203" s="1" t="s">
        <v>3234</v>
      </c>
      <c r="H2203" s="1" t="s">
        <v>141</v>
      </c>
      <c r="I2203" s="1" t="s">
        <v>65</v>
      </c>
      <c r="J2203" s="1">
        <v>3</v>
      </c>
      <c r="K2203" s="1" t="s">
        <v>142</v>
      </c>
      <c r="L2203" s="1" t="s">
        <v>153</v>
      </c>
      <c r="M2203" s="1" t="s">
        <v>1256</v>
      </c>
      <c r="N2203" s="1" t="str">
        <f>HYPERLINK("https://klocwork.india.ti.com:443/review/insight-review.html#issuedetails_goto:problemid=121202,project=MCU_PLUS_SDK_AM263X,searchquery=taxonomy:'C and C++' build:Build_Apr_13_2023_11_11_AM grouping:off ","KW Issue Link")</f>
        <v>KW Issue Link</v>
      </c>
      <c r="O2203" s="1" t="s">
        <v>291</v>
      </c>
    </row>
    <row r="2204" spans="1:15" ht="60" x14ac:dyDescent="0.25">
      <c r="A2204" s="1" t="s">
        <v>1266</v>
      </c>
      <c r="B2204" s="1"/>
      <c r="C2204" s="1" t="s">
        <v>813</v>
      </c>
      <c r="D2204" s="1">
        <v>121206</v>
      </c>
      <c r="E2204" s="1">
        <v>348</v>
      </c>
      <c r="F2204" s="1" t="s">
        <v>3235</v>
      </c>
      <c r="G2204" s="1" t="s">
        <v>821</v>
      </c>
      <c r="H2204" s="1" t="s">
        <v>141</v>
      </c>
      <c r="I2204" s="1" t="s">
        <v>65</v>
      </c>
      <c r="J2204" s="1">
        <v>3</v>
      </c>
      <c r="K2204" s="1" t="s">
        <v>142</v>
      </c>
      <c r="L2204" s="1" t="s">
        <v>153</v>
      </c>
      <c r="M2204" s="1" t="s">
        <v>1256</v>
      </c>
      <c r="N2204" s="1" t="str">
        <f>HYPERLINK("https://klocwork.india.ti.com:443/review/insight-review.html#issuedetails_goto:problemid=121206,project=MCU_PLUS_SDK_AM263X,searchquery=taxonomy:'C and C++' build:Build_Apr_13_2023_11_11_AM grouping:off ","KW Issue Link")</f>
        <v>KW Issue Link</v>
      </c>
      <c r="O2204" s="1" t="s">
        <v>291</v>
      </c>
    </row>
    <row r="2205" spans="1:15" ht="60" x14ac:dyDescent="0.25">
      <c r="A2205" s="1" t="s">
        <v>1266</v>
      </c>
      <c r="B2205" s="1"/>
      <c r="C2205" s="1" t="s">
        <v>813</v>
      </c>
      <c r="D2205" s="1">
        <v>121207</v>
      </c>
      <c r="E2205" s="1">
        <v>409</v>
      </c>
      <c r="F2205" s="1" t="s">
        <v>3236</v>
      </c>
      <c r="G2205" s="1" t="s">
        <v>824</v>
      </c>
      <c r="H2205" s="1" t="s">
        <v>141</v>
      </c>
      <c r="I2205" s="1" t="s">
        <v>65</v>
      </c>
      <c r="J2205" s="1">
        <v>3</v>
      </c>
      <c r="K2205" s="1" t="s">
        <v>142</v>
      </c>
      <c r="L2205" s="1" t="s">
        <v>153</v>
      </c>
      <c r="M2205" s="1" t="s">
        <v>1256</v>
      </c>
      <c r="N2205" s="1" t="str">
        <f>HYPERLINK("https://klocwork.india.ti.com:443/review/insight-review.html#issuedetails_goto:problemid=121207,project=MCU_PLUS_SDK_AM263X,searchquery=taxonomy:'C and C++' build:Build_Apr_13_2023_11_11_AM grouping:off ","KW Issue Link")</f>
        <v>KW Issue Link</v>
      </c>
      <c r="O2205" s="1" t="s">
        <v>291</v>
      </c>
    </row>
    <row r="2206" spans="1:15" ht="60" x14ac:dyDescent="0.25">
      <c r="A2206" s="1" t="s">
        <v>1266</v>
      </c>
      <c r="B2206" s="1"/>
      <c r="C2206" s="1" t="s">
        <v>813</v>
      </c>
      <c r="D2206" s="1">
        <v>121208</v>
      </c>
      <c r="E2206" s="1">
        <v>484</v>
      </c>
      <c r="F2206" s="1" t="s">
        <v>3237</v>
      </c>
      <c r="G2206" s="1" t="s">
        <v>3196</v>
      </c>
      <c r="H2206" s="1" t="s">
        <v>141</v>
      </c>
      <c r="I2206" s="1" t="s">
        <v>65</v>
      </c>
      <c r="J2206" s="1">
        <v>3</v>
      </c>
      <c r="K2206" s="1" t="s">
        <v>142</v>
      </c>
      <c r="L2206" s="1" t="s">
        <v>153</v>
      </c>
      <c r="M2206" s="1" t="s">
        <v>1256</v>
      </c>
      <c r="N2206" s="1" t="str">
        <f>HYPERLINK("https://klocwork.india.ti.com:443/review/insight-review.html#issuedetails_goto:problemid=121208,project=MCU_PLUS_SDK_AM263X,searchquery=taxonomy:'C and C++' build:Build_Apr_13_2023_11_11_AM grouping:off ","KW Issue Link")</f>
        <v>KW Issue Link</v>
      </c>
      <c r="O2206" s="1" t="s">
        <v>291</v>
      </c>
    </row>
    <row r="2207" spans="1:15" ht="60" x14ac:dyDescent="0.25">
      <c r="A2207" s="1" t="s">
        <v>1266</v>
      </c>
      <c r="B2207" s="1"/>
      <c r="C2207" s="1" t="s">
        <v>813</v>
      </c>
      <c r="D2207" s="1">
        <v>121209</v>
      </c>
      <c r="E2207" s="1">
        <v>515</v>
      </c>
      <c r="F2207" s="1" t="s">
        <v>3238</v>
      </c>
      <c r="G2207" s="1" t="s">
        <v>3239</v>
      </c>
      <c r="H2207" s="1" t="s">
        <v>141</v>
      </c>
      <c r="I2207" s="1" t="s">
        <v>65</v>
      </c>
      <c r="J2207" s="1">
        <v>3</v>
      </c>
      <c r="K2207" s="1" t="s">
        <v>142</v>
      </c>
      <c r="L2207" s="1" t="s">
        <v>153</v>
      </c>
      <c r="M2207" s="1" t="s">
        <v>1256</v>
      </c>
      <c r="N2207" s="1" t="str">
        <f>HYPERLINK("https://klocwork.india.ti.com:443/review/insight-review.html#issuedetails_goto:problemid=121209,project=MCU_PLUS_SDK_AM263X,searchquery=taxonomy:'C and C++' build:Build_Apr_13_2023_11_11_AM grouping:off ","KW Issue Link")</f>
        <v>KW Issue Link</v>
      </c>
      <c r="O2207" s="1" t="s">
        <v>291</v>
      </c>
    </row>
    <row r="2208" spans="1:15" ht="60" x14ac:dyDescent="0.25">
      <c r="A2208" s="1" t="s">
        <v>1266</v>
      </c>
      <c r="B2208" s="1"/>
      <c r="C2208" s="1" t="s">
        <v>813</v>
      </c>
      <c r="D2208" s="1">
        <v>121210</v>
      </c>
      <c r="E2208" s="1">
        <v>563</v>
      </c>
      <c r="F2208" s="1" t="s">
        <v>3240</v>
      </c>
      <c r="G2208" s="1" t="s">
        <v>3198</v>
      </c>
      <c r="H2208" s="1" t="s">
        <v>141</v>
      </c>
      <c r="I2208" s="1" t="s">
        <v>65</v>
      </c>
      <c r="J2208" s="1">
        <v>3</v>
      </c>
      <c r="K2208" s="1" t="s">
        <v>142</v>
      </c>
      <c r="L2208" s="1" t="s">
        <v>153</v>
      </c>
      <c r="M2208" s="1" t="s">
        <v>1256</v>
      </c>
      <c r="N2208" s="1" t="str">
        <f>HYPERLINK("https://klocwork.india.ti.com:443/review/insight-review.html#issuedetails_goto:problemid=121210,project=MCU_PLUS_SDK_AM263X,searchquery=taxonomy:'C and C++' build:Build_Apr_13_2023_11_11_AM grouping:off ","KW Issue Link")</f>
        <v>KW Issue Link</v>
      </c>
      <c r="O2208" s="1" t="s">
        <v>291</v>
      </c>
    </row>
    <row r="2209" spans="1:15" ht="60" x14ac:dyDescent="0.25">
      <c r="A2209" s="1" t="s">
        <v>1266</v>
      </c>
      <c r="B2209" s="1"/>
      <c r="C2209" s="1" t="s">
        <v>813</v>
      </c>
      <c r="D2209" s="1">
        <v>121211</v>
      </c>
      <c r="E2209" s="1">
        <v>661</v>
      </c>
      <c r="F2209" s="1" t="s">
        <v>3241</v>
      </c>
      <c r="G2209" s="1" t="s">
        <v>832</v>
      </c>
      <c r="H2209" s="1" t="s">
        <v>141</v>
      </c>
      <c r="I2209" s="1" t="s">
        <v>65</v>
      </c>
      <c r="J2209" s="1">
        <v>3</v>
      </c>
      <c r="K2209" s="1" t="s">
        <v>142</v>
      </c>
      <c r="L2209" s="1" t="s">
        <v>153</v>
      </c>
      <c r="M2209" s="1" t="s">
        <v>1256</v>
      </c>
      <c r="N2209" s="1" t="str">
        <f>HYPERLINK("https://klocwork.india.ti.com:443/review/insight-review.html#issuedetails_goto:problemid=121211,project=MCU_PLUS_SDK_AM263X,searchquery=taxonomy:'C and C++' build:Build_Apr_13_2023_11_11_AM grouping:off ","KW Issue Link")</f>
        <v>KW Issue Link</v>
      </c>
      <c r="O2209" s="1" t="s">
        <v>291</v>
      </c>
    </row>
    <row r="2210" spans="1:15" ht="60" x14ac:dyDescent="0.25">
      <c r="A2210" s="1" t="s">
        <v>1266</v>
      </c>
      <c r="B2210" s="1"/>
      <c r="C2210" s="1" t="s">
        <v>813</v>
      </c>
      <c r="D2210" s="1">
        <v>121212</v>
      </c>
      <c r="E2210" s="1">
        <v>848</v>
      </c>
      <c r="F2210" s="1" t="s">
        <v>3242</v>
      </c>
      <c r="G2210" s="1" t="s">
        <v>834</v>
      </c>
      <c r="H2210" s="1" t="s">
        <v>141</v>
      </c>
      <c r="I2210" s="1" t="s">
        <v>65</v>
      </c>
      <c r="J2210" s="1">
        <v>3</v>
      </c>
      <c r="K2210" s="1" t="s">
        <v>142</v>
      </c>
      <c r="L2210" s="1" t="s">
        <v>153</v>
      </c>
      <c r="M2210" s="1" t="s">
        <v>1256</v>
      </c>
      <c r="N2210" s="1" t="str">
        <f>HYPERLINK("https://klocwork.india.ti.com:443/review/insight-review.html#issuedetails_goto:problemid=121212,project=MCU_PLUS_SDK_AM263X,searchquery=taxonomy:'C and C++' build:Build_Apr_13_2023_11_11_AM grouping:off ","KW Issue Link")</f>
        <v>KW Issue Link</v>
      </c>
      <c r="O2210" s="1" t="s">
        <v>291</v>
      </c>
    </row>
    <row r="2211" spans="1:15" ht="60" x14ac:dyDescent="0.25">
      <c r="A2211" s="1" t="s">
        <v>1266</v>
      </c>
      <c r="B2211" s="1"/>
      <c r="C2211" s="1" t="s">
        <v>813</v>
      </c>
      <c r="D2211" s="1">
        <v>121214</v>
      </c>
      <c r="E2211" s="1">
        <v>968</v>
      </c>
      <c r="F2211" s="1" t="s">
        <v>3243</v>
      </c>
      <c r="G2211" s="1" t="s">
        <v>3203</v>
      </c>
      <c r="H2211" s="1" t="s">
        <v>141</v>
      </c>
      <c r="I2211" s="1" t="s">
        <v>65</v>
      </c>
      <c r="J2211" s="1">
        <v>3</v>
      </c>
      <c r="K2211" s="1" t="s">
        <v>142</v>
      </c>
      <c r="L2211" s="1" t="s">
        <v>153</v>
      </c>
      <c r="M2211" s="1" t="s">
        <v>1256</v>
      </c>
      <c r="N2211" s="1" t="str">
        <f>HYPERLINK("https://klocwork.india.ti.com:443/review/insight-review.html#issuedetails_goto:problemid=121214,project=MCU_PLUS_SDK_AM263X,searchquery=taxonomy:'C and C++' build:Build_Apr_13_2023_11_11_AM grouping:off ","KW Issue Link")</f>
        <v>KW Issue Link</v>
      </c>
      <c r="O2211" s="1" t="s">
        <v>291</v>
      </c>
    </row>
    <row r="2212" spans="1:15" ht="60" x14ac:dyDescent="0.25">
      <c r="A2212" s="1" t="s">
        <v>1266</v>
      </c>
      <c r="B2212" s="1"/>
      <c r="C2212" s="1" t="s">
        <v>813</v>
      </c>
      <c r="D2212" s="1">
        <v>121215</v>
      </c>
      <c r="E2212" s="1">
        <v>1067</v>
      </c>
      <c r="F2212" s="1" t="s">
        <v>3244</v>
      </c>
      <c r="G2212" s="1" t="s">
        <v>836</v>
      </c>
      <c r="H2212" s="1" t="s">
        <v>141</v>
      </c>
      <c r="I2212" s="1" t="s">
        <v>65</v>
      </c>
      <c r="J2212" s="1">
        <v>3</v>
      </c>
      <c r="K2212" s="1" t="s">
        <v>142</v>
      </c>
      <c r="L2212" s="1" t="s">
        <v>153</v>
      </c>
      <c r="M2212" s="1" t="s">
        <v>1256</v>
      </c>
      <c r="N2212" s="1" t="str">
        <f>HYPERLINK("https://klocwork.india.ti.com:443/review/insight-review.html#issuedetails_goto:problemid=121215,project=MCU_PLUS_SDK_AM263X,searchquery=taxonomy:'C and C++' build:Build_Apr_13_2023_11_11_AM grouping:off ","KW Issue Link")</f>
        <v>KW Issue Link</v>
      </c>
      <c r="O2212" s="1" t="s">
        <v>291</v>
      </c>
    </row>
    <row r="2213" spans="1:15" ht="60" x14ac:dyDescent="0.25">
      <c r="A2213" s="1" t="s">
        <v>1266</v>
      </c>
      <c r="B2213" s="1"/>
      <c r="C2213" s="1" t="s">
        <v>813</v>
      </c>
      <c r="D2213" s="1">
        <v>121216</v>
      </c>
      <c r="E2213" s="1">
        <v>1192</v>
      </c>
      <c r="F2213" s="1" t="s">
        <v>3245</v>
      </c>
      <c r="G2213" s="1" t="s">
        <v>838</v>
      </c>
      <c r="H2213" s="1" t="s">
        <v>141</v>
      </c>
      <c r="I2213" s="1" t="s">
        <v>65</v>
      </c>
      <c r="J2213" s="1">
        <v>3</v>
      </c>
      <c r="K2213" s="1" t="s">
        <v>142</v>
      </c>
      <c r="L2213" s="1" t="s">
        <v>153</v>
      </c>
      <c r="M2213" s="1" t="s">
        <v>1256</v>
      </c>
      <c r="N2213" s="1" t="str">
        <f>HYPERLINK("https://klocwork.india.ti.com:443/review/insight-review.html#issuedetails_goto:problemid=121216,project=MCU_PLUS_SDK_AM263X,searchquery=taxonomy:'C and C++' build:Build_Apr_13_2023_11_11_AM grouping:off ","KW Issue Link")</f>
        <v>KW Issue Link</v>
      </c>
      <c r="O2213" s="1" t="s">
        <v>291</v>
      </c>
    </row>
    <row r="2214" spans="1:15" ht="60" x14ac:dyDescent="0.25">
      <c r="A2214" s="1" t="s">
        <v>1266</v>
      </c>
      <c r="B2214" s="1"/>
      <c r="C2214" s="1" t="s">
        <v>813</v>
      </c>
      <c r="D2214" s="1">
        <v>121217</v>
      </c>
      <c r="E2214" s="1">
        <v>1479</v>
      </c>
      <c r="F2214" s="1" t="s">
        <v>3246</v>
      </c>
      <c r="G2214" s="1" t="s">
        <v>839</v>
      </c>
      <c r="H2214" s="1" t="s">
        <v>141</v>
      </c>
      <c r="I2214" s="1" t="s">
        <v>65</v>
      </c>
      <c r="J2214" s="1">
        <v>3</v>
      </c>
      <c r="K2214" s="1" t="s">
        <v>142</v>
      </c>
      <c r="L2214" s="1" t="s">
        <v>153</v>
      </c>
      <c r="M2214" s="1" t="s">
        <v>1256</v>
      </c>
      <c r="N2214" s="1" t="str">
        <f>HYPERLINK("https://klocwork.india.ti.com:443/review/insight-review.html#issuedetails_goto:problemid=121217,project=MCU_PLUS_SDK_AM263X,searchquery=taxonomy:'C and C++' build:Build_Apr_13_2023_11_11_AM grouping:off ","KW Issue Link")</f>
        <v>KW Issue Link</v>
      </c>
      <c r="O2214" s="1" t="s">
        <v>291</v>
      </c>
    </row>
    <row r="2215" spans="1:15" ht="60" x14ac:dyDescent="0.25">
      <c r="A2215" s="1" t="s">
        <v>1266</v>
      </c>
      <c r="B2215" s="1"/>
      <c r="C2215" s="1" t="s">
        <v>813</v>
      </c>
      <c r="D2215" s="1">
        <v>121218</v>
      </c>
      <c r="E2215" s="1">
        <v>1539</v>
      </c>
      <c r="F2215" s="1" t="s">
        <v>3247</v>
      </c>
      <c r="G2215" s="1" t="s">
        <v>3210</v>
      </c>
      <c r="H2215" s="1" t="s">
        <v>141</v>
      </c>
      <c r="I2215" s="1" t="s">
        <v>65</v>
      </c>
      <c r="J2215" s="1">
        <v>3</v>
      </c>
      <c r="K2215" s="1" t="s">
        <v>142</v>
      </c>
      <c r="L2215" s="1" t="s">
        <v>153</v>
      </c>
      <c r="M2215" s="1" t="s">
        <v>1256</v>
      </c>
      <c r="N2215" s="1" t="str">
        <f>HYPERLINK("https://klocwork.india.ti.com:443/review/insight-review.html#issuedetails_goto:problemid=121218,project=MCU_PLUS_SDK_AM263X,searchquery=taxonomy:'C and C++' build:Build_Apr_13_2023_11_11_AM grouping:off ","KW Issue Link")</f>
        <v>KW Issue Link</v>
      </c>
      <c r="O2215" s="1" t="s">
        <v>291</v>
      </c>
    </row>
    <row r="2216" spans="1:15" ht="60" x14ac:dyDescent="0.25">
      <c r="A2216" s="1" t="s">
        <v>1266</v>
      </c>
      <c r="B2216" s="1"/>
      <c r="C2216" s="1" t="s">
        <v>813</v>
      </c>
      <c r="D2216" s="1">
        <v>121219</v>
      </c>
      <c r="E2216" s="1">
        <v>1706</v>
      </c>
      <c r="F2216" s="1" t="s">
        <v>3248</v>
      </c>
      <c r="G2216" s="1" t="s">
        <v>3212</v>
      </c>
      <c r="H2216" s="1" t="s">
        <v>141</v>
      </c>
      <c r="I2216" s="1" t="s">
        <v>65</v>
      </c>
      <c r="J2216" s="1">
        <v>3</v>
      </c>
      <c r="K2216" s="1" t="s">
        <v>142</v>
      </c>
      <c r="L2216" s="1" t="s">
        <v>153</v>
      </c>
      <c r="M2216" s="1" t="s">
        <v>1256</v>
      </c>
      <c r="N2216" s="1" t="str">
        <f>HYPERLINK("https://klocwork.india.ti.com:443/review/insight-review.html#issuedetails_goto:problemid=121219,project=MCU_PLUS_SDK_AM263X,searchquery=taxonomy:'C and C++' build:Build_Apr_13_2023_11_11_AM grouping:off ","KW Issue Link")</f>
        <v>KW Issue Link</v>
      </c>
      <c r="O2216" s="1" t="s">
        <v>291</v>
      </c>
    </row>
    <row r="2217" spans="1:15" ht="60" x14ac:dyDescent="0.25">
      <c r="A2217" s="1" t="s">
        <v>1266</v>
      </c>
      <c r="B2217" s="1"/>
      <c r="C2217" s="1" t="s">
        <v>813</v>
      </c>
      <c r="D2217" s="1">
        <v>121220</v>
      </c>
      <c r="E2217" s="1">
        <v>1752</v>
      </c>
      <c r="F2217" s="1" t="s">
        <v>3249</v>
      </c>
      <c r="G2217" s="1" t="s">
        <v>3214</v>
      </c>
      <c r="H2217" s="1" t="s">
        <v>141</v>
      </c>
      <c r="I2217" s="1" t="s">
        <v>65</v>
      </c>
      <c r="J2217" s="1">
        <v>3</v>
      </c>
      <c r="K2217" s="1" t="s">
        <v>142</v>
      </c>
      <c r="L2217" s="1" t="s">
        <v>153</v>
      </c>
      <c r="M2217" s="1" t="s">
        <v>1256</v>
      </c>
      <c r="N2217" s="1" t="str">
        <f>HYPERLINK("https://klocwork.india.ti.com:443/review/insight-review.html#issuedetails_goto:problemid=121220,project=MCU_PLUS_SDK_AM263X,searchquery=taxonomy:'C and C++' build:Build_Apr_13_2023_11_11_AM grouping:off ","KW Issue Link")</f>
        <v>KW Issue Link</v>
      </c>
      <c r="O2217" s="1" t="s">
        <v>291</v>
      </c>
    </row>
    <row r="2218" spans="1:15" ht="60" x14ac:dyDescent="0.25">
      <c r="A2218" s="1" t="s">
        <v>1266</v>
      </c>
      <c r="B2218" s="1"/>
      <c r="C2218" s="1" t="s">
        <v>813</v>
      </c>
      <c r="D2218" s="1">
        <v>121221</v>
      </c>
      <c r="E2218" s="1">
        <v>1834</v>
      </c>
      <c r="F2218" s="1" t="s">
        <v>3250</v>
      </c>
      <c r="G2218" s="1" t="s">
        <v>3220</v>
      </c>
      <c r="H2218" s="1" t="s">
        <v>141</v>
      </c>
      <c r="I2218" s="1" t="s">
        <v>65</v>
      </c>
      <c r="J2218" s="1">
        <v>3</v>
      </c>
      <c r="K2218" s="1" t="s">
        <v>142</v>
      </c>
      <c r="L2218" s="1" t="s">
        <v>153</v>
      </c>
      <c r="M2218" s="1" t="s">
        <v>1256</v>
      </c>
      <c r="N2218" s="1" t="str">
        <f>HYPERLINK("https://klocwork.india.ti.com:443/review/insight-review.html#issuedetails_goto:problemid=121221,project=MCU_PLUS_SDK_AM263X,searchquery=taxonomy:'C and C++' build:Build_Apr_13_2023_11_11_AM grouping:off ","KW Issue Link")</f>
        <v>KW Issue Link</v>
      </c>
      <c r="O2218" s="1" t="s">
        <v>291</v>
      </c>
    </row>
    <row r="2219" spans="1:15" ht="60" x14ac:dyDescent="0.25">
      <c r="A2219" s="1" t="s">
        <v>1266</v>
      </c>
      <c r="B2219" s="1"/>
      <c r="C2219" s="1" t="s">
        <v>813</v>
      </c>
      <c r="D2219" s="1">
        <v>121223</v>
      </c>
      <c r="E2219" s="1">
        <v>2127</v>
      </c>
      <c r="F2219" s="1" t="s">
        <v>3251</v>
      </c>
      <c r="G2219" s="1" t="s">
        <v>3228</v>
      </c>
      <c r="H2219" s="1" t="s">
        <v>141</v>
      </c>
      <c r="I2219" s="1" t="s">
        <v>65</v>
      </c>
      <c r="J2219" s="1">
        <v>3</v>
      </c>
      <c r="K2219" s="1" t="s">
        <v>142</v>
      </c>
      <c r="L2219" s="1" t="s">
        <v>153</v>
      </c>
      <c r="M2219" s="1" t="s">
        <v>1256</v>
      </c>
      <c r="N2219" s="1" t="str">
        <f>HYPERLINK("https://klocwork.india.ti.com:443/review/insight-review.html#issuedetails_goto:problemid=121223,project=MCU_PLUS_SDK_AM263X,searchquery=taxonomy:'C and C++' build:Build_Apr_13_2023_11_11_AM grouping:off ","KW Issue Link")</f>
        <v>KW Issue Link</v>
      </c>
      <c r="O2219" s="1" t="s">
        <v>291</v>
      </c>
    </row>
    <row r="2220" spans="1:15" ht="60" x14ac:dyDescent="0.25">
      <c r="A2220" s="1" t="s">
        <v>1266</v>
      </c>
      <c r="B2220" s="1"/>
      <c r="C2220" s="1" t="s">
        <v>813</v>
      </c>
      <c r="D2220" s="1">
        <v>121224</v>
      </c>
      <c r="E2220" s="1">
        <v>2177</v>
      </c>
      <c r="F2220" s="1" t="s">
        <v>3252</v>
      </c>
      <c r="G2220" s="1" t="s">
        <v>828</v>
      </c>
      <c r="H2220" s="1" t="s">
        <v>141</v>
      </c>
      <c r="I2220" s="1" t="s">
        <v>65</v>
      </c>
      <c r="J2220" s="1">
        <v>3</v>
      </c>
      <c r="K2220" s="1" t="s">
        <v>142</v>
      </c>
      <c r="L2220" s="1" t="s">
        <v>153</v>
      </c>
      <c r="M2220" s="1" t="s">
        <v>1256</v>
      </c>
      <c r="N2220" s="1" t="str">
        <f>HYPERLINK("https://klocwork.india.ti.com:443/review/insight-review.html#issuedetails_goto:problemid=121224,project=MCU_PLUS_SDK_AM263X,searchquery=taxonomy:'C and C++' build:Build_Apr_13_2023_11_11_AM grouping:off ","KW Issue Link")</f>
        <v>KW Issue Link</v>
      </c>
      <c r="O2220" s="1" t="s">
        <v>291</v>
      </c>
    </row>
    <row r="2221" spans="1:15" ht="60" x14ac:dyDescent="0.25">
      <c r="A2221" s="1" t="s">
        <v>1266</v>
      </c>
      <c r="B2221" s="1"/>
      <c r="C2221" s="1" t="s">
        <v>813</v>
      </c>
      <c r="D2221" s="1">
        <v>121225</v>
      </c>
      <c r="E2221" s="1">
        <v>2299</v>
      </c>
      <c r="F2221" s="1" t="s">
        <v>3253</v>
      </c>
      <c r="G2221" s="1" t="s">
        <v>843</v>
      </c>
      <c r="H2221" s="1" t="s">
        <v>141</v>
      </c>
      <c r="I2221" s="1" t="s">
        <v>65</v>
      </c>
      <c r="J2221" s="1">
        <v>3</v>
      </c>
      <c r="K2221" s="1" t="s">
        <v>142</v>
      </c>
      <c r="L2221" s="1" t="s">
        <v>153</v>
      </c>
      <c r="M2221" s="1" t="s">
        <v>1256</v>
      </c>
      <c r="N2221" s="1" t="str">
        <f>HYPERLINK("https://klocwork.india.ti.com:443/review/insight-review.html#issuedetails_goto:problemid=121225,project=MCU_PLUS_SDK_AM263X,searchquery=taxonomy:'C and C++' build:Build_Apr_13_2023_11_11_AM grouping:off ","KW Issue Link")</f>
        <v>KW Issue Link</v>
      </c>
      <c r="O2221" s="1" t="s">
        <v>291</v>
      </c>
    </row>
    <row r="2222" spans="1:15" ht="60" x14ac:dyDescent="0.25">
      <c r="A2222" s="1" t="s">
        <v>1268</v>
      </c>
      <c r="B2222" s="1"/>
      <c r="C2222" s="1" t="s">
        <v>813</v>
      </c>
      <c r="D2222" s="1">
        <v>121229</v>
      </c>
      <c r="E2222" s="1">
        <v>348</v>
      </c>
      <c r="F2222" s="1" t="s">
        <v>3254</v>
      </c>
      <c r="G2222" s="1" t="s">
        <v>821</v>
      </c>
      <c r="H2222" s="1" t="s">
        <v>141</v>
      </c>
      <c r="I2222" s="1" t="s">
        <v>65</v>
      </c>
      <c r="J2222" s="1">
        <v>3</v>
      </c>
      <c r="K2222" s="1" t="s">
        <v>142</v>
      </c>
      <c r="L2222" s="1" t="s">
        <v>153</v>
      </c>
      <c r="M2222" s="1" t="s">
        <v>1256</v>
      </c>
      <c r="N2222" s="1" t="str">
        <f>HYPERLINK("https://klocwork.india.ti.com:443/review/insight-review.html#issuedetails_goto:problemid=121229,project=MCU_PLUS_SDK_AM263X,searchquery=taxonomy:'C and C++' build:Build_Apr_13_2023_11_11_AM grouping:off ","KW Issue Link")</f>
        <v>KW Issue Link</v>
      </c>
      <c r="O2222" s="1" t="s">
        <v>291</v>
      </c>
    </row>
    <row r="2223" spans="1:15" ht="60" x14ac:dyDescent="0.25">
      <c r="A2223" s="1" t="s">
        <v>1268</v>
      </c>
      <c r="B2223" s="1"/>
      <c r="C2223" s="1" t="s">
        <v>813</v>
      </c>
      <c r="D2223" s="1">
        <v>121230</v>
      </c>
      <c r="E2223" s="1">
        <v>409</v>
      </c>
      <c r="F2223" s="1" t="s">
        <v>3255</v>
      </c>
      <c r="G2223" s="1" t="s">
        <v>824</v>
      </c>
      <c r="H2223" s="1" t="s">
        <v>141</v>
      </c>
      <c r="I2223" s="1" t="s">
        <v>65</v>
      </c>
      <c r="J2223" s="1">
        <v>3</v>
      </c>
      <c r="K2223" s="1" t="s">
        <v>142</v>
      </c>
      <c r="L2223" s="1" t="s">
        <v>153</v>
      </c>
      <c r="M2223" s="1" t="s">
        <v>1256</v>
      </c>
      <c r="N2223" s="1" t="str">
        <f>HYPERLINK("https://klocwork.india.ti.com:443/review/insight-review.html#issuedetails_goto:problemid=121230,project=MCU_PLUS_SDK_AM263X,searchquery=taxonomy:'C and C++' build:Build_Apr_13_2023_11_11_AM grouping:off ","KW Issue Link")</f>
        <v>KW Issue Link</v>
      </c>
      <c r="O2223" s="1" t="s">
        <v>291</v>
      </c>
    </row>
    <row r="2224" spans="1:15" ht="60" x14ac:dyDescent="0.25">
      <c r="A2224" s="1" t="s">
        <v>1268</v>
      </c>
      <c r="B2224" s="1"/>
      <c r="C2224" s="1" t="s">
        <v>813</v>
      </c>
      <c r="D2224" s="1">
        <v>121231</v>
      </c>
      <c r="E2224" s="1">
        <v>563</v>
      </c>
      <c r="F2224" s="1" t="s">
        <v>3256</v>
      </c>
      <c r="G2224" s="1" t="s">
        <v>3198</v>
      </c>
      <c r="H2224" s="1" t="s">
        <v>141</v>
      </c>
      <c r="I2224" s="1" t="s">
        <v>65</v>
      </c>
      <c r="J2224" s="1">
        <v>3</v>
      </c>
      <c r="K2224" s="1" t="s">
        <v>142</v>
      </c>
      <c r="L2224" s="1" t="s">
        <v>153</v>
      </c>
      <c r="M2224" s="1" t="s">
        <v>1256</v>
      </c>
      <c r="N2224" s="1" t="str">
        <f>HYPERLINK("https://klocwork.india.ti.com:443/review/insight-review.html#issuedetails_goto:problemid=121231,project=MCU_PLUS_SDK_AM263X,searchquery=taxonomy:'C and C++' build:Build_Apr_13_2023_11_11_AM grouping:off ","KW Issue Link")</f>
        <v>KW Issue Link</v>
      </c>
      <c r="O2224" s="1" t="s">
        <v>291</v>
      </c>
    </row>
    <row r="2225" spans="1:15" ht="60" x14ac:dyDescent="0.25">
      <c r="A2225" s="1" t="s">
        <v>1268</v>
      </c>
      <c r="B2225" s="1"/>
      <c r="C2225" s="1" t="s">
        <v>813</v>
      </c>
      <c r="D2225" s="1">
        <v>121232</v>
      </c>
      <c r="E2225" s="1">
        <v>661</v>
      </c>
      <c r="F2225" s="1" t="s">
        <v>3257</v>
      </c>
      <c r="G2225" s="1" t="s">
        <v>832</v>
      </c>
      <c r="H2225" s="1" t="s">
        <v>141</v>
      </c>
      <c r="I2225" s="1" t="s">
        <v>65</v>
      </c>
      <c r="J2225" s="1">
        <v>3</v>
      </c>
      <c r="K2225" s="1" t="s">
        <v>142</v>
      </c>
      <c r="L2225" s="1" t="s">
        <v>153</v>
      </c>
      <c r="M2225" s="1" t="s">
        <v>1256</v>
      </c>
      <c r="N2225" s="1" t="str">
        <f>HYPERLINK("https://klocwork.india.ti.com:443/review/insight-review.html#issuedetails_goto:problemid=121232,project=MCU_PLUS_SDK_AM263X,searchquery=taxonomy:'C and C++' build:Build_Apr_13_2023_11_11_AM grouping:off ","KW Issue Link")</f>
        <v>KW Issue Link</v>
      </c>
      <c r="O2225" s="1" t="s">
        <v>291</v>
      </c>
    </row>
    <row r="2226" spans="1:15" ht="60" x14ac:dyDescent="0.25">
      <c r="A2226" s="1" t="s">
        <v>1268</v>
      </c>
      <c r="B2226" s="1"/>
      <c r="C2226" s="1" t="s">
        <v>813</v>
      </c>
      <c r="D2226" s="1">
        <v>121233</v>
      </c>
      <c r="E2226" s="1">
        <v>848</v>
      </c>
      <c r="F2226" s="1" t="s">
        <v>3258</v>
      </c>
      <c r="G2226" s="1" t="s">
        <v>834</v>
      </c>
      <c r="H2226" s="1" t="s">
        <v>141</v>
      </c>
      <c r="I2226" s="1" t="s">
        <v>65</v>
      </c>
      <c r="J2226" s="1">
        <v>3</v>
      </c>
      <c r="K2226" s="1" t="s">
        <v>142</v>
      </c>
      <c r="L2226" s="1" t="s">
        <v>153</v>
      </c>
      <c r="M2226" s="1" t="s">
        <v>1256</v>
      </c>
      <c r="N2226" s="1" t="str">
        <f>HYPERLINK("https://klocwork.india.ti.com:443/review/insight-review.html#issuedetails_goto:problemid=121233,project=MCU_PLUS_SDK_AM263X,searchquery=taxonomy:'C and C++' build:Build_Apr_13_2023_11_11_AM grouping:off ","KW Issue Link")</f>
        <v>KW Issue Link</v>
      </c>
      <c r="O2226" s="1" t="s">
        <v>291</v>
      </c>
    </row>
    <row r="2227" spans="1:15" ht="60" x14ac:dyDescent="0.25">
      <c r="A2227" s="1" t="s">
        <v>1268</v>
      </c>
      <c r="B2227" s="1"/>
      <c r="C2227" s="1" t="s">
        <v>813</v>
      </c>
      <c r="D2227" s="1">
        <v>121234</v>
      </c>
      <c r="E2227" s="1">
        <v>968</v>
      </c>
      <c r="F2227" s="1" t="s">
        <v>3259</v>
      </c>
      <c r="G2227" s="1" t="s">
        <v>3203</v>
      </c>
      <c r="H2227" s="1" t="s">
        <v>141</v>
      </c>
      <c r="I2227" s="1" t="s">
        <v>65</v>
      </c>
      <c r="J2227" s="1">
        <v>3</v>
      </c>
      <c r="K2227" s="1" t="s">
        <v>142</v>
      </c>
      <c r="L2227" s="1" t="s">
        <v>153</v>
      </c>
      <c r="M2227" s="1" t="s">
        <v>1256</v>
      </c>
      <c r="N2227" s="1" t="str">
        <f>HYPERLINK("https://klocwork.india.ti.com:443/review/insight-review.html#issuedetails_goto:problemid=121234,project=MCU_PLUS_SDK_AM263X,searchquery=taxonomy:'C and C++' build:Build_Apr_13_2023_11_11_AM grouping:off ","KW Issue Link")</f>
        <v>KW Issue Link</v>
      </c>
      <c r="O2227" s="1" t="s">
        <v>291</v>
      </c>
    </row>
    <row r="2228" spans="1:15" ht="60" x14ac:dyDescent="0.25">
      <c r="A2228" s="1" t="s">
        <v>1268</v>
      </c>
      <c r="B2228" s="1"/>
      <c r="C2228" s="1" t="s">
        <v>813</v>
      </c>
      <c r="D2228" s="1">
        <v>121235</v>
      </c>
      <c r="E2228" s="1">
        <v>1067</v>
      </c>
      <c r="F2228" s="1" t="s">
        <v>3260</v>
      </c>
      <c r="G2228" s="1" t="s">
        <v>836</v>
      </c>
      <c r="H2228" s="1" t="s">
        <v>141</v>
      </c>
      <c r="I2228" s="1" t="s">
        <v>65</v>
      </c>
      <c r="J2228" s="1">
        <v>3</v>
      </c>
      <c r="K2228" s="1" t="s">
        <v>142</v>
      </c>
      <c r="L2228" s="1" t="s">
        <v>153</v>
      </c>
      <c r="M2228" s="1" t="s">
        <v>1256</v>
      </c>
      <c r="N2228" s="1" t="str">
        <f>HYPERLINK("https://klocwork.india.ti.com:443/review/insight-review.html#issuedetails_goto:problemid=121235,project=MCU_PLUS_SDK_AM263X,searchquery=taxonomy:'C and C++' build:Build_Apr_13_2023_11_11_AM grouping:off ","KW Issue Link")</f>
        <v>KW Issue Link</v>
      </c>
      <c r="O2228" s="1" t="s">
        <v>291</v>
      </c>
    </row>
    <row r="2229" spans="1:15" ht="60" x14ac:dyDescent="0.25">
      <c r="A2229" s="1" t="s">
        <v>1268</v>
      </c>
      <c r="B2229" s="1"/>
      <c r="C2229" s="1" t="s">
        <v>813</v>
      </c>
      <c r="D2229" s="1">
        <v>121236</v>
      </c>
      <c r="E2229" s="1">
        <v>1192</v>
      </c>
      <c r="F2229" s="1" t="s">
        <v>3261</v>
      </c>
      <c r="G2229" s="1" t="s">
        <v>838</v>
      </c>
      <c r="H2229" s="1" t="s">
        <v>141</v>
      </c>
      <c r="I2229" s="1" t="s">
        <v>65</v>
      </c>
      <c r="J2229" s="1">
        <v>3</v>
      </c>
      <c r="K2229" s="1" t="s">
        <v>142</v>
      </c>
      <c r="L2229" s="1" t="s">
        <v>153</v>
      </c>
      <c r="M2229" s="1" t="s">
        <v>1256</v>
      </c>
      <c r="N2229" s="1" t="str">
        <f>HYPERLINK("https://klocwork.india.ti.com:443/review/insight-review.html#issuedetails_goto:problemid=121236,project=MCU_PLUS_SDK_AM263X,searchquery=taxonomy:'C and C++' build:Build_Apr_13_2023_11_11_AM grouping:off ","KW Issue Link")</f>
        <v>KW Issue Link</v>
      </c>
      <c r="O2229" s="1" t="s">
        <v>291</v>
      </c>
    </row>
    <row r="2230" spans="1:15" ht="60" x14ac:dyDescent="0.25">
      <c r="A2230" s="1" t="s">
        <v>1268</v>
      </c>
      <c r="B2230" s="1"/>
      <c r="C2230" s="1" t="s">
        <v>813</v>
      </c>
      <c r="D2230" s="1">
        <v>121237</v>
      </c>
      <c r="E2230" s="1">
        <v>1479</v>
      </c>
      <c r="F2230" s="1" t="s">
        <v>3262</v>
      </c>
      <c r="G2230" s="1" t="s">
        <v>839</v>
      </c>
      <c r="H2230" s="1" t="s">
        <v>141</v>
      </c>
      <c r="I2230" s="1" t="s">
        <v>65</v>
      </c>
      <c r="J2230" s="1">
        <v>3</v>
      </c>
      <c r="K2230" s="1" t="s">
        <v>142</v>
      </c>
      <c r="L2230" s="1" t="s">
        <v>153</v>
      </c>
      <c r="M2230" s="1" t="s">
        <v>1256</v>
      </c>
      <c r="N2230" s="1" t="str">
        <f>HYPERLINK("https://klocwork.india.ti.com:443/review/insight-review.html#issuedetails_goto:problemid=121237,project=MCU_PLUS_SDK_AM263X,searchquery=taxonomy:'C and C++' build:Build_Apr_13_2023_11_11_AM grouping:off ","KW Issue Link")</f>
        <v>KW Issue Link</v>
      </c>
      <c r="O2230" s="1" t="s">
        <v>291</v>
      </c>
    </row>
    <row r="2231" spans="1:15" ht="60" x14ac:dyDescent="0.25">
      <c r="A2231" s="1" t="s">
        <v>1268</v>
      </c>
      <c r="B2231" s="1"/>
      <c r="C2231" s="1" t="s">
        <v>813</v>
      </c>
      <c r="D2231" s="1">
        <v>121238</v>
      </c>
      <c r="E2231" s="1">
        <v>1539</v>
      </c>
      <c r="F2231" s="1" t="s">
        <v>3263</v>
      </c>
      <c r="G2231" s="1" t="s">
        <v>3210</v>
      </c>
      <c r="H2231" s="1" t="s">
        <v>141</v>
      </c>
      <c r="I2231" s="1" t="s">
        <v>65</v>
      </c>
      <c r="J2231" s="1">
        <v>3</v>
      </c>
      <c r="K2231" s="1" t="s">
        <v>142</v>
      </c>
      <c r="L2231" s="1" t="s">
        <v>153</v>
      </c>
      <c r="M2231" s="1" t="s">
        <v>1256</v>
      </c>
      <c r="N2231" s="1" t="str">
        <f>HYPERLINK("https://klocwork.india.ti.com:443/review/insight-review.html#issuedetails_goto:problemid=121238,project=MCU_PLUS_SDK_AM263X,searchquery=taxonomy:'C and C++' build:Build_Apr_13_2023_11_11_AM grouping:off ","KW Issue Link")</f>
        <v>KW Issue Link</v>
      </c>
      <c r="O2231" s="1" t="s">
        <v>291</v>
      </c>
    </row>
    <row r="2232" spans="1:15" ht="60" x14ac:dyDescent="0.25">
      <c r="A2232" s="1" t="s">
        <v>1268</v>
      </c>
      <c r="B2232" s="1"/>
      <c r="C2232" s="1" t="s">
        <v>813</v>
      </c>
      <c r="D2232" s="1">
        <v>121239</v>
      </c>
      <c r="E2232" s="1">
        <v>1752</v>
      </c>
      <c r="F2232" s="1" t="s">
        <v>3264</v>
      </c>
      <c r="G2232" s="1" t="s">
        <v>3214</v>
      </c>
      <c r="H2232" s="1" t="s">
        <v>141</v>
      </c>
      <c r="I2232" s="1" t="s">
        <v>65</v>
      </c>
      <c r="J2232" s="1">
        <v>3</v>
      </c>
      <c r="K2232" s="1" t="s">
        <v>142</v>
      </c>
      <c r="L2232" s="1" t="s">
        <v>153</v>
      </c>
      <c r="M2232" s="1" t="s">
        <v>1256</v>
      </c>
      <c r="N2232" s="1" t="str">
        <f>HYPERLINK("https://klocwork.india.ti.com:443/review/insight-review.html#issuedetails_goto:problemid=121239,project=MCU_PLUS_SDK_AM263X,searchquery=taxonomy:'C and C++' build:Build_Apr_13_2023_11_11_AM grouping:off ","KW Issue Link")</f>
        <v>KW Issue Link</v>
      </c>
      <c r="O2232" s="1" t="s">
        <v>291</v>
      </c>
    </row>
    <row r="2233" spans="1:15" ht="60" x14ac:dyDescent="0.25">
      <c r="A2233" s="1" t="s">
        <v>1268</v>
      </c>
      <c r="B2233" s="1"/>
      <c r="C2233" s="1" t="s">
        <v>813</v>
      </c>
      <c r="D2233" s="1">
        <v>121240</v>
      </c>
      <c r="E2233" s="1">
        <v>1834</v>
      </c>
      <c r="F2233" s="1" t="s">
        <v>3265</v>
      </c>
      <c r="G2233" s="1" t="s">
        <v>3220</v>
      </c>
      <c r="H2233" s="1" t="s">
        <v>141</v>
      </c>
      <c r="I2233" s="1" t="s">
        <v>65</v>
      </c>
      <c r="J2233" s="1">
        <v>3</v>
      </c>
      <c r="K2233" s="1" t="s">
        <v>142</v>
      </c>
      <c r="L2233" s="1" t="s">
        <v>153</v>
      </c>
      <c r="M2233" s="1" t="s">
        <v>1256</v>
      </c>
      <c r="N2233" s="1" t="str">
        <f>HYPERLINK("https://klocwork.india.ti.com:443/review/insight-review.html#issuedetails_goto:problemid=121240,project=MCU_PLUS_SDK_AM263X,searchquery=taxonomy:'C and C++' build:Build_Apr_13_2023_11_11_AM grouping:off ","KW Issue Link")</f>
        <v>KW Issue Link</v>
      </c>
      <c r="O2233" s="1" t="s">
        <v>291</v>
      </c>
    </row>
    <row r="2234" spans="1:15" ht="60" x14ac:dyDescent="0.25">
      <c r="A2234" s="1" t="s">
        <v>1268</v>
      </c>
      <c r="B2234" s="1"/>
      <c r="C2234" s="1" t="s">
        <v>813</v>
      </c>
      <c r="D2234" s="1">
        <v>121241</v>
      </c>
      <c r="E2234" s="1">
        <v>2127</v>
      </c>
      <c r="F2234" s="1" t="s">
        <v>3266</v>
      </c>
      <c r="G2234" s="1" t="s">
        <v>3228</v>
      </c>
      <c r="H2234" s="1" t="s">
        <v>141</v>
      </c>
      <c r="I2234" s="1" t="s">
        <v>65</v>
      </c>
      <c r="J2234" s="1">
        <v>3</v>
      </c>
      <c r="K2234" s="1" t="s">
        <v>142</v>
      </c>
      <c r="L2234" s="1" t="s">
        <v>153</v>
      </c>
      <c r="M2234" s="1" t="s">
        <v>1256</v>
      </c>
      <c r="N2234" s="1" t="str">
        <f>HYPERLINK("https://klocwork.india.ti.com:443/review/insight-review.html#issuedetails_goto:problemid=121241,project=MCU_PLUS_SDK_AM263X,searchquery=taxonomy:'C and C++' build:Build_Apr_13_2023_11_11_AM grouping:off ","KW Issue Link")</f>
        <v>KW Issue Link</v>
      </c>
      <c r="O2234" s="1" t="s">
        <v>291</v>
      </c>
    </row>
    <row r="2235" spans="1:15" ht="60" x14ac:dyDescent="0.25">
      <c r="A2235" s="1" t="s">
        <v>1268</v>
      </c>
      <c r="B2235" s="1"/>
      <c r="C2235" s="1" t="s">
        <v>813</v>
      </c>
      <c r="D2235" s="1">
        <v>121242</v>
      </c>
      <c r="E2235" s="1">
        <v>2177</v>
      </c>
      <c r="F2235" s="1" t="s">
        <v>3267</v>
      </c>
      <c r="G2235" s="1" t="s">
        <v>828</v>
      </c>
      <c r="H2235" s="1" t="s">
        <v>141</v>
      </c>
      <c r="I2235" s="1" t="s">
        <v>65</v>
      </c>
      <c r="J2235" s="1">
        <v>3</v>
      </c>
      <c r="K2235" s="1" t="s">
        <v>142</v>
      </c>
      <c r="L2235" s="1" t="s">
        <v>153</v>
      </c>
      <c r="M2235" s="1" t="s">
        <v>1256</v>
      </c>
      <c r="N2235" s="1" t="str">
        <f>HYPERLINK("https://klocwork.india.ti.com:443/review/insight-review.html#issuedetails_goto:problemid=121242,project=MCU_PLUS_SDK_AM263X,searchquery=taxonomy:'C and C++' build:Build_Apr_13_2023_11_11_AM grouping:off ","KW Issue Link")</f>
        <v>KW Issue Link</v>
      </c>
      <c r="O2235" s="1" t="s">
        <v>291</v>
      </c>
    </row>
    <row r="2236" spans="1:15" ht="60" x14ac:dyDescent="0.25">
      <c r="A2236" s="1" t="s">
        <v>1257</v>
      </c>
      <c r="B2236" s="1"/>
      <c r="C2236" s="1" t="s">
        <v>844</v>
      </c>
      <c r="D2236" s="1">
        <v>121244</v>
      </c>
      <c r="E2236" s="1">
        <v>118</v>
      </c>
      <c r="F2236" s="1" t="s">
        <v>3268</v>
      </c>
      <c r="G2236" s="1" t="s">
        <v>846</v>
      </c>
      <c r="H2236" s="1" t="s">
        <v>141</v>
      </c>
      <c r="I2236" s="1" t="s">
        <v>65</v>
      </c>
      <c r="J2236" s="1">
        <v>3</v>
      </c>
      <c r="K2236" s="1" t="s">
        <v>142</v>
      </c>
      <c r="L2236" s="1" t="s">
        <v>153</v>
      </c>
      <c r="M2236" s="1" t="s">
        <v>1256</v>
      </c>
      <c r="N2236" s="1" t="str">
        <f>HYPERLINK("https://klocwork.india.ti.com:443/review/insight-review.html#issuedetails_goto:problemid=121244,project=MCU_PLUS_SDK_AM263X,searchquery=taxonomy:'C and C++' build:Build_Apr_13_2023_11_11_AM grouping:off ","KW Issue Link")</f>
        <v>KW Issue Link</v>
      </c>
      <c r="O2236" s="1" t="s">
        <v>291</v>
      </c>
    </row>
    <row r="2237" spans="1:15" ht="60" x14ac:dyDescent="0.25">
      <c r="A2237" s="1" t="s">
        <v>1257</v>
      </c>
      <c r="B2237" s="1"/>
      <c r="C2237" s="1" t="s">
        <v>844</v>
      </c>
      <c r="D2237" s="1">
        <v>121245</v>
      </c>
      <c r="E2237" s="1">
        <v>600</v>
      </c>
      <c r="F2237" s="1" t="s">
        <v>3269</v>
      </c>
      <c r="G2237" s="1" t="s">
        <v>858</v>
      </c>
      <c r="H2237" s="1" t="s">
        <v>141</v>
      </c>
      <c r="I2237" s="1" t="s">
        <v>65</v>
      </c>
      <c r="J2237" s="1">
        <v>3</v>
      </c>
      <c r="K2237" s="1" t="s">
        <v>142</v>
      </c>
      <c r="L2237" s="1" t="s">
        <v>153</v>
      </c>
      <c r="M2237" s="1" t="s">
        <v>1256</v>
      </c>
      <c r="N2237" s="1" t="str">
        <f>HYPERLINK("https://klocwork.india.ti.com:443/review/insight-review.html#issuedetails_goto:problemid=121245,project=MCU_PLUS_SDK_AM263X,searchquery=taxonomy:'C and C++' build:Build_Apr_13_2023_11_11_AM grouping:off ","KW Issue Link")</f>
        <v>KW Issue Link</v>
      </c>
      <c r="O2237" s="1" t="s">
        <v>291</v>
      </c>
    </row>
    <row r="2238" spans="1:15" ht="60" x14ac:dyDescent="0.25">
      <c r="A2238" s="1" t="s">
        <v>1257</v>
      </c>
      <c r="B2238" s="1"/>
      <c r="C2238" s="1" t="s">
        <v>844</v>
      </c>
      <c r="D2238" s="1">
        <v>121246</v>
      </c>
      <c r="E2238" s="1">
        <v>630</v>
      </c>
      <c r="F2238" s="1" t="s">
        <v>3270</v>
      </c>
      <c r="G2238" s="1" t="s">
        <v>860</v>
      </c>
      <c r="H2238" s="1" t="s">
        <v>141</v>
      </c>
      <c r="I2238" s="1" t="s">
        <v>65</v>
      </c>
      <c r="J2238" s="1">
        <v>3</v>
      </c>
      <c r="K2238" s="1" t="s">
        <v>142</v>
      </c>
      <c r="L2238" s="1" t="s">
        <v>153</v>
      </c>
      <c r="M2238" s="1" t="s">
        <v>1256</v>
      </c>
      <c r="N2238" s="1" t="str">
        <f>HYPERLINK("https://klocwork.india.ti.com:443/review/insight-review.html#issuedetails_goto:problemid=121246,project=MCU_PLUS_SDK_AM263X,searchquery=taxonomy:'C and C++' build:Build_Apr_13_2023_11_11_AM grouping:off ","KW Issue Link")</f>
        <v>KW Issue Link</v>
      </c>
      <c r="O2238" s="1" t="s">
        <v>291</v>
      </c>
    </row>
    <row r="2239" spans="1:15" ht="60" x14ac:dyDescent="0.25">
      <c r="A2239" s="1" t="s">
        <v>1257</v>
      </c>
      <c r="B2239" s="1"/>
      <c r="C2239" s="1" t="s">
        <v>844</v>
      </c>
      <c r="D2239" s="1">
        <v>121248</v>
      </c>
      <c r="E2239" s="1">
        <v>788</v>
      </c>
      <c r="F2239" s="1" t="s">
        <v>3271</v>
      </c>
      <c r="G2239" s="1" t="s">
        <v>848</v>
      </c>
      <c r="H2239" s="1" t="s">
        <v>141</v>
      </c>
      <c r="I2239" s="1" t="s">
        <v>65</v>
      </c>
      <c r="J2239" s="1">
        <v>3</v>
      </c>
      <c r="K2239" s="1" t="s">
        <v>142</v>
      </c>
      <c r="L2239" s="1" t="s">
        <v>153</v>
      </c>
      <c r="M2239" s="1" t="s">
        <v>1256</v>
      </c>
      <c r="N2239" s="1" t="str">
        <f>HYPERLINK("https://klocwork.india.ti.com:443/review/insight-review.html#issuedetails_goto:problemid=121248,project=MCU_PLUS_SDK_AM263X,searchquery=taxonomy:'C and C++' build:Build_Apr_13_2023_11_11_AM grouping:off ","KW Issue Link")</f>
        <v>KW Issue Link</v>
      </c>
      <c r="O2239" s="1" t="s">
        <v>291</v>
      </c>
    </row>
    <row r="2240" spans="1:15" ht="60" x14ac:dyDescent="0.25">
      <c r="A2240" s="1" t="s">
        <v>1257</v>
      </c>
      <c r="B2240" s="1"/>
      <c r="C2240" s="1" t="s">
        <v>844</v>
      </c>
      <c r="D2240" s="1">
        <v>121250</v>
      </c>
      <c r="E2240" s="1">
        <v>1088</v>
      </c>
      <c r="F2240" s="1" t="s">
        <v>3272</v>
      </c>
      <c r="G2240" s="1" t="s">
        <v>3273</v>
      </c>
      <c r="H2240" s="1" t="s">
        <v>141</v>
      </c>
      <c r="I2240" s="1" t="s">
        <v>65</v>
      </c>
      <c r="J2240" s="1">
        <v>3</v>
      </c>
      <c r="K2240" s="1" t="s">
        <v>142</v>
      </c>
      <c r="L2240" s="1" t="s">
        <v>153</v>
      </c>
      <c r="M2240" s="1" t="s">
        <v>1256</v>
      </c>
      <c r="N2240" s="1" t="str">
        <f>HYPERLINK("https://klocwork.india.ti.com:443/review/insight-review.html#issuedetails_goto:problemid=121250,project=MCU_PLUS_SDK_AM263X,searchquery=taxonomy:'C and C++' build:Build_Apr_13_2023_11_11_AM grouping:off ","KW Issue Link")</f>
        <v>KW Issue Link</v>
      </c>
      <c r="O2240" s="1" t="s">
        <v>291</v>
      </c>
    </row>
    <row r="2241" spans="1:15" ht="60" x14ac:dyDescent="0.25">
      <c r="A2241" s="1" t="s">
        <v>1257</v>
      </c>
      <c r="B2241" s="1"/>
      <c r="C2241" s="1" t="s">
        <v>844</v>
      </c>
      <c r="D2241" s="1">
        <v>121251</v>
      </c>
      <c r="E2241" s="1">
        <v>1141</v>
      </c>
      <c r="F2241" s="1" t="s">
        <v>3274</v>
      </c>
      <c r="G2241" s="1" t="s">
        <v>855</v>
      </c>
      <c r="H2241" s="1" t="s">
        <v>141</v>
      </c>
      <c r="I2241" s="1" t="s">
        <v>65</v>
      </c>
      <c r="J2241" s="1">
        <v>3</v>
      </c>
      <c r="K2241" s="1" t="s">
        <v>142</v>
      </c>
      <c r="L2241" s="1" t="s">
        <v>153</v>
      </c>
      <c r="M2241" s="1" t="s">
        <v>1256</v>
      </c>
      <c r="N2241" s="1" t="str">
        <f>HYPERLINK("https://klocwork.india.ti.com:443/review/insight-review.html#issuedetails_goto:problemid=121251,project=MCU_PLUS_SDK_AM263X,searchquery=taxonomy:'C and C++' build:Build_Apr_13_2023_11_11_AM grouping:off ","KW Issue Link")</f>
        <v>KW Issue Link</v>
      </c>
      <c r="O2241" s="1" t="s">
        <v>291</v>
      </c>
    </row>
    <row r="2242" spans="1:15" ht="60" x14ac:dyDescent="0.25">
      <c r="A2242" s="1" t="s">
        <v>1257</v>
      </c>
      <c r="B2242" s="1"/>
      <c r="C2242" s="1" t="s">
        <v>844</v>
      </c>
      <c r="D2242" s="1">
        <v>121252</v>
      </c>
      <c r="E2242" s="1">
        <v>1909</v>
      </c>
      <c r="F2242" s="1" t="s">
        <v>3275</v>
      </c>
      <c r="G2242" s="1" t="s">
        <v>866</v>
      </c>
      <c r="H2242" s="1" t="s">
        <v>141</v>
      </c>
      <c r="I2242" s="1" t="s">
        <v>65</v>
      </c>
      <c r="J2242" s="1">
        <v>3</v>
      </c>
      <c r="K2242" s="1" t="s">
        <v>142</v>
      </c>
      <c r="L2242" s="1" t="s">
        <v>153</v>
      </c>
      <c r="M2242" s="1" t="s">
        <v>1256</v>
      </c>
      <c r="N2242" s="1" t="str">
        <f>HYPERLINK("https://klocwork.india.ti.com:443/review/insight-review.html#issuedetails_goto:problemid=121252,project=MCU_PLUS_SDK_AM263X,searchquery=taxonomy:'C and C++' build:Build_Apr_13_2023_11_11_AM grouping:off ","KW Issue Link")</f>
        <v>KW Issue Link</v>
      </c>
      <c r="O2242" s="1" t="s">
        <v>291</v>
      </c>
    </row>
    <row r="2243" spans="1:15" ht="60" x14ac:dyDescent="0.25">
      <c r="A2243" s="1" t="s">
        <v>1266</v>
      </c>
      <c r="B2243" s="1"/>
      <c r="C2243" s="1" t="s">
        <v>844</v>
      </c>
      <c r="D2243" s="1">
        <v>121253</v>
      </c>
      <c r="E2243" s="1">
        <v>118</v>
      </c>
      <c r="F2243" s="1" t="s">
        <v>3276</v>
      </c>
      <c r="G2243" s="1" t="s">
        <v>846</v>
      </c>
      <c r="H2243" s="1" t="s">
        <v>141</v>
      </c>
      <c r="I2243" s="1" t="s">
        <v>65</v>
      </c>
      <c r="J2243" s="1">
        <v>3</v>
      </c>
      <c r="K2243" s="1" t="s">
        <v>142</v>
      </c>
      <c r="L2243" s="1" t="s">
        <v>153</v>
      </c>
      <c r="M2243" s="1" t="s">
        <v>1256</v>
      </c>
      <c r="N2243" s="1" t="str">
        <f>HYPERLINK("https://klocwork.india.ti.com:443/review/insight-review.html#issuedetails_goto:problemid=121253,project=MCU_PLUS_SDK_AM263X,searchquery=taxonomy:'C and C++' build:Build_Apr_13_2023_11_11_AM grouping:off ","KW Issue Link")</f>
        <v>KW Issue Link</v>
      </c>
      <c r="O2243" s="1" t="s">
        <v>291</v>
      </c>
    </row>
    <row r="2244" spans="1:15" ht="60" x14ac:dyDescent="0.25">
      <c r="A2244" s="1" t="s">
        <v>1266</v>
      </c>
      <c r="B2244" s="1"/>
      <c r="C2244" s="1" t="s">
        <v>844</v>
      </c>
      <c r="D2244" s="1">
        <v>121254</v>
      </c>
      <c r="E2244" s="1">
        <v>630</v>
      </c>
      <c r="F2244" s="1" t="s">
        <v>3277</v>
      </c>
      <c r="G2244" s="1" t="s">
        <v>860</v>
      </c>
      <c r="H2244" s="1" t="s">
        <v>141</v>
      </c>
      <c r="I2244" s="1" t="s">
        <v>65</v>
      </c>
      <c r="J2244" s="1">
        <v>3</v>
      </c>
      <c r="K2244" s="1" t="s">
        <v>142</v>
      </c>
      <c r="L2244" s="1" t="s">
        <v>153</v>
      </c>
      <c r="M2244" s="1" t="s">
        <v>1256</v>
      </c>
      <c r="N2244" s="1" t="str">
        <f>HYPERLINK("https://klocwork.india.ti.com:443/review/insight-review.html#issuedetails_goto:problemid=121254,project=MCU_PLUS_SDK_AM263X,searchquery=taxonomy:'C and C++' build:Build_Apr_13_2023_11_11_AM grouping:off ","KW Issue Link")</f>
        <v>KW Issue Link</v>
      </c>
      <c r="O2244" s="1" t="s">
        <v>291</v>
      </c>
    </row>
    <row r="2245" spans="1:15" ht="60" x14ac:dyDescent="0.25">
      <c r="A2245" s="1" t="s">
        <v>1266</v>
      </c>
      <c r="B2245" s="1"/>
      <c r="C2245" s="1" t="s">
        <v>844</v>
      </c>
      <c r="D2245" s="1">
        <v>121256</v>
      </c>
      <c r="E2245" s="1">
        <v>788</v>
      </c>
      <c r="F2245" s="1" t="s">
        <v>3278</v>
      </c>
      <c r="G2245" s="1" t="s">
        <v>848</v>
      </c>
      <c r="H2245" s="1" t="s">
        <v>141</v>
      </c>
      <c r="I2245" s="1" t="s">
        <v>65</v>
      </c>
      <c r="J2245" s="1">
        <v>3</v>
      </c>
      <c r="K2245" s="1" t="s">
        <v>142</v>
      </c>
      <c r="L2245" s="1" t="s">
        <v>153</v>
      </c>
      <c r="M2245" s="1" t="s">
        <v>1256</v>
      </c>
      <c r="N2245" s="1" t="str">
        <f>HYPERLINK("https://klocwork.india.ti.com:443/review/insight-review.html#issuedetails_goto:problemid=121256,project=MCU_PLUS_SDK_AM263X,searchquery=taxonomy:'C and C++' build:Build_Apr_13_2023_11_11_AM grouping:off ","KW Issue Link")</f>
        <v>KW Issue Link</v>
      </c>
      <c r="O2245" s="1" t="s">
        <v>291</v>
      </c>
    </row>
    <row r="2246" spans="1:15" ht="60" x14ac:dyDescent="0.25">
      <c r="A2246" s="1" t="s">
        <v>1266</v>
      </c>
      <c r="B2246" s="1"/>
      <c r="C2246" s="1" t="s">
        <v>844</v>
      </c>
      <c r="D2246" s="1">
        <v>121257</v>
      </c>
      <c r="E2246" s="1">
        <v>1088</v>
      </c>
      <c r="F2246" s="1" t="s">
        <v>3279</v>
      </c>
      <c r="G2246" s="1" t="s">
        <v>3273</v>
      </c>
      <c r="H2246" s="1" t="s">
        <v>141</v>
      </c>
      <c r="I2246" s="1" t="s">
        <v>65</v>
      </c>
      <c r="J2246" s="1">
        <v>3</v>
      </c>
      <c r="K2246" s="1" t="s">
        <v>142</v>
      </c>
      <c r="L2246" s="1" t="s">
        <v>153</v>
      </c>
      <c r="M2246" s="1" t="s">
        <v>1256</v>
      </c>
      <c r="N2246" s="1" t="str">
        <f>HYPERLINK("https://klocwork.india.ti.com:443/review/insight-review.html#issuedetails_goto:problemid=121257,project=MCU_PLUS_SDK_AM263X,searchquery=taxonomy:'C and C++' build:Build_Apr_13_2023_11_11_AM grouping:off ","KW Issue Link")</f>
        <v>KW Issue Link</v>
      </c>
      <c r="O2246" s="1" t="s">
        <v>291</v>
      </c>
    </row>
    <row r="2247" spans="1:15" ht="60" x14ac:dyDescent="0.25">
      <c r="A2247" s="1" t="s">
        <v>1266</v>
      </c>
      <c r="B2247" s="1"/>
      <c r="C2247" s="1" t="s">
        <v>844</v>
      </c>
      <c r="D2247" s="1">
        <v>121258</v>
      </c>
      <c r="E2247" s="1">
        <v>1141</v>
      </c>
      <c r="F2247" s="1" t="s">
        <v>3280</v>
      </c>
      <c r="G2247" s="1" t="s">
        <v>855</v>
      </c>
      <c r="H2247" s="1" t="s">
        <v>141</v>
      </c>
      <c r="I2247" s="1" t="s">
        <v>65</v>
      </c>
      <c r="J2247" s="1">
        <v>3</v>
      </c>
      <c r="K2247" s="1" t="s">
        <v>142</v>
      </c>
      <c r="L2247" s="1" t="s">
        <v>153</v>
      </c>
      <c r="M2247" s="1" t="s">
        <v>1256</v>
      </c>
      <c r="N2247" s="1" t="str">
        <f>HYPERLINK("https://klocwork.india.ti.com:443/review/insight-review.html#issuedetails_goto:problemid=121258,project=MCU_PLUS_SDK_AM263X,searchquery=taxonomy:'C and C++' build:Build_Apr_13_2023_11_11_AM grouping:off ","KW Issue Link")</f>
        <v>KW Issue Link</v>
      </c>
      <c r="O2247" s="1" t="s">
        <v>291</v>
      </c>
    </row>
    <row r="2248" spans="1:15" ht="60" x14ac:dyDescent="0.25">
      <c r="A2248" s="1" t="s">
        <v>1266</v>
      </c>
      <c r="B2248" s="1"/>
      <c r="C2248" s="1" t="s">
        <v>844</v>
      </c>
      <c r="D2248" s="1">
        <v>121259</v>
      </c>
      <c r="E2248" s="1">
        <v>1909</v>
      </c>
      <c r="F2248" s="1" t="s">
        <v>3281</v>
      </c>
      <c r="G2248" s="1" t="s">
        <v>866</v>
      </c>
      <c r="H2248" s="1" t="s">
        <v>141</v>
      </c>
      <c r="I2248" s="1" t="s">
        <v>65</v>
      </c>
      <c r="J2248" s="1">
        <v>3</v>
      </c>
      <c r="K2248" s="1" t="s">
        <v>142</v>
      </c>
      <c r="L2248" s="1" t="s">
        <v>153</v>
      </c>
      <c r="M2248" s="1" t="s">
        <v>1256</v>
      </c>
      <c r="N2248" s="1" t="str">
        <f>HYPERLINK("https://klocwork.india.ti.com:443/review/insight-review.html#issuedetails_goto:problemid=121259,project=MCU_PLUS_SDK_AM263X,searchquery=taxonomy:'C and C++' build:Build_Apr_13_2023_11_11_AM grouping:off ","KW Issue Link")</f>
        <v>KW Issue Link</v>
      </c>
      <c r="O2248" s="1" t="s">
        <v>291</v>
      </c>
    </row>
    <row r="2249" spans="1:15" ht="60" x14ac:dyDescent="0.25">
      <c r="A2249" s="1" t="s">
        <v>1268</v>
      </c>
      <c r="B2249" s="1"/>
      <c r="C2249" s="1" t="s">
        <v>844</v>
      </c>
      <c r="D2249" s="1">
        <v>121260</v>
      </c>
      <c r="E2249" s="1">
        <v>118</v>
      </c>
      <c r="F2249" s="1" t="s">
        <v>3282</v>
      </c>
      <c r="G2249" s="1" t="s">
        <v>846</v>
      </c>
      <c r="H2249" s="1" t="s">
        <v>141</v>
      </c>
      <c r="I2249" s="1" t="s">
        <v>65</v>
      </c>
      <c r="J2249" s="1">
        <v>3</v>
      </c>
      <c r="K2249" s="1" t="s">
        <v>142</v>
      </c>
      <c r="L2249" s="1" t="s">
        <v>153</v>
      </c>
      <c r="M2249" s="1" t="s">
        <v>1256</v>
      </c>
      <c r="N2249" s="1" t="str">
        <f>HYPERLINK("https://klocwork.india.ti.com:443/review/insight-review.html#issuedetails_goto:problemid=121260,project=MCU_PLUS_SDK_AM263X,searchquery=taxonomy:'C and C++' build:Build_Apr_13_2023_11_11_AM grouping:off ","KW Issue Link")</f>
        <v>KW Issue Link</v>
      </c>
      <c r="O2249" s="1" t="s">
        <v>291</v>
      </c>
    </row>
    <row r="2250" spans="1:15" ht="60" x14ac:dyDescent="0.25">
      <c r="A2250" s="1" t="s">
        <v>1268</v>
      </c>
      <c r="B2250" s="1"/>
      <c r="C2250" s="1" t="s">
        <v>844</v>
      </c>
      <c r="D2250" s="1">
        <v>121261</v>
      </c>
      <c r="E2250" s="1">
        <v>630</v>
      </c>
      <c r="F2250" s="1" t="s">
        <v>3283</v>
      </c>
      <c r="G2250" s="1" t="s">
        <v>860</v>
      </c>
      <c r="H2250" s="1" t="s">
        <v>141</v>
      </c>
      <c r="I2250" s="1" t="s">
        <v>65</v>
      </c>
      <c r="J2250" s="1">
        <v>3</v>
      </c>
      <c r="K2250" s="1" t="s">
        <v>142</v>
      </c>
      <c r="L2250" s="1" t="s">
        <v>153</v>
      </c>
      <c r="M2250" s="1" t="s">
        <v>1256</v>
      </c>
      <c r="N2250" s="1" t="str">
        <f>HYPERLINK("https://klocwork.india.ti.com:443/review/insight-review.html#issuedetails_goto:problemid=121261,project=MCU_PLUS_SDK_AM263X,searchquery=taxonomy:'C and C++' build:Build_Apr_13_2023_11_11_AM grouping:off ","KW Issue Link")</f>
        <v>KW Issue Link</v>
      </c>
      <c r="O2250" s="1" t="s">
        <v>291</v>
      </c>
    </row>
    <row r="2251" spans="1:15" ht="60" x14ac:dyDescent="0.25">
      <c r="A2251" s="1" t="s">
        <v>1268</v>
      </c>
      <c r="B2251" s="1"/>
      <c r="C2251" s="1" t="s">
        <v>844</v>
      </c>
      <c r="D2251" s="1">
        <v>121262</v>
      </c>
      <c r="E2251" s="1">
        <v>788</v>
      </c>
      <c r="F2251" s="1" t="s">
        <v>3284</v>
      </c>
      <c r="G2251" s="1" t="s">
        <v>848</v>
      </c>
      <c r="H2251" s="1" t="s">
        <v>141</v>
      </c>
      <c r="I2251" s="1" t="s">
        <v>65</v>
      </c>
      <c r="J2251" s="1">
        <v>3</v>
      </c>
      <c r="K2251" s="1" t="s">
        <v>142</v>
      </c>
      <c r="L2251" s="1" t="s">
        <v>153</v>
      </c>
      <c r="M2251" s="1" t="s">
        <v>1256</v>
      </c>
      <c r="N2251" s="1" t="str">
        <f>HYPERLINK("https://klocwork.india.ti.com:443/review/insight-review.html#issuedetails_goto:problemid=121262,project=MCU_PLUS_SDK_AM263X,searchquery=taxonomy:'C and C++' build:Build_Apr_13_2023_11_11_AM grouping:off ","KW Issue Link")</f>
        <v>KW Issue Link</v>
      </c>
      <c r="O2251" s="1" t="s">
        <v>291</v>
      </c>
    </row>
    <row r="2252" spans="1:15" ht="60" x14ac:dyDescent="0.25">
      <c r="A2252" s="1" t="s">
        <v>1268</v>
      </c>
      <c r="B2252" s="1"/>
      <c r="C2252" s="1" t="s">
        <v>844</v>
      </c>
      <c r="D2252" s="1">
        <v>121263</v>
      </c>
      <c r="E2252" s="1">
        <v>1088</v>
      </c>
      <c r="F2252" s="1" t="s">
        <v>3285</v>
      </c>
      <c r="G2252" s="1" t="s">
        <v>3273</v>
      </c>
      <c r="H2252" s="1" t="s">
        <v>141</v>
      </c>
      <c r="I2252" s="1" t="s">
        <v>65</v>
      </c>
      <c r="J2252" s="1">
        <v>3</v>
      </c>
      <c r="K2252" s="1" t="s">
        <v>142</v>
      </c>
      <c r="L2252" s="1" t="s">
        <v>153</v>
      </c>
      <c r="M2252" s="1" t="s">
        <v>1256</v>
      </c>
      <c r="N2252" s="1" t="str">
        <f>HYPERLINK("https://klocwork.india.ti.com:443/review/insight-review.html#issuedetails_goto:problemid=121263,project=MCU_PLUS_SDK_AM263X,searchquery=taxonomy:'C and C++' build:Build_Apr_13_2023_11_11_AM grouping:off ","KW Issue Link")</f>
        <v>KW Issue Link</v>
      </c>
      <c r="O2252" s="1" t="s">
        <v>291</v>
      </c>
    </row>
    <row r="2253" spans="1:15" ht="60" x14ac:dyDescent="0.25">
      <c r="A2253" s="1" t="s">
        <v>1268</v>
      </c>
      <c r="B2253" s="1"/>
      <c r="C2253" s="1" t="s">
        <v>844</v>
      </c>
      <c r="D2253" s="1">
        <v>121264</v>
      </c>
      <c r="E2253" s="1">
        <v>1141</v>
      </c>
      <c r="F2253" s="1" t="s">
        <v>3286</v>
      </c>
      <c r="G2253" s="1" t="s">
        <v>855</v>
      </c>
      <c r="H2253" s="1" t="s">
        <v>141</v>
      </c>
      <c r="I2253" s="1" t="s">
        <v>65</v>
      </c>
      <c r="J2253" s="1">
        <v>3</v>
      </c>
      <c r="K2253" s="1" t="s">
        <v>142</v>
      </c>
      <c r="L2253" s="1" t="s">
        <v>153</v>
      </c>
      <c r="M2253" s="1" t="s">
        <v>1256</v>
      </c>
      <c r="N2253" s="1" t="str">
        <f>HYPERLINK("https://klocwork.india.ti.com:443/review/insight-review.html#issuedetails_goto:problemid=121264,project=MCU_PLUS_SDK_AM263X,searchquery=taxonomy:'C and C++' build:Build_Apr_13_2023_11_11_AM grouping:off ","KW Issue Link")</f>
        <v>KW Issue Link</v>
      </c>
      <c r="O2253" s="1" t="s">
        <v>291</v>
      </c>
    </row>
    <row r="2254" spans="1:15" ht="60" x14ac:dyDescent="0.25">
      <c r="A2254" s="1" t="s">
        <v>1268</v>
      </c>
      <c r="B2254" s="1"/>
      <c r="C2254" s="1" t="s">
        <v>844</v>
      </c>
      <c r="D2254" s="1">
        <v>121265</v>
      </c>
      <c r="E2254" s="1">
        <v>1909</v>
      </c>
      <c r="F2254" s="1" t="s">
        <v>3287</v>
      </c>
      <c r="G2254" s="1" t="s">
        <v>866</v>
      </c>
      <c r="H2254" s="1" t="s">
        <v>141</v>
      </c>
      <c r="I2254" s="1" t="s">
        <v>65</v>
      </c>
      <c r="J2254" s="1">
        <v>3</v>
      </c>
      <c r="K2254" s="1" t="s">
        <v>142</v>
      </c>
      <c r="L2254" s="1" t="s">
        <v>153</v>
      </c>
      <c r="M2254" s="1" t="s">
        <v>1256</v>
      </c>
      <c r="N2254" s="1" t="str">
        <f>HYPERLINK("https://klocwork.india.ti.com:443/review/insight-review.html#issuedetails_goto:problemid=121265,project=MCU_PLUS_SDK_AM263X,searchquery=taxonomy:'C and C++' build:Build_Apr_13_2023_11_11_AM grouping:off ","KW Issue Link")</f>
        <v>KW Issue Link</v>
      </c>
      <c r="O2254" s="1" t="s">
        <v>291</v>
      </c>
    </row>
    <row r="2255" spans="1:15" ht="60" x14ac:dyDescent="0.25">
      <c r="A2255" s="1" t="s">
        <v>1257</v>
      </c>
      <c r="B2255" s="1"/>
      <c r="C2255" s="1" t="s">
        <v>867</v>
      </c>
      <c r="D2255" s="1">
        <v>121266</v>
      </c>
      <c r="E2255" s="1">
        <v>158</v>
      </c>
      <c r="F2255" s="1" t="s">
        <v>3288</v>
      </c>
      <c r="G2255" s="1" t="s">
        <v>869</v>
      </c>
      <c r="H2255" s="1" t="s">
        <v>141</v>
      </c>
      <c r="I2255" s="1" t="s">
        <v>65</v>
      </c>
      <c r="J2255" s="1">
        <v>3</v>
      </c>
      <c r="K2255" s="1" t="s">
        <v>142</v>
      </c>
      <c r="L2255" s="1" t="s">
        <v>153</v>
      </c>
      <c r="M2255" s="1" t="s">
        <v>1256</v>
      </c>
      <c r="N2255" s="1" t="str">
        <f>HYPERLINK("https://klocwork.india.ti.com:443/review/insight-review.html#issuedetails_goto:problemid=121266,project=MCU_PLUS_SDK_AM263X,searchquery=taxonomy:'C and C++' build:Build_Apr_13_2023_11_11_AM grouping:off ","KW Issue Link")</f>
        <v>KW Issue Link</v>
      </c>
      <c r="O2255" s="1" t="s">
        <v>291</v>
      </c>
    </row>
    <row r="2256" spans="1:15" ht="60" x14ac:dyDescent="0.25">
      <c r="A2256" s="1" t="s">
        <v>1257</v>
      </c>
      <c r="B2256" s="1"/>
      <c r="C2256" s="1" t="s">
        <v>867</v>
      </c>
      <c r="D2256" s="1">
        <v>121268</v>
      </c>
      <c r="E2256" s="1">
        <v>305</v>
      </c>
      <c r="F2256" s="1" t="s">
        <v>3289</v>
      </c>
      <c r="G2256" s="1" t="s">
        <v>878</v>
      </c>
      <c r="H2256" s="1" t="s">
        <v>141</v>
      </c>
      <c r="I2256" s="1" t="s">
        <v>65</v>
      </c>
      <c r="J2256" s="1">
        <v>3</v>
      </c>
      <c r="K2256" s="1" t="s">
        <v>142</v>
      </c>
      <c r="L2256" s="1" t="s">
        <v>153</v>
      </c>
      <c r="M2256" s="1" t="s">
        <v>1256</v>
      </c>
      <c r="N2256" s="1" t="str">
        <f>HYPERLINK("https://klocwork.india.ti.com:443/review/insight-review.html#issuedetails_goto:problemid=121268,project=MCU_PLUS_SDK_AM263X,searchquery=taxonomy:'C and C++' build:Build_Apr_13_2023_11_11_AM grouping:off ","KW Issue Link")</f>
        <v>KW Issue Link</v>
      </c>
      <c r="O2256" s="1" t="s">
        <v>291</v>
      </c>
    </row>
    <row r="2257" spans="1:15" ht="60" x14ac:dyDescent="0.25">
      <c r="A2257" s="1" t="s">
        <v>1257</v>
      </c>
      <c r="B2257" s="1"/>
      <c r="C2257" s="1" t="s">
        <v>867</v>
      </c>
      <c r="D2257" s="1">
        <v>121269</v>
      </c>
      <c r="E2257" s="1">
        <v>390</v>
      </c>
      <c r="F2257" s="1" t="s">
        <v>3290</v>
      </c>
      <c r="G2257" s="1" t="s">
        <v>1067</v>
      </c>
      <c r="H2257" s="1" t="s">
        <v>141</v>
      </c>
      <c r="I2257" s="1" t="s">
        <v>65</v>
      </c>
      <c r="J2257" s="1">
        <v>3</v>
      </c>
      <c r="K2257" s="1" t="s">
        <v>142</v>
      </c>
      <c r="L2257" s="1" t="s">
        <v>153</v>
      </c>
      <c r="M2257" s="1" t="s">
        <v>1256</v>
      </c>
      <c r="N2257" s="1" t="str">
        <f>HYPERLINK("https://klocwork.india.ti.com:443/review/insight-review.html#issuedetails_goto:problemid=121269,project=MCU_PLUS_SDK_AM263X,searchquery=taxonomy:'C and C++' build:Build_Apr_13_2023_11_11_AM grouping:off ","KW Issue Link")</f>
        <v>KW Issue Link</v>
      </c>
      <c r="O2257" s="1" t="s">
        <v>291</v>
      </c>
    </row>
    <row r="2258" spans="1:15" ht="60" x14ac:dyDescent="0.25">
      <c r="A2258" s="1" t="s">
        <v>1257</v>
      </c>
      <c r="B2258" s="1"/>
      <c r="C2258" s="1" t="s">
        <v>867</v>
      </c>
      <c r="D2258" s="1">
        <v>121270</v>
      </c>
      <c r="E2258" s="1">
        <v>827</v>
      </c>
      <c r="F2258" s="1" t="s">
        <v>3291</v>
      </c>
      <c r="G2258" s="1" t="s">
        <v>880</v>
      </c>
      <c r="H2258" s="1" t="s">
        <v>141</v>
      </c>
      <c r="I2258" s="1" t="s">
        <v>65</v>
      </c>
      <c r="J2258" s="1">
        <v>3</v>
      </c>
      <c r="K2258" s="1" t="s">
        <v>142</v>
      </c>
      <c r="L2258" s="1" t="s">
        <v>153</v>
      </c>
      <c r="M2258" s="1" t="s">
        <v>1256</v>
      </c>
      <c r="N2258" s="1" t="str">
        <f>HYPERLINK("https://klocwork.india.ti.com:443/review/insight-review.html#issuedetails_goto:problemid=121270,project=MCU_PLUS_SDK_AM263X,searchquery=taxonomy:'C and C++' build:Build_Apr_13_2023_11_11_AM grouping:off ","KW Issue Link")</f>
        <v>KW Issue Link</v>
      </c>
      <c r="O2258" s="1" t="s">
        <v>291</v>
      </c>
    </row>
    <row r="2259" spans="1:15" ht="60" x14ac:dyDescent="0.25">
      <c r="A2259" s="1" t="s">
        <v>1257</v>
      </c>
      <c r="B2259" s="1"/>
      <c r="C2259" s="1" t="s">
        <v>867</v>
      </c>
      <c r="D2259" s="1">
        <v>121272</v>
      </c>
      <c r="E2259" s="1">
        <v>1032</v>
      </c>
      <c r="F2259" s="1" t="s">
        <v>3292</v>
      </c>
      <c r="G2259" s="1" t="s">
        <v>884</v>
      </c>
      <c r="H2259" s="1" t="s">
        <v>141</v>
      </c>
      <c r="I2259" s="1" t="s">
        <v>65</v>
      </c>
      <c r="J2259" s="1">
        <v>3</v>
      </c>
      <c r="K2259" s="1" t="s">
        <v>142</v>
      </c>
      <c r="L2259" s="1" t="s">
        <v>153</v>
      </c>
      <c r="M2259" s="1" t="s">
        <v>1256</v>
      </c>
      <c r="N2259" s="1" t="str">
        <f>HYPERLINK("https://klocwork.india.ti.com:443/review/insight-review.html#issuedetails_goto:problemid=121272,project=MCU_PLUS_SDK_AM263X,searchquery=taxonomy:'C and C++' build:Build_Apr_13_2023_11_11_AM grouping:off ","KW Issue Link")</f>
        <v>KW Issue Link</v>
      </c>
      <c r="O2259" s="1" t="s">
        <v>291</v>
      </c>
    </row>
    <row r="2260" spans="1:15" ht="60" x14ac:dyDescent="0.25">
      <c r="A2260" s="1" t="s">
        <v>1257</v>
      </c>
      <c r="B2260" s="1"/>
      <c r="C2260" s="1" t="s">
        <v>867</v>
      </c>
      <c r="D2260" s="1">
        <v>121273</v>
      </c>
      <c r="E2260" s="1">
        <v>1237</v>
      </c>
      <c r="F2260" s="1" t="s">
        <v>3293</v>
      </c>
      <c r="G2260" s="1" t="s">
        <v>887</v>
      </c>
      <c r="H2260" s="1" t="s">
        <v>141</v>
      </c>
      <c r="I2260" s="1" t="s">
        <v>65</v>
      </c>
      <c r="J2260" s="1">
        <v>3</v>
      </c>
      <c r="K2260" s="1" t="s">
        <v>142</v>
      </c>
      <c r="L2260" s="1" t="s">
        <v>153</v>
      </c>
      <c r="M2260" s="1" t="s">
        <v>1256</v>
      </c>
      <c r="N2260" s="1" t="str">
        <f>HYPERLINK("https://klocwork.india.ti.com:443/review/insight-review.html#issuedetails_goto:problemid=121273,project=MCU_PLUS_SDK_AM263X,searchquery=taxonomy:'C and C++' build:Build_Apr_13_2023_11_11_AM grouping:off ","KW Issue Link")</f>
        <v>KW Issue Link</v>
      </c>
      <c r="O2260" s="1" t="s">
        <v>291</v>
      </c>
    </row>
    <row r="2261" spans="1:15" ht="60" x14ac:dyDescent="0.25">
      <c r="A2261" s="1" t="s">
        <v>1257</v>
      </c>
      <c r="B2261" s="1"/>
      <c r="C2261" s="1" t="s">
        <v>867</v>
      </c>
      <c r="D2261" s="1">
        <v>121275</v>
      </c>
      <c r="E2261" s="1">
        <v>1455</v>
      </c>
      <c r="F2261" s="1" t="s">
        <v>3294</v>
      </c>
      <c r="G2261" s="1" t="s">
        <v>874</v>
      </c>
      <c r="H2261" s="1" t="s">
        <v>141</v>
      </c>
      <c r="I2261" s="1" t="s">
        <v>65</v>
      </c>
      <c r="J2261" s="1">
        <v>3</v>
      </c>
      <c r="K2261" s="1" t="s">
        <v>142</v>
      </c>
      <c r="L2261" s="1" t="s">
        <v>153</v>
      </c>
      <c r="M2261" s="1" t="s">
        <v>1256</v>
      </c>
      <c r="N2261" s="1" t="str">
        <f>HYPERLINK("https://klocwork.india.ti.com:443/review/insight-review.html#issuedetails_goto:problemid=121275,project=MCU_PLUS_SDK_AM263X,searchquery=taxonomy:'C and C++' build:Build_Apr_13_2023_11_11_AM grouping:off ","KW Issue Link")</f>
        <v>KW Issue Link</v>
      </c>
      <c r="O2261" s="1" t="s">
        <v>291</v>
      </c>
    </row>
    <row r="2262" spans="1:15" ht="60" x14ac:dyDescent="0.25">
      <c r="A2262" s="1" t="s">
        <v>1257</v>
      </c>
      <c r="B2262" s="1"/>
      <c r="C2262" s="1" t="s">
        <v>867</v>
      </c>
      <c r="D2262" s="1">
        <v>121276</v>
      </c>
      <c r="E2262" s="1">
        <v>1631</v>
      </c>
      <c r="F2262" s="1" t="s">
        <v>3295</v>
      </c>
      <c r="G2262" s="1" t="s">
        <v>892</v>
      </c>
      <c r="H2262" s="1" t="s">
        <v>141</v>
      </c>
      <c r="I2262" s="1" t="s">
        <v>65</v>
      </c>
      <c r="J2262" s="1">
        <v>3</v>
      </c>
      <c r="K2262" s="1" t="s">
        <v>142</v>
      </c>
      <c r="L2262" s="1" t="s">
        <v>153</v>
      </c>
      <c r="M2262" s="1" t="s">
        <v>1256</v>
      </c>
      <c r="N2262" s="1" t="str">
        <f>HYPERLINK("https://klocwork.india.ti.com:443/review/insight-review.html#issuedetails_goto:problemid=121276,project=MCU_PLUS_SDK_AM263X,searchquery=taxonomy:'C and C++' build:Build_Apr_13_2023_11_11_AM grouping:off ","KW Issue Link")</f>
        <v>KW Issue Link</v>
      </c>
      <c r="O2262" s="1" t="s">
        <v>291</v>
      </c>
    </row>
    <row r="2263" spans="1:15" ht="60" x14ac:dyDescent="0.25">
      <c r="A2263" s="1" t="s">
        <v>1257</v>
      </c>
      <c r="B2263" s="1"/>
      <c r="C2263" s="1" t="s">
        <v>867</v>
      </c>
      <c r="D2263" s="1">
        <v>121279</v>
      </c>
      <c r="E2263" s="1">
        <v>1724</v>
      </c>
      <c r="F2263" s="1" t="s">
        <v>3296</v>
      </c>
      <c r="G2263" s="1" t="s">
        <v>898</v>
      </c>
      <c r="H2263" s="1" t="s">
        <v>141</v>
      </c>
      <c r="I2263" s="1" t="s">
        <v>65</v>
      </c>
      <c r="J2263" s="1">
        <v>3</v>
      </c>
      <c r="K2263" s="1" t="s">
        <v>142</v>
      </c>
      <c r="L2263" s="1" t="s">
        <v>153</v>
      </c>
      <c r="M2263" s="1" t="s">
        <v>1256</v>
      </c>
      <c r="N2263" s="1" t="str">
        <f>HYPERLINK("https://klocwork.india.ti.com:443/review/insight-review.html#issuedetails_goto:problemid=121279,project=MCU_PLUS_SDK_AM263X,searchquery=taxonomy:'C and C++' build:Build_Apr_13_2023_11_11_AM grouping:off ","KW Issue Link")</f>
        <v>KW Issue Link</v>
      </c>
      <c r="O2263" s="1" t="s">
        <v>291</v>
      </c>
    </row>
    <row r="2264" spans="1:15" ht="60" x14ac:dyDescent="0.25">
      <c r="A2264" s="1" t="s">
        <v>1257</v>
      </c>
      <c r="B2264" s="1"/>
      <c r="C2264" s="1" t="s">
        <v>867</v>
      </c>
      <c r="D2264" s="1">
        <v>121280</v>
      </c>
      <c r="E2264" s="1">
        <v>1783</v>
      </c>
      <c r="F2264" s="1" t="s">
        <v>3297</v>
      </c>
      <c r="G2264" s="1" t="s">
        <v>900</v>
      </c>
      <c r="H2264" s="1" t="s">
        <v>141</v>
      </c>
      <c r="I2264" s="1" t="s">
        <v>65</v>
      </c>
      <c r="J2264" s="1">
        <v>3</v>
      </c>
      <c r="K2264" s="1" t="s">
        <v>142</v>
      </c>
      <c r="L2264" s="1" t="s">
        <v>153</v>
      </c>
      <c r="M2264" s="1" t="s">
        <v>1256</v>
      </c>
      <c r="N2264" s="1" t="str">
        <f>HYPERLINK("https://klocwork.india.ti.com:443/review/insight-review.html#issuedetails_goto:problemid=121280,project=MCU_PLUS_SDK_AM263X,searchquery=taxonomy:'C and C++' build:Build_Apr_13_2023_11_11_AM grouping:off ","KW Issue Link")</f>
        <v>KW Issue Link</v>
      </c>
      <c r="O2264" s="1" t="s">
        <v>291</v>
      </c>
    </row>
    <row r="2265" spans="1:15" ht="60" x14ac:dyDescent="0.25">
      <c r="A2265" s="1" t="s">
        <v>1257</v>
      </c>
      <c r="B2265" s="1"/>
      <c r="C2265" s="1" t="s">
        <v>867</v>
      </c>
      <c r="D2265" s="1">
        <v>121281</v>
      </c>
      <c r="E2265" s="1">
        <v>1818</v>
      </c>
      <c r="F2265" s="1" t="s">
        <v>3298</v>
      </c>
      <c r="G2265" s="1" t="s">
        <v>3299</v>
      </c>
      <c r="H2265" s="1" t="s">
        <v>141</v>
      </c>
      <c r="I2265" s="1" t="s">
        <v>65</v>
      </c>
      <c r="J2265" s="1">
        <v>3</v>
      </c>
      <c r="K2265" s="1" t="s">
        <v>142</v>
      </c>
      <c r="L2265" s="1" t="s">
        <v>153</v>
      </c>
      <c r="M2265" s="1" t="s">
        <v>1256</v>
      </c>
      <c r="N2265" s="1" t="str">
        <f>HYPERLINK("https://klocwork.india.ti.com:443/review/insight-review.html#issuedetails_goto:problemid=121281,project=MCU_PLUS_SDK_AM263X,searchquery=taxonomy:'C and C++' build:Build_Apr_13_2023_11_11_AM grouping:off ","KW Issue Link")</f>
        <v>KW Issue Link</v>
      </c>
      <c r="O2265" s="1" t="s">
        <v>291</v>
      </c>
    </row>
    <row r="2266" spans="1:15" ht="60" x14ac:dyDescent="0.25">
      <c r="A2266" s="1" t="s">
        <v>1257</v>
      </c>
      <c r="B2266" s="1"/>
      <c r="C2266" s="1" t="s">
        <v>867</v>
      </c>
      <c r="D2266" s="1">
        <v>121285</v>
      </c>
      <c r="E2266" s="1">
        <v>1980</v>
      </c>
      <c r="F2266" s="1" t="s">
        <v>3300</v>
      </c>
      <c r="G2266" s="1" t="s">
        <v>913</v>
      </c>
      <c r="H2266" s="1" t="s">
        <v>141</v>
      </c>
      <c r="I2266" s="1" t="s">
        <v>65</v>
      </c>
      <c r="J2266" s="1">
        <v>3</v>
      </c>
      <c r="K2266" s="1" t="s">
        <v>142</v>
      </c>
      <c r="L2266" s="1" t="s">
        <v>153</v>
      </c>
      <c r="M2266" s="1" t="s">
        <v>1256</v>
      </c>
      <c r="N2266" s="1" t="str">
        <f>HYPERLINK("https://klocwork.india.ti.com:443/review/insight-review.html#issuedetails_goto:problemid=121285,project=MCU_PLUS_SDK_AM263X,searchquery=taxonomy:'C and C++' build:Build_Apr_13_2023_11_11_AM grouping:off ","KW Issue Link")</f>
        <v>KW Issue Link</v>
      </c>
      <c r="O2266" s="1" t="s">
        <v>291</v>
      </c>
    </row>
    <row r="2267" spans="1:15" ht="60" x14ac:dyDescent="0.25">
      <c r="A2267" s="1" t="s">
        <v>1257</v>
      </c>
      <c r="B2267" s="1"/>
      <c r="C2267" s="1" t="s">
        <v>867</v>
      </c>
      <c r="D2267" s="1">
        <v>121286</v>
      </c>
      <c r="E2267" s="1">
        <v>2019</v>
      </c>
      <c r="F2267" s="1" t="s">
        <v>3301</v>
      </c>
      <c r="G2267" s="1" t="s">
        <v>906</v>
      </c>
      <c r="H2267" s="1" t="s">
        <v>141</v>
      </c>
      <c r="I2267" s="1" t="s">
        <v>65</v>
      </c>
      <c r="J2267" s="1">
        <v>3</v>
      </c>
      <c r="K2267" s="1" t="s">
        <v>142</v>
      </c>
      <c r="L2267" s="1" t="s">
        <v>153</v>
      </c>
      <c r="M2267" s="1" t="s">
        <v>1256</v>
      </c>
      <c r="N2267" s="1" t="str">
        <f>HYPERLINK("https://klocwork.india.ti.com:443/review/insight-review.html#issuedetails_goto:problemid=121286,project=MCU_PLUS_SDK_AM263X,searchquery=taxonomy:'C and C++' build:Build_Apr_13_2023_11_11_AM grouping:off ","KW Issue Link")</f>
        <v>KW Issue Link</v>
      </c>
      <c r="O2267" s="1" t="s">
        <v>291</v>
      </c>
    </row>
    <row r="2268" spans="1:15" ht="60" x14ac:dyDescent="0.25">
      <c r="A2268" s="1" t="s">
        <v>1257</v>
      </c>
      <c r="B2268" s="1"/>
      <c r="C2268" s="1" t="s">
        <v>867</v>
      </c>
      <c r="D2268" s="1">
        <v>121287</v>
      </c>
      <c r="E2268" s="1">
        <v>2078</v>
      </c>
      <c r="F2268" s="1" t="s">
        <v>3302</v>
      </c>
      <c r="G2268" s="1" t="s">
        <v>908</v>
      </c>
      <c r="H2268" s="1" t="s">
        <v>141</v>
      </c>
      <c r="I2268" s="1" t="s">
        <v>65</v>
      </c>
      <c r="J2268" s="1">
        <v>3</v>
      </c>
      <c r="K2268" s="1" t="s">
        <v>142</v>
      </c>
      <c r="L2268" s="1" t="s">
        <v>153</v>
      </c>
      <c r="M2268" s="1" t="s">
        <v>1256</v>
      </c>
      <c r="N2268" s="1" t="str">
        <f>HYPERLINK("https://klocwork.india.ti.com:443/review/insight-review.html#issuedetails_goto:problemid=121287,project=MCU_PLUS_SDK_AM263X,searchquery=taxonomy:'C and C++' build:Build_Apr_13_2023_11_11_AM grouping:off ","KW Issue Link")</f>
        <v>KW Issue Link</v>
      </c>
      <c r="O2268" s="1" t="s">
        <v>291</v>
      </c>
    </row>
    <row r="2269" spans="1:15" ht="60" x14ac:dyDescent="0.25">
      <c r="A2269" s="1" t="s">
        <v>1257</v>
      </c>
      <c r="B2269" s="1"/>
      <c r="C2269" s="1" t="s">
        <v>867</v>
      </c>
      <c r="D2269" s="1">
        <v>121288</v>
      </c>
      <c r="E2269" s="1">
        <v>2116</v>
      </c>
      <c r="F2269" s="1" t="s">
        <v>3303</v>
      </c>
      <c r="G2269" s="1" t="s">
        <v>910</v>
      </c>
      <c r="H2269" s="1" t="s">
        <v>141</v>
      </c>
      <c r="I2269" s="1" t="s">
        <v>65</v>
      </c>
      <c r="J2269" s="1">
        <v>3</v>
      </c>
      <c r="K2269" s="1" t="s">
        <v>142</v>
      </c>
      <c r="L2269" s="1" t="s">
        <v>153</v>
      </c>
      <c r="M2269" s="1" t="s">
        <v>1256</v>
      </c>
      <c r="N2269" s="1" t="str">
        <f>HYPERLINK("https://klocwork.india.ti.com:443/review/insight-review.html#issuedetails_goto:problemid=121288,project=MCU_PLUS_SDK_AM263X,searchquery=taxonomy:'C and C++' build:Build_Apr_13_2023_11_11_AM grouping:off ","KW Issue Link")</f>
        <v>KW Issue Link</v>
      </c>
      <c r="O2269" s="1" t="s">
        <v>291</v>
      </c>
    </row>
    <row r="2270" spans="1:15" ht="60" x14ac:dyDescent="0.25">
      <c r="A2270" s="1" t="s">
        <v>1266</v>
      </c>
      <c r="B2270" s="1"/>
      <c r="C2270" s="1" t="s">
        <v>867</v>
      </c>
      <c r="D2270" s="1">
        <v>121289</v>
      </c>
      <c r="E2270" s="1">
        <v>158</v>
      </c>
      <c r="F2270" s="1" t="s">
        <v>3304</v>
      </c>
      <c r="G2270" s="1" t="s">
        <v>869</v>
      </c>
      <c r="H2270" s="1" t="s">
        <v>141</v>
      </c>
      <c r="I2270" s="1" t="s">
        <v>65</v>
      </c>
      <c r="J2270" s="1">
        <v>3</v>
      </c>
      <c r="K2270" s="1" t="s">
        <v>142</v>
      </c>
      <c r="L2270" s="1" t="s">
        <v>153</v>
      </c>
      <c r="M2270" s="1" t="s">
        <v>1256</v>
      </c>
      <c r="N2270" s="1" t="str">
        <f>HYPERLINK("https://klocwork.india.ti.com:443/review/insight-review.html#issuedetails_goto:problemid=121289,project=MCU_PLUS_SDK_AM263X,searchquery=taxonomy:'C and C++' build:Build_Apr_13_2023_11_11_AM grouping:off ","KW Issue Link")</f>
        <v>KW Issue Link</v>
      </c>
      <c r="O2270" s="1" t="s">
        <v>291</v>
      </c>
    </row>
    <row r="2271" spans="1:15" ht="60" x14ac:dyDescent="0.25">
      <c r="A2271" s="1" t="s">
        <v>1266</v>
      </c>
      <c r="B2271" s="1"/>
      <c r="C2271" s="1" t="s">
        <v>867</v>
      </c>
      <c r="D2271" s="1">
        <v>121290</v>
      </c>
      <c r="E2271" s="1">
        <v>225</v>
      </c>
      <c r="F2271" s="1" t="s">
        <v>3305</v>
      </c>
      <c r="G2271" s="1" t="s">
        <v>872</v>
      </c>
      <c r="H2271" s="1" t="s">
        <v>141</v>
      </c>
      <c r="I2271" s="1" t="s">
        <v>65</v>
      </c>
      <c r="J2271" s="1">
        <v>3</v>
      </c>
      <c r="K2271" s="1" t="s">
        <v>142</v>
      </c>
      <c r="L2271" s="1" t="s">
        <v>153</v>
      </c>
      <c r="M2271" s="1" t="s">
        <v>1256</v>
      </c>
      <c r="N2271" s="1" t="str">
        <f>HYPERLINK("https://klocwork.india.ti.com:443/review/insight-review.html#issuedetails_goto:problemid=121290,project=MCU_PLUS_SDK_AM263X,searchquery=taxonomy:'C and C++' build:Build_Apr_13_2023_11_11_AM grouping:off ","KW Issue Link")</f>
        <v>KW Issue Link</v>
      </c>
      <c r="O2271" s="1" t="s">
        <v>291</v>
      </c>
    </row>
    <row r="2272" spans="1:15" ht="60" x14ac:dyDescent="0.25">
      <c r="A2272" s="1" t="s">
        <v>1266</v>
      </c>
      <c r="B2272" s="1"/>
      <c r="C2272" s="1" t="s">
        <v>867</v>
      </c>
      <c r="D2272" s="1">
        <v>121291</v>
      </c>
      <c r="E2272" s="1">
        <v>305</v>
      </c>
      <c r="F2272" s="1" t="s">
        <v>3306</v>
      </c>
      <c r="G2272" s="1" t="s">
        <v>878</v>
      </c>
      <c r="H2272" s="1" t="s">
        <v>141</v>
      </c>
      <c r="I2272" s="1" t="s">
        <v>65</v>
      </c>
      <c r="J2272" s="1">
        <v>3</v>
      </c>
      <c r="K2272" s="1" t="s">
        <v>142</v>
      </c>
      <c r="L2272" s="1" t="s">
        <v>153</v>
      </c>
      <c r="M2272" s="1" t="s">
        <v>1256</v>
      </c>
      <c r="N2272" s="1" t="str">
        <f>HYPERLINK("https://klocwork.india.ti.com:443/review/insight-review.html#issuedetails_goto:problemid=121291,project=MCU_PLUS_SDK_AM263X,searchquery=taxonomy:'C and C++' build:Build_Apr_13_2023_11_11_AM grouping:off ","KW Issue Link")</f>
        <v>KW Issue Link</v>
      </c>
      <c r="O2272" s="1" t="s">
        <v>291</v>
      </c>
    </row>
    <row r="2273" spans="1:15" ht="60" x14ac:dyDescent="0.25">
      <c r="A2273" s="1" t="s">
        <v>1266</v>
      </c>
      <c r="B2273" s="1"/>
      <c r="C2273" s="1" t="s">
        <v>867</v>
      </c>
      <c r="D2273" s="1">
        <v>121292</v>
      </c>
      <c r="E2273" s="1">
        <v>390</v>
      </c>
      <c r="F2273" s="1" t="s">
        <v>3307</v>
      </c>
      <c r="G2273" s="1" t="s">
        <v>1067</v>
      </c>
      <c r="H2273" s="1" t="s">
        <v>141</v>
      </c>
      <c r="I2273" s="1" t="s">
        <v>65</v>
      </c>
      <c r="J2273" s="1">
        <v>3</v>
      </c>
      <c r="K2273" s="1" t="s">
        <v>142</v>
      </c>
      <c r="L2273" s="1" t="s">
        <v>153</v>
      </c>
      <c r="M2273" s="1" t="s">
        <v>1256</v>
      </c>
      <c r="N2273" s="1" t="str">
        <f>HYPERLINK("https://klocwork.india.ti.com:443/review/insight-review.html#issuedetails_goto:problemid=121292,project=MCU_PLUS_SDK_AM263X,searchquery=taxonomy:'C and C++' build:Build_Apr_13_2023_11_11_AM grouping:off ","KW Issue Link")</f>
        <v>KW Issue Link</v>
      </c>
      <c r="O2273" s="1" t="s">
        <v>291</v>
      </c>
    </row>
    <row r="2274" spans="1:15" ht="60" x14ac:dyDescent="0.25">
      <c r="A2274" s="1" t="s">
        <v>1266</v>
      </c>
      <c r="B2274" s="1"/>
      <c r="C2274" s="1" t="s">
        <v>867</v>
      </c>
      <c r="D2274" s="1">
        <v>121293</v>
      </c>
      <c r="E2274" s="1">
        <v>827</v>
      </c>
      <c r="F2274" s="1" t="s">
        <v>3308</v>
      </c>
      <c r="G2274" s="1" t="s">
        <v>880</v>
      </c>
      <c r="H2274" s="1" t="s">
        <v>141</v>
      </c>
      <c r="I2274" s="1" t="s">
        <v>65</v>
      </c>
      <c r="J2274" s="1">
        <v>3</v>
      </c>
      <c r="K2274" s="1" t="s">
        <v>142</v>
      </c>
      <c r="L2274" s="1" t="s">
        <v>153</v>
      </c>
      <c r="M2274" s="1" t="s">
        <v>1256</v>
      </c>
      <c r="N2274" s="1" t="str">
        <f>HYPERLINK("https://klocwork.india.ti.com:443/review/insight-review.html#issuedetails_goto:problemid=121293,project=MCU_PLUS_SDK_AM263X,searchquery=taxonomy:'C and C++' build:Build_Apr_13_2023_11_11_AM grouping:off ","KW Issue Link")</f>
        <v>KW Issue Link</v>
      </c>
      <c r="O2274" s="1" t="s">
        <v>291</v>
      </c>
    </row>
    <row r="2275" spans="1:15" ht="60" x14ac:dyDescent="0.25">
      <c r="A2275" s="1" t="s">
        <v>1266</v>
      </c>
      <c r="B2275" s="1"/>
      <c r="C2275" s="1" t="s">
        <v>867</v>
      </c>
      <c r="D2275" s="1">
        <v>121294</v>
      </c>
      <c r="E2275" s="1">
        <v>1032</v>
      </c>
      <c r="F2275" s="1" t="s">
        <v>3309</v>
      </c>
      <c r="G2275" s="1" t="s">
        <v>884</v>
      </c>
      <c r="H2275" s="1" t="s">
        <v>141</v>
      </c>
      <c r="I2275" s="1" t="s">
        <v>65</v>
      </c>
      <c r="J2275" s="1">
        <v>3</v>
      </c>
      <c r="K2275" s="1" t="s">
        <v>142</v>
      </c>
      <c r="L2275" s="1" t="s">
        <v>153</v>
      </c>
      <c r="M2275" s="1" t="s">
        <v>1256</v>
      </c>
      <c r="N2275" s="1" t="str">
        <f>HYPERLINK("https://klocwork.india.ti.com:443/review/insight-review.html#issuedetails_goto:problemid=121294,project=MCU_PLUS_SDK_AM263X,searchquery=taxonomy:'C and C++' build:Build_Apr_13_2023_11_11_AM grouping:off ","KW Issue Link")</f>
        <v>KW Issue Link</v>
      </c>
      <c r="O2275" s="1" t="s">
        <v>291</v>
      </c>
    </row>
    <row r="2276" spans="1:15" ht="60" x14ac:dyDescent="0.25">
      <c r="A2276" s="1" t="s">
        <v>1266</v>
      </c>
      <c r="B2276" s="1"/>
      <c r="C2276" s="1" t="s">
        <v>867</v>
      </c>
      <c r="D2276" s="1">
        <v>121295</v>
      </c>
      <c r="E2276" s="1">
        <v>1237</v>
      </c>
      <c r="F2276" s="1" t="s">
        <v>3310</v>
      </c>
      <c r="G2276" s="1" t="s">
        <v>887</v>
      </c>
      <c r="H2276" s="1" t="s">
        <v>141</v>
      </c>
      <c r="I2276" s="1" t="s">
        <v>65</v>
      </c>
      <c r="J2276" s="1">
        <v>3</v>
      </c>
      <c r="K2276" s="1" t="s">
        <v>142</v>
      </c>
      <c r="L2276" s="1" t="s">
        <v>153</v>
      </c>
      <c r="M2276" s="1" t="s">
        <v>1256</v>
      </c>
      <c r="N2276" s="1" t="str">
        <f>HYPERLINK("https://klocwork.india.ti.com:443/review/insight-review.html#issuedetails_goto:problemid=121295,project=MCU_PLUS_SDK_AM263X,searchquery=taxonomy:'C and C++' build:Build_Apr_13_2023_11_11_AM grouping:off ","KW Issue Link")</f>
        <v>KW Issue Link</v>
      </c>
      <c r="O2276" s="1" t="s">
        <v>291</v>
      </c>
    </row>
    <row r="2277" spans="1:15" ht="60" x14ac:dyDescent="0.25">
      <c r="A2277" s="1" t="s">
        <v>1266</v>
      </c>
      <c r="B2277" s="1"/>
      <c r="C2277" s="1" t="s">
        <v>867</v>
      </c>
      <c r="D2277" s="1">
        <v>121296</v>
      </c>
      <c r="E2277" s="1">
        <v>1455</v>
      </c>
      <c r="F2277" s="1" t="s">
        <v>3311</v>
      </c>
      <c r="G2277" s="1" t="s">
        <v>874</v>
      </c>
      <c r="H2277" s="1" t="s">
        <v>141</v>
      </c>
      <c r="I2277" s="1" t="s">
        <v>65</v>
      </c>
      <c r="J2277" s="1">
        <v>3</v>
      </c>
      <c r="K2277" s="1" t="s">
        <v>142</v>
      </c>
      <c r="L2277" s="1" t="s">
        <v>153</v>
      </c>
      <c r="M2277" s="1" t="s">
        <v>1256</v>
      </c>
      <c r="N2277" s="1" t="str">
        <f>HYPERLINK("https://klocwork.india.ti.com:443/review/insight-review.html#issuedetails_goto:problemid=121296,project=MCU_PLUS_SDK_AM263X,searchquery=taxonomy:'C and C++' build:Build_Apr_13_2023_11_11_AM grouping:off ","KW Issue Link")</f>
        <v>KW Issue Link</v>
      </c>
      <c r="O2277" s="1" t="s">
        <v>291</v>
      </c>
    </row>
    <row r="2278" spans="1:15" ht="60" x14ac:dyDescent="0.25">
      <c r="A2278" s="1" t="s">
        <v>1266</v>
      </c>
      <c r="B2278" s="1"/>
      <c r="C2278" s="1" t="s">
        <v>867</v>
      </c>
      <c r="D2278" s="1">
        <v>121297</v>
      </c>
      <c r="E2278" s="1">
        <v>1631</v>
      </c>
      <c r="F2278" s="1" t="s">
        <v>3312</v>
      </c>
      <c r="G2278" s="1" t="s">
        <v>892</v>
      </c>
      <c r="H2278" s="1" t="s">
        <v>141</v>
      </c>
      <c r="I2278" s="1" t="s">
        <v>65</v>
      </c>
      <c r="J2278" s="1">
        <v>3</v>
      </c>
      <c r="K2278" s="1" t="s">
        <v>142</v>
      </c>
      <c r="L2278" s="1" t="s">
        <v>153</v>
      </c>
      <c r="M2278" s="1" t="s">
        <v>1256</v>
      </c>
      <c r="N2278" s="1" t="str">
        <f>HYPERLINK("https://klocwork.india.ti.com:443/review/insight-review.html#issuedetails_goto:problemid=121297,project=MCU_PLUS_SDK_AM263X,searchquery=taxonomy:'C and C++' build:Build_Apr_13_2023_11_11_AM grouping:off ","KW Issue Link")</f>
        <v>KW Issue Link</v>
      </c>
      <c r="O2278" s="1" t="s">
        <v>291</v>
      </c>
    </row>
    <row r="2279" spans="1:15" ht="60" x14ac:dyDescent="0.25">
      <c r="A2279" s="1" t="s">
        <v>1266</v>
      </c>
      <c r="B2279" s="1"/>
      <c r="C2279" s="1" t="s">
        <v>867</v>
      </c>
      <c r="D2279" s="1">
        <v>121298</v>
      </c>
      <c r="E2279" s="1">
        <v>1724</v>
      </c>
      <c r="F2279" s="1" t="s">
        <v>3313</v>
      </c>
      <c r="G2279" s="1" t="s">
        <v>898</v>
      </c>
      <c r="H2279" s="1" t="s">
        <v>141</v>
      </c>
      <c r="I2279" s="1" t="s">
        <v>65</v>
      </c>
      <c r="J2279" s="1">
        <v>3</v>
      </c>
      <c r="K2279" s="1" t="s">
        <v>142</v>
      </c>
      <c r="L2279" s="1" t="s">
        <v>153</v>
      </c>
      <c r="M2279" s="1" t="s">
        <v>1256</v>
      </c>
      <c r="N2279" s="1" t="str">
        <f>HYPERLINK("https://klocwork.india.ti.com:443/review/insight-review.html#issuedetails_goto:problemid=121298,project=MCU_PLUS_SDK_AM263X,searchquery=taxonomy:'C and C++' build:Build_Apr_13_2023_11_11_AM grouping:off ","KW Issue Link")</f>
        <v>KW Issue Link</v>
      </c>
      <c r="O2279" s="1" t="s">
        <v>291</v>
      </c>
    </row>
    <row r="2280" spans="1:15" ht="60" x14ac:dyDescent="0.25">
      <c r="A2280" s="1" t="s">
        <v>1266</v>
      </c>
      <c r="B2280" s="1"/>
      <c r="C2280" s="1" t="s">
        <v>867</v>
      </c>
      <c r="D2280" s="1">
        <v>121299</v>
      </c>
      <c r="E2280" s="1">
        <v>1783</v>
      </c>
      <c r="F2280" s="1" t="s">
        <v>3314</v>
      </c>
      <c r="G2280" s="1" t="s">
        <v>900</v>
      </c>
      <c r="H2280" s="1" t="s">
        <v>141</v>
      </c>
      <c r="I2280" s="1" t="s">
        <v>65</v>
      </c>
      <c r="J2280" s="1">
        <v>3</v>
      </c>
      <c r="K2280" s="1" t="s">
        <v>142</v>
      </c>
      <c r="L2280" s="1" t="s">
        <v>153</v>
      </c>
      <c r="M2280" s="1" t="s">
        <v>1256</v>
      </c>
      <c r="N2280" s="1" t="str">
        <f>HYPERLINK("https://klocwork.india.ti.com:443/review/insight-review.html#issuedetails_goto:problemid=121299,project=MCU_PLUS_SDK_AM263X,searchquery=taxonomy:'C and C++' build:Build_Apr_13_2023_11_11_AM grouping:off ","KW Issue Link")</f>
        <v>KW Issue Link</v>
      </c>
      <c r="O2280" s="1" t="s">
        <v>291</v>
      </c>
    </row>
    <row r="2281" spans="1:15" ht="60" x14ac:dyDescent="0.25">
      <c r="A2281" s="1" t="s">
        <v>1266</v>
      </c>
      <c r="B2281" s="1"/>
      <c r="C2281" s="1" t="s">
        <v>867</v>
      </c>
      <c r="D2281" s="1">
        <v>121300</v>
      </c>
      <c r="E2281" s="1">
        <v>1872</v>
      </c>
      <c r="F2281" s="1" t="s">
        <v>3315</v>
      </c>
      <c r="G2281" s="1" t="s">
        <v>904</v>
      </c>
      <c r="H2281" s="1" t="s">
        <v>141</v>
      </c>
      <c r="I2281" s="1" t="s">
        <v>65</v>
      </c>
      <c r="J2281" s="1">
        <v>3</v>
      </c>
      <c r="K2281" s="1" t="s">
        <v>142</v>
      </c>
      <c r="L2281" s="1" t="s">
        <v>153</v>
      </c>
      <c r="M2281" s="1" t="s">
        <v>1256</v>
      </c>
      <c r="N2281" s="1" t="str">
        <f>HYPERLINK("https://klocwork.india.ti.com:443/review/insight-review.html#issuedetails_goto:problemid=121300,project=MCU_PLUS_SDK_AM263X,searchquery=taxonomy:'C and C++' build:Build_Apr_13_2023_11_11_AM grouping:off ","KW Issue Link")</f>
        <v>KW Issue Link</v>
      </c>
      <c r="O2281" s="1" t="s">
        <v>291</v>
      </c>
    </row>
    <row r="2282" spans="1:15" ht="60" x14ac:dyDescent="0.25">
      <c r="A2282" s="1" t="s">
        <v>1266</v>
      </c>
      <c r="B2282" s="1"/>
      <c r="C2282" s="1" t="s">
        <v>867</v>
      </c>
      <c r="D2282" s="1">
        <v>121301</v>
      </c>
      <c r="E2282" s="1">
        <v>1980</v>
      </c>
      <c r="F2282" s="1" t="s">
        <v>3316</v>
      </c>
      <c r="G2282" s="1" t="s">
        <v>913</v>
      </c>
      <c r="H2282" s="1" t="s">
        <v>141</v>
      </c>
      <c r="I2282" s="1" t="s">
        <v>65</v>
      </c>
      <c r="J2282" s="1">
        <v>3</v>
      </c>
      <c r="K2282" s="1" t="s">
        <v>142</v>
      </c>
      <c r="L2282" s="1" t="s">
        <v>153</v>
      </c>
      <c r="M2282" s="1" t="s">
        <v>1256</v>
      </c>
      <c r="N2282" s="1" t="str">
        <f>HYPERLINK("https://klocwork.india.ti.com:443/review/insight-review.html#issuedetails_goto:problemid=121301,project=MCU_PLUS_SDK_AM263X,searchquery=taxonomy:'C and C++' build:Build_Apr_13_2023_11_11_AM grouping:off ","KW Issue Link")</f>
        <v>KW Issue Link</v>
      </c>
      <c r="O2282" s="1" t="s">
        <v>291</v>
      </c>
    </row>
    <row r="2283" spans="1:15" ht="60" x14ac:dyDescent="0.25">
      <c r="A2283" s="1" t="s">
        <v>1266</v>
      </c>
      <c r="B2283" s="1"/>
      <c r="C2283" s="1" t="s">
        <v>867</v>
      </c>
      <c r="D2283" s="1">
        <v>121302</v>
      </c>
      <c r="E2283" s="1">
        <v>2019</v>
      </c>
      <c r="F2283" s="1" t="s">
        <v>3317</v>
      </c>
      <c r="G2283" s="1" t="s">
        <v>906</v>
      </c>
      <c r="H2283" s="1" t="s">
        <v>141</v>
      </c>
      <c r="I2283" s="1" t="s">
        <v>65</v>
      </c>
      <c r="J2283" s="1">
        <v>3</v>
      </c>
      <c r="K2283" s="1" t="s">
        <v>142</v>
      </c>
      <c r="L2283" s="1" t="s">
        <v>153</v>
      </c>
      <c r="M2283" s="1" t="s">
        <v>1256</v>
      </c>
      <c r="N2283" s="1" t="str">
        <f>HYPERLINK("https://klocwork.india.ti.com:443/review/insight-review.html#issuedetails_goto:problemid=121302,project=MCU_PLUS_SDK_AM263X,searchquery=taxonomy:'C and C++' build:Build_Apr_13_2023_11_11_AM grouping:off ","KW Issue Link")</f>
        <v>KW Issue Link</v>
      </c>
      <c r="O2283" s="1" t="s">
        <v>291</v>
      </c>
    </row>
    <row r="2284" spans="1:15" ht="60" x14ac:dyDescent="0.25">
      <c r="A2284" s="1" t="s">
        <v>1266</v>
      </c>
      <c r="B2284" s="1"/>
      <c r="C2284" s="1" t="s">
        <v>867</v>
      </c>
      <c r="D2284" s="1">
        <v>121303</v>
      </c>
      <c r="E2284" s="1">
        <v>2078</v>
      </c>
      <c r="F2284" s="1" t="s">
        <v>3318</v>
      </c>
      <c r="G2284" s="1" t="s">
        <v>908</v>
      </c>
      <c r="H2284" s="1" t="s">
        <v>141</v>
      </c>
      <c r="I2284" s="1" t="s">
        <v>65</v>
      </c>
      <c r="J2284" s="1">
        <v>3</v>
      </c>
      <c r="K2284" s="1" t="s">
        <v>142</v>
      </c>
      <c r="L2284" s="1" t="s">
        <v>153</v>
      </c>
      <c r="M2284" s="1" t="s">
        <v>1256</v>
      </c>
      <c r="N2284" s="1" t="str">
        <f>HYPERLINK("https://klocwork.india.ti.com:443/review/insight-review.html#issuedetails_goto:problemid=121303,project=MCU_PLUS_SDK_AM263X,searchquery=taxonomy:'C and C++' build:Build_Apr_13_2023_11_11_AM grouping:off ","KW Issue Link")</f>
        <v>KW Issue Link</v>
      </c>
      <c r="O2284" s="1" t="s">
        <v>291</v>
      </c>
    </row>
    <row r="2285" spans="1:15" ht="60" x14ac:dyDescent="0.25">
      <c r="A2285" s="1" t="s">
        <v>1266</v>
      </c>
      <c r="B2285" s="1"/>
      <c r="C2285" s="1" t="s">
        <v>867</v>
      </c>
      <c r="D2285" s="1">
        <v>121304</v>
      </c>
      <c r="E2285" s="1">
        <v>2116</v>
      </c>
      <c r="F2285" s="1" t="s">
        <v>3319</v>
      </c>
      <c r="G2285" s="1" t="s">
        <v>910</v>
      </c>
      <c r="H2285" s="1" t="s">
        <v>141</v>
      </c>
      <c r="I2285" s="1" t="s">
        <v>65</v>
      </c>
      <c r="J2285" s="1">
        <v>3</v>
      </c>
      <c r="K2285" s="1" t="s">
        <v>142</v>
      </c>
      <c r="L2285" s="1" t="s">
        <v>153</v>
      </c>
      <c r="M2285" s="1" t="s">
        <v>1256</v>
      </c>
      <c r="N2285" s="1" t="str">
        <f>HYPERLINK("https://klocwork.india.ti.com:443/review/insight-review.html#issuedetails_goto:problemid=121304,project=MCU_PLUS_SDK_AM263X,searchquery=taxonomy:'C and C++' build:Build_Apr_13_2023_11_11_AM grouping:off ","KW Issue Link")</f>
        <v>KW Issue Link</v>
      </c>
      <c r="O2285" s="1" t="s">
        <v>291</v>
      </c>
    </row>
    <row r="2286" spans="1:15" ht="60" x14ac:dyDescent="0.25">
      <c r="A2286" s="1" t="s">
        <v>1268</v>
      </c>
      <c r="B2286" s="1"/>
      <c r="C2286" s="1" t="s">
        <v>867</v>
      </c>
      <c r="D2286" s="1">
        <v>121305</v>
      </c>
      <c r="E2286" s="1">
        <v>158</v>
      </c>
      <c r="F2286" s="1" t="s">
        <v>3320</v>
      </c>
      <c r="G2286" s="1" t="s">
        <v>869</v>
      </c>
      <c r="H2286" s="1" t="s">
        <v>141</v>
      </c>
      <c r="I2286" s="1" t="s">
        <v>65</v>
      </c>
      <c r="J2286" s="1">
        <v>3</v>
      </c>
      <c r="K2286" s="1" t="s">
        <v>142</v>
      </c>
      <c r="L2286" s="1" t="s">
        <v>153</v>
      </c>
      <c r="M2286" s="1" t="s">
        <v>1256</v>
      </c>
      <c r="N2286" s="1" t="str">
        <f>HYPERLINK("https://klocwork.india.ti.com:443/review/insight-review.html#issuedetails_goto:problemid=121305,project=MCU_PLUS_SDK_AM263X,searchquery=taxonomy:'C and C++' build:Build_Apr_13_2023_11_11_AM grouping:off ","KW Issue Link")</f>
        <v>KW Issue Link</v>
      </c>
      <c r="O2286" s="1" t="s">
        <v>291</v>
      </c>
    </row>
    <row r="2287" spans="1:15" ht="60" x14ac:dyDescent="0.25">
      <c r="A2287" s="1" t="s">
        <v>1268</v>
      </c>
      <c r="B2287" s="1"/>
      <c r="C2287" s="1" t="s">
        <v>867</v>
      </c>
      <c r="D2287" s="1">
        <v>121306</v>
      </c>
      <c r="E2287" s="1">
        <v>225</v>
      </c>
      <c r="F2287" s="1" t="s">
        <v>3321</v>
      </c>
      <c r="G2287" s="1" t="s">
        <v>872</v>
      </c>
      <c r="H2287" s="1" t="s">
        <v>141</v>
      </c>
      <c r="I2287" s="1" t="s">
        <v>65</v>
      </c>
      <c r="J2287" s="1">
        <v>3</v>
      </c>
      <c r="K2287" s="1" t="s">
        <v>142</v>
      </c>
      <c r="L2287" s="1" t="s">
        <v>153</v>
      </c>
      <c r="M2287" s="1" t="s">
        <v>1256</v>
      </c>
      <c r="N2287" s="1" t="str">
        <f>HYPERLINK("https://klocwork.india.ti.com:443/review/insight-review.html#issuedetails_goto:problemid=121306,project=MCU_PLUS_SDK_AM263X,searchquery=taxonomy:'C and C++' build:Build_Apr_13_2023_11_11_AM grouping:off ","KW Issue Link")</f>
        <v>KW Issue Link</v>
      </c>
      <c r="O2287" s="1" t="s">
        <v>291</v>
      </c>
    </row>
    <row r="2288" spans="1:15" ht="60" x14ac:dyDescent="0.25">
      <c r="A2288" s="1" t="s">
        <v>1268</v>
      </c>
      <c r="B2288" s="1"/>
      <c r="C2288" s="1" t="s">
        <v>867</v>
      </c>
      <c r="D2288" s="1">
        <v>121307</v>
      </c>
      <c r="E2288" s="1">
        <v>305</v>
      </c>
      <c r="F2288" s="1" t="s">
        <v>3322</v>
      </c>
      <c r="G2288" s="1" t="s">
        <v>878</v>
      </c>
      <c r="H2288" s="1" t="s">
        <v>141</v>
      </c>
      <c r="I2288" s="1" t="s">
        <v>65</v>
      </c>
      <c r="J2288" s="1">
        <v>3</v>
      </c>
      <c r="K2288" s="1" t="s">
        <v>142</v>
      </c>
      <c r="L2288" s="1" t="s">
        <v>153</v>
      </c>
      <c r="M2288" s="1" t="s">
        <v>1256</v>
      </c>
      <c r="N2288" s="1" t="str">
        <f>HYPERLINK("https://klocwork.india.ti.com:443/review/insight-review.html#issuedetails_goto:problemid=121307,project=MCU_PLUS_SDK_AM263X,searchquery=taxonomy:'C and C++' build:Build_Apr_13_2023_11_11_AM grouping:off ","KW Issue Link")</f>
        <v>KW Issue Link</v>
      </c>
      <c r="O2288" s="1" t="s">
        <v>291</v>
      </c>
    </row>
    <row r="2289" spans="1:15" ht="60" x14ac:dyDescent="0.25">
      <c r="A2289" s="1" t="s">
        <v>1268</v>
      </c>
      <c r="B2289" s="1"/>
      <c r="C2289" s="1" t="s">
        <v>867</v>
      </c>
      <c r="D2289" s="1">
        <v>121308</v>
      </c>
      <c r="E2289" s="1">
        <v>390</v>
      </c>
      <c r="F2289" s="1" t="s">
        <v>3323</v>
      </c>
      <c r="G2289" s="1" t="s">
        <v>1067</v>
      </c>
      <c r="H2289" s="1" t="s">
        <v>141</v>
      </c>
      <c r="I2289" s="1" t="s">
        <v>65</v>
      </c>
      <c r="J2289" s="1">
        <v>3</v>
      </c>
      <c r="K2289" s="1" t="s">
        <v>142</v>
      </c>
      <c r="L2289" s="1" t="s">
        <v>153</v>
      </c>
      <c r="M2289" s="1" t="s">
        <v>1256</v>
      </c>
      <c r="N2289" s="1" t="str">
        <f>HYPERLINK("https://klocwork.india.ti.com:443/review/insight-review.html#issuedetails_goto:problemid=121308,project=MCU_PLUS_SDK_AM263X,searchquery=taxonomy:'C and C++' build:Build_Apr_13_2023_11_11_AM grouping:off ","KW Issue Link")</f>
        <v>KW Issue Link</v>
      </c>
      <c r="O2289" s="1" t="s">
        <v>291</v>
      </c>
    </row>
    <row r="2290" spans="1:15" ht="60" x14ac:dyDescent="0.25">
      <c r="A2290" s="1" t="s">
        <v>1268</v>
      </c>
      <c r="B2290" s="1"/>
      <c r="C2290" s="1" t="s">
        <v>867</v>
      </c>
      <c r="D2290" s="1">
        <v>121309</v>
      </c>
      <c r="E2290" s="1">
        <v>827</v>
      </c>
      <c r="F2290" s="1" t="s">
        <v>3324</v>
      </c>
      <c r="G2290" s="1" t="s">
        <v>880</v>
      </c>
      <c r="H2290" s="1" t="s">
        <v>141</v>
      </c>
      <c r="I2290" s="1" t="s">
        <v>65</v>
      </c>
      <c r="J2290" s="1">
        <v>3</v>
      </c>
      <c r="K2290" s="1" t="s">
        <v>142</v>
      </c>
      <c r="L2290" s="1" t="s">
        <v>153</v>
      </c>
      <c r="M2290" s="1" t="s">
        <v>1256</v>
      </c>
      <c r="N2290" s="1" t="str">
        <f>HYPERLINK("https://klocwork.india.ti.com:443/review/insight-review.html#issuedetails_goto:problemid=121309,project=MCU_PLUS_SDK_AM263X,searchquery=taxonomy:'C and C++' build:Build_Apr_13_2023_11_11_AM grouping:off ","KW Issue Link")</f>
        <v>KW Issue Link</v>
      </c>
      <c r="O2290" s="1" t="s">
        <v>291</v>
      </c>
    </row>
    <row r="2291" spans="1:15" ht="60" x14ac:dyDescent="0.25">
      <c r="A2291" s="1" t="s">
        <v>1268</v>
      </c>
      <c r="B2291" s="1"/>
      <c r="C2291" s="1" t="s">
        <v>867</v>
      </c>
      <c r="D2291" s="1">
        <v>121310</v>
      </c>
      <c r="E2291" s="1">
        <v>1032</v>
      </c>
      <c r="F2291" s="1" t="s">
        <v>3325</v>
      </c>
      <c r="G2291" s="1" t="s">
        <v>884</v>
      </c>
      <c r="H2291" s="1" t="s">
        <v>141</v>
      </c>
      <c r="I2291" s="1" t="s">
        <v>65</v>
      </c>
      <c r="J2291" s="1">
        <v>3</v>
      </c>
      <c r="K2291" s="1" t="s">
        <v>142</v>
      </c>
      <c r="L2291" s="1" t="s">
        <v>153</v>
      </c>
      <c r="M2291" s="1" t="s">
        <v>1256</v>
      </c>
      <c r="N2291" s="1" t="str">
        <f>HYPERLINK("https://klocwork.india.ti.com:443/review/insight-review.html#issuedetails_goto:problemid=121310,project=MCU_PLUS_SDK_AM263X,searchquery=taxonomy:'C and C++' build:Build_Apr_13_2023_11_11_AM grouping:off ","KW Issue Link")</f>
        <v>KW Issue Link</v>
      </c>
      <c r="O2291" s="1" t="s">
        <v>291</v>
      </c>
    </row>
    <row r="2292" spans="1:15" ht="60" x14ac:dyDescent="0.25">
      <c r="A2292" s="1" t="s">
        <v>1268</v>
      </c>
      <c r="B2292" s="1"/>
      <c r="C2292" s="1" t="s">
        <v>867</v>
      </c>
      <c r="D2292" s="1">
        <v>121311</v>
      </c>
      <c r="E2292" s="1">
        <v>1237</v>
      </c>
      <c r="F2292" s="1" t="s">
        <v>3326</v>
      </c>
      <c r="G2292" s="1" t="s">
        <v>887</v>
      </c>
      <c r="H2292" s="1" t="s">
        <v>141</v>
      </c>
      <c r="I2292" s="1" t="s">
        <v>65</v>
      </c>
      <c r="J2292" s="1">
        <v>3</v>
      </c>
      <c r="K2292" s="1" t="s">
        <v>142</v>
      </c>
      <c r="L2292" s="1" t="s">
        <v>153</v>
      </c>
      <c r="M2292" s="1" t="s">
        <v>1256</v>
      </c>
      <c r="N2292" s="1" t="str">
        <f>HYPERLINK("https://klocwork.india.ti.com:443/review/insight-review.html#issuedetails_goto:problemid=121311,project=MCU_PLUS_SDK_AM263X,searchquery=taxonomy:'C and C++' build:Build_Apr_13_2023_11_11_AM grouping:off ","KW Issue Link")</f>
        <v>KW Issue Link</v>
      </c>
      <c r="O2292" s="1" t="s">
        <v>291</v>
      </c>
    </row>
    <row r="2293" spans="1:15" ht="60" x14ac:dyDescent="0.25">
      <c r="A2293" s="1" t="s">
        <v>1268</v>
      </c>
      <c r="B2293" s="1"/>
      <c r="C2293" s="1" t="s">
        <v>867</v>
      </c>
      <c r="D2293" s="1">
        <v>121312</v>
      </c>
      <c r="E2293" s="1">
        <v>1455</v>
      </c>
      <c r="F2293" s="1" t="s">
        <v>3327</v>
      </c>
      <c r="G2293" s="1" t="s">
        <v>874</v>
      </c>
      <c r="H2293" s="1" t="s">
        <v>141</v>
      </c>
      <c r="I2293" s="1" t="s">
        <v>65</v>
      </c>
      <c r="J2293" s="1">
        <v>3</v>
      </c>
      <c r="K2293" s="1" t="s">
        <v>142</v>
      </c>
      <c r="L2293" s="1" t="s">
        <v>153</v>
      </c>
      <c r="M2293" s="1" t="s">
        <v>1256</v>
      </c>
      <c r="N2293" s="1" t="str">
        <f>HYPERLINK("https://klocwork.india.ti.com:443/review/insight-review.html#issuedetails_goto:problemid=121312,project=MCU_PLUS_SDK_AM263X,searchquery=taxonomy:'C and C++' build:Build_Apr_13_2023_11_11_AM grouping:off ","KW Issue Link")</f>
        <v>KW Issue Link</v>
      </c>
      <c r="O2293" s="1" t="s">
        <v>291</v>
      </c>
    </row>
    <row r="2294" spans="1:15" ht="60" x14ac:dyDescent="0.25">
      <c r="A2294" s="1" t="s">
        <v>1268</v>
      </c>
      <c r="B2294" s="1"/>
      <c r="C2294" s="1" t="s">
        <v>867</v>
      </c>
      <c r="D2294" s="1">
        <v>121313</v>
      </c>
      <c r="E2294" s="1">
        <v>1631</v>
      </c>
      <c r="F2294" s="1" t="s">
        <v>3328</v>
      </c>
      <c r="G2294" s="1" t="s">
        <v>892</v>
      </c>
      <c r="H2294" s="1" t="s">
        <v>141</v>
      </c>
      <c r="I2294" s="1" t="s">
        <v>65</v>
      </c>
      <c r="J2294" s="1">
        <v>3</v>
      </c>
      <c r="K2294" s="1" t="s">
        <v>142</v>
      </c>
      <c r="L2294" s="1" t="s">
        <v>153</v>
      </c>
      <c r="M2294" s="1" t="s">
        <v>1256</v>
      </c>
      <c r="N2294" s="1" t="str">
        <f>HYPERLINK("https://klocwork.india.ti.com:443/review/insight-review.html#issuedetails_goto:problemid=121313,project=MCU_PLUS_SDK_AM263X,searchquery=taxonomy:'C and C++' build:Build_Apr_13_2023_11_11_AM grouping:off ","KW Issue Link")</f>
        <v>KW Issue Link</v>
      </c>
      <c r="O2294" s="1" t="s">
        <v>291</v>
      </c>
    </row>
    <row r="2295" spans="1:15" ht="60" x14ac:dyDescent="0.25">
      <c r="A2295" s="1" t="s">
        <v>1268</v>
      </c>
      <c r="B2295" s="1"/>
      <c r="C2295" s="1" t="s">
        <v>867</v>
      </c>
      <c r="D2295" s="1">
        <v>121315</v>
      </c>
      <c r="E2295" s="1">
        <v>1783</v>
      </c>
      <c r="F2295" s="1" t="s">
        <v>3329</v>
      </c>
      <c r="G2295" s="1" t="s">
        <v>900</v>
      </c>
      <c r="H2295" s="1" t="s">
        <v>141</v>
      </c>
      <c r="I2295" s="1" t="s">
        <v>65</v>
      </c>
      <c r="J2295" s="1">
        <v>3</v>
      </c>
      <c r="K2295" s="1" t="s">
        <v>142</v>
      </c>
      <c r="L2295" s="1" t="s">
        <v>153</v>
      </c>
      <c r="M2295" s="1" t="s">
        <v>1256</v>
      </c>
      <c r="N2295" s="1" t="str">
        <f>HYPERLINK("https://klocwork.india.ti.com:443/review/insight-review.html#issuedetails_goto:problemid=121315,project=MCU_PLUS_SDK_AM263X,searchquery=taxonomy:'C and C++' build:Build_Apr_13_2023_11_11_AM grouping:off ","KW Issue Link")</f>
        <v>KW Issue Link</v>
      </c>
      <c r="O2295" s="1" t="s">
        <v>291</v>
      </c>
    </row>
    <row r="2296" spans="1:15" ht="60" x14ac:dyDescent="0.25">
      <c r="A2296" s="1" t="s">
        <v>1268</v>
      </c>
      <c r="B2296" s="1"/>
      <c r="C2296" s="1" t="s">
        <v>867</v>
      </c>
      <c r="D2296" s="1">
        <v>121316</v>
      </c>
      <c r="E2296" s="1">
        <v>1980</v>
      </c>
      <c r="F2296" s="1" t="s">
        <v>3330</v>
      </c>
      <c r="G2296" s="1" t="s">
        <v>913</v>
      </c>
      <c r="H2296" s="1" t="s">
        <v>141</v>
      </c>
      <c r="I2296" s="1" t="s">
        <v>65</v>
      </c>
      <c r="J2296" s="1">
        <v>3</v>
      </c>
      <c r="K2296" s="1" t="s">
        <v>142</v>
      </c>
      <c r="L2296" s="1" t="s">
        <v>153</v>
      </c>
      <c r="M2296" s="1" t="s">
        <v>1256</v>
      </c>
      <c r="N2296" s="1" t="str">
        <f>HYPERLINK("https://klocwork.india.ti.com:443/review/insight-review.html#issuedetails_goto:problemid=121316,project=MCU_PLUS_SDK_AM263X,searchquery=taxonomy:'C and C++' build:Build_Apr_13_2023_11_11_AM grouping:off ","KW Issue Link")</f>
        <v>KW Issue Link</v>
      </c>
      <c r="O2296" s="1" t="s">
        <v>291</v>
      </c>
    </row>
    <row r="2297" spans="1:15" ht="60" x14ac:dyDescent="0.25">
      <c r="A2297" s="1" t="s">
        <v>1268</v>
      </c>
      <c r="B2297" s="1"/>
      <c r="C2297" s="1" t="s">
        <v>867</v>
      </c>
      <c r="D2297" s="1">
        <v>121317</v>
      </c>
      <c r="E2297" s="1">
        <v>2019</v>
      </c>
      <c r="F2297" s="1" t="s">
        <v>3331</v>
      </c>
      <c r="G2297" s="1" t="s">
        <v>906</v>
      </c>
      <c r="H2297" s="1" t="s">
        <v>141</v>
      </c>
      <c r="I2297" s="1" t="s">
        <v>65</v>
      </c>
      <c r="J2297" s="1">
        <v>3</v>
      </c>
      <c r="K2297" s="1" t="s">
        <v>142</v>
      </c>
      <c r="L2297" s="1" t="s">
        <v>153</v>
      </c>
      <c r="M2297" s="1" t="s">
        <v>1256</v>
      </c>
      <c r="N2297" s="1" t="str">
        <f>HYPERLINK("https://klocwork.india.ti.com:443/review/insight-review.html#issuedetails_goto:problemid=121317,project=MCU_PLUS_SDK_AM263X,searchquery=taxonomy:'C and C++' build:Build_Apr_13_2023_11_11_AM grouping:off ","KW Issue Link")</f>
        <v>KW Issue Link</v>
      </c>
      <c r="O2297" s="1" t="s">
        <v>291</v>
      </c>
    </row>
    <row r="2298" spans="1:15" ht="60" x14ac:dyDescent="0.25">
      <c r="A2298" s="1" t="s">
        <v>1268</v>
      </c>
      <c r="B2298" s="1"/>
      <c r="C2298" s="1" t="s">
        <v>867</v>
      </c>
      <c r="D2298" s="1">
        <v>121318</v>
      </c>
      <c r="E2298" s="1">
        <v>2078</v>
      </c>
      <c r="F2298" s="1" t="s">
        <v>3332</v>
      </c>
      <c r="G2298" s="1" t="s">
        <v>908</v>
      </c>
      <c r="H2298" s="1" t="s">
        <v>141</v>
      </c>
      <c r="I2298" s="1" t="s">
        <v>65</v>
      </c>
      <c r="J2298" s="1">
        <v>3</v>
      </c>
      <c r="K2298" s="1" t="s">
        <v>142</v>
      </c>
      <c r="L2298" s="1" t="s">
        <v>153</v>
      </c>
      <c r="M2298" s="1" t="s">
        <v>1256</v>
      </c>
      <c r="N2298" s="1" t="str">
        <f>HYPERLINK("https://klocwork.india.ti.com:443/review/insight-review.html#issuedetails_goto:problemid=121318,project=MCU_PLUS_SDK_AM263X,searchquery=taxonomy:'C and C++' build:Build_Apr_13_2023_11_11_AM grouping:off ","KW Issue Link")</f>
        <v>KW Issue Link</v>
      </c>
      <c r="O2298" s="1" t="s">
        <v>291</v>
      </c>
    </row>
    <row r="2299" spans="1:15" ht="60" x14ac:dyDescent="0.25">
      <c r="A2299" s="1" t="s">
        <v>1268</v>
      </c>
      <c r="B2299" s="1"/>
      <c r="C2299" s="1" t="s">
        <v>867</v>
      </c>
      <c r="D2299" s="1">
        <v>121319</v>
      </c>
      <c r="E2299" s="1">
        <v>2116</v>
      </c>
      <c r="F2299" s="1" t="s">
        <v>3333</v>
      </c>
      <c r="G2299" s="1" t="s">
        <v>910</v>
      </c>
      <c r="H2299" s="1" t="s">
        <v>141</v>
      </c>
      <c r="I2299" s="1" t="s">
        <v>65</v>
      </c>
      <c r="J2299" s="1">
        <v>3</v>
      </c>
      <c r="K2299" s="1" t="s">
        <v>142</v>
      </c>
      <c r="L2299" s="1" t="s">
        <v>153</v>
      </c>
      <c r="M2299" s="1" t="s">
        <v>1256</v>
      </c>
      <c r="N2299" s="1" t="str">
        <f>HYPERLINK("https://klocwork.india.ti.com:443/review/insight-review.html#issuedetails_goto:problemid=121319,project=MCU_PLUS_SDK_AM263X,searchquery=taxonomy:'C and C++' build:Build_Apr_13_2023_11_11_AM grouping:off ","KW Issue Link")</f>
        <v>KW Issue Link</v>
      </c>
      <c r="O2299" s="1" t="s">
        <v>291</v>
      </c>
    </row>
    <row r="2300" spans="1:15" ht="60" x14ac:dyDescent="0.25">
      <c r="A2300" s="1" t="s">
        <v>1252</v>
      </c>
      <c r="B2300" s="1"/>
      <c r="C2300" s="1" t="s">
        <v>867</v>
      </c>
      <c r="D2300" s="1">
        <v>121320</v>
      </c>
      <c r="E2300" s="1">
        <v>225</v>
      </c>
      <c r="F2300" s="1" t="s">
        <v>3334</v>
      </c>
      <c r="G2300" s="1" t="s">
        <v>872</v>
      </c>
      <c r="H2300" s="1" t="s">
        <v>141</v>
      </c>
      <c r="I2300" s="1" t="s">
        <v>65</v>
      </c>
      <c r="J2300" s="1">
        <v>3</v>
      </c>
      <c r="K2300" s="1" t="s">
        <v>142</v>
      </c>
      <c r="L2300" s="1" t="s">
        <v>153</v>
      </c>
      <c r="M2300" s="1" t="s">
        <v>1256</v>
      </c>
      <c r="N2300" s="1" t="str">
        <f>HYPERLINK("https://klocwork.india.ti.com:443/review/insight-review.html#issuedetails_goto:problemid=121320,project=MCU_PLUS_SDK_AM263X,searchquery=taxonomy:'C and C++' build:Build_Apr_13_2023_11_11_AM grouping:off ","KW Issue Link")</f>
        <v>KW Issue Link</v>
      </c>
      <c r="O2300" s="1" t="s">
        <v>291</v>
      </c>
    </row>
    <row r="2301" spans="1:15" ht="60" x14ac:dyDescent="0.25">
      <c r="A2301" s="1" t="s">
        <v>1252</v>
      </c>
      <c r="B2301" s="1"/>
      <c r="C2301" s="1" t="s">
        <v>867</v>
      </c>
      <c r="D2301" s="1">
        <v>121321</v>
      </c>
      <c r="E2301" s="1">
        <v>1818</v>
      </c>
      <c r="F2301" s="1" t="s">
        <v>3335</v>
      </c>
      <c r="G2301" s="1" t="s">
        <v>3299</v>
      </c>
      <c r="H2301" s="1" t="s">
        <v>141</v>
      </c>
      <c r="I2301" s="1" t="s">
        <v>65</v>
      </c>
      <c r="J2301" s="1">
        <v>3</v>
      </c>
      <c r="K2301" s="1" t="s">
        <v>142</v>
      </c>
      <c r="L2301" s="1" t="s">
        <v>153</v>
      </c>
      <c r="M2301" s="1" t="s">
        <v>1256</v>
      </c>
      <c r="N2301" s="1" t="str">
        <f>HYPERLINK("https://klocwork.india.ti.com:443/review/insight-review.html#issuedetails_goto:problemid=121321,project=MCU_PLUS_SDK_AM263X,searchquery=taxonomy:'C and C++' build:Build_Apr_13_2023_11_11_AM grouping:off ","KW Issue Link")</f>
        <v>KW Issue Link</v>
      </c>
      <c r="O2301" s="1" t="s">
        <v>291</v>
      </c>
    </row>
    <row r="2302" spans="1:15" ht="60" x14ac:dyDescent="0.25">
      <c r="A2302" s="1" t="s">
        <v>1252</v>
      </c>
      <c r="B2302" s="1"/>
      <c r="C2302" s="1" t="s">
        <v>867</v>
      </c>
      <c r="D2302" s="1">
        <v>121322</v>
      </c>
      <c r="E2302" s="1">
        <v>1980</v>
      </c>
      <c r="F2302" s="1" t="s">
        <v>3336</v>
      </c>
      <c r="G2302" s="1" t="s">
        <v>913</v>
      </c>
      <c r="H2302" s="1" t="s">
        <v>141</v>
      </c>
      <c r="I2302" s="1" t="s">
        <v>65</v>
      </c>
      <c r="J2302" s="1">
        <v>3</v>
      </c>
      <c r="K2302" s="1" t="s">
        <v>142</v>
      </c>
      <c r="L2302" s="1" t="s">
        <v>153</v>
      </c>
      <c r="M2302" s="1" t="s">
        <v>1256</v>
      </c>
      <c r="N2302" s="1" t="str">
        <f>HYPERLINK("https://klocwork.india.ti.com:443/review/insight-review.html#issuedetails_goto:problemid=121322,project=MCU_PLUS_SDK_AM263X,searchquery=taxonomy:'C and C++' build:Build_Apr_13_2023_11_11_AM grouping:off ","KW Issue Link")</f>
        <v>KW Issue Link</v>
      </c>
      <c r="O2302" s="1" t="s">
        <v>291</v>
      </c>
    </row>
    <row r="2303" spans="1:15" ht="75" x14ac:dyDescent="0.25">
      <c r="A2303" s="1" t="s">
        <v>1257</v>
      </c>
      <c r="B2303" s="1"/>
      <c r="C2303" s="1" t="s">
        <v>915</v>
      </c>
      <c r="D2303" s="1">
        <v>121323</v>
      </c>
      <c r="E2303" s="1">
        <v>42</v>
      </c>
      <c r="F2303" s="1" t="s">
        <v>3337</v>
      </c>
      <c r="G2303" s="1" t="s">
        <v>916</v>
      </c>
      <c r="H2303" s="1" t="s">
        <v>141</v>
      </c>
      <c r="I2303" s="1" t="s">
        <v>65</v>
      </c>
      <c r="J2303" s="1">
        <v>3</v>
      </c>
      <c r="K2303" s="1" t="s">
        <v>142</v>
      </c>
      <c r="L2303" s="1" t="s">
        <v>153</v>
      </c>
      <c r="M2303" s="1" t="s">
        <v>1256</v>
      </c>
      <c r="N2303" s="1" t="str">
        <f>HYPERLINK("https://klocwork.india.ti.com:443/review/insight-review.html#issuedetails_goto:problemid=121323,project=MCU_PLUS_SDK_AM263X,searchquery=taxonomy:'C and C++' build:Build_Apr_13_2023_11_11_AM grouping:off ","KW Issue Link")</f>
        <v>KW Issue Link</v>
      </c>
      <c r="O2303" s="1" t="s">
        <v>353</v>
      </c>
    </row>
    <row r="2304" spans="1:15" ht="75" x14ac:dyDescent="0.25">
      <c r="A2304" s="1" t="s">
        <v>1257</v>
      </c>
      <c r="B2304" s="1"/>
      <c r="C2304" s="1" t="s">
        <v>917</v>
      </c>
      <c r="D2304" s="1">
        <v>121324</v>
      </c>
      <c r="E2304" s="1">
        <v>195</v>
      </c>
      <c r="F2304" s="1" t="s">
        <v>3338</v>
      </c>
      <c r="G2304" s="1" t="s">
        <v>919</v>
      </c>
      <c r="H2304" s="1" t="s">
        <v>141</v>
      </c>
      <c r="I2304" s="1" t="s">
        <v>65</v>
      </c>
      <c r="J2304" s="1">
        <v>3</v>
      </c>
      <c r="K2304" s="1" t="s">
        <v>142</v>
      </c>
      <c r="L2304" s="1" t="s">
        <v>153</v>
      </c>
      <c r="M2304" s="1" t="s">
        <v>1256</v>
      </c>
      <c r="N2304" s="1" t="str">
        <f>HYPERLINK("https://klocwork.india.ti.com:443/review/insight-review.html#issuedetails_goto:problemid=121324,project=MCU_PLUS_SDK_AM263X,searchquery=taxonomy:'C and C++' build:Build_Apr_13_2023_11_11_AM grouping:off ","KW Issue Link")</f>
        <v>KW Issue Link</v>
      </c>
      <c r="O2304" s="1" t="s">
        <v>353</v>
      </c>
    </row>
    <row r="2305" spans="1:15" ht="75" x14ac:dyDescent="0.25">
      <c r="A2305" s="1" t="s">
        <v>1266</v>
      </c>
      <c r="B2305" s="1"/>
      <c r="C2305" s="1" t="s">
        <v>917</v>
      </c>
      <c r="D2305" s="1">
        <v>121325</v>
      </c>
      <c r="E2305" s="1">
        <v>195</v>
      </c>
      <c r="F2305" s="1" t="s">
        <v>3339</v>
      </c>
      <c r="G2305" s="1" t="s">
        <v>919</v>
      </c>
      <c r="H2305" s="1" t="s">
        <v>141</v>
      </c>
      <c r="I2305" s="1" t="s">
        <v>65</v>
      </c>
      <c r="J2305" s="1">
        <v>3</v>
      </c>
      <c r="K2305" s="1" t="s">
        <v>142</v>
      </c>
      <c r="L2305" s="1" t="s">
        <v>153</v>
      </c>
      <c r="M2305" s="1" t="s">
        <v>1256</v>
      </c>
      <c r="N2305" s="1" t="str">
        <f>HYPERLINK("https://klocwork.india.ti.com:443/review/insight-review.html#issuedetails_goto:problemid=121325,project=MCU_PLUS_SDK_AM263X,searchquery=taxonomy:'C and C++' build:Build_Apr_13_2023_11_11_AM grouping:off ","KW Issue Link")</f>
        <v>KW Issue Link</v>
      </c>
      <c r="O2305" s="1" t="s">
        <v>353</v>
      </c>
    </row>
    <row r="2306" spans="1:15" ht="60" x14ac:dyDescent="0.25">
      <c r="A2306" s="1" t="s">
        <v>1257</v>
      </c>
      <c r="B2306" s="1"/>
      <c r="C2306" s="1" t="s">
        <v>922</v>
      </c>
      <c r="D2306" s="1">
        <v>121326</v>
      </c>
      <c r="E2306" s="1">
        <v>127</v>
      </c>
      <c r="F2306" s="1" t="s">
        <v>3340</v>
      </c>
      <c r="G2306" s="1" t="s">
        <v>923</v>
      </c>
      <c r="H2306" s="1" t="s">
        <v>141</v>
      </c>
      <c r="I2306" s="1" t="s">
        <v>65</v>
      </c>
      <c r="J2306" s="1">
        <v>3</v>
      </c>
      <c r="K2306" s="1" t="s">
        <v>142</v>
      </c>
      <c r="L2306" s="1" t="s">
        <v>153</v>
      </c>
      <c r="M2306" s="1" t="s">
        <v>1256</v>
      </c>
      <c r="N2306" s="1" t="str">
        <f>HYPERLINK("https://klocwork.india.ti.com:443/review/insight-review.html#issuedetails_goto:problemid=121326,project=MCU_PLUS_SDK_AM263X,searchquery=taxonomy:'C and C++' build:Build_Apr_13_2023_11_11_AM grouping:off ","KW Issue Link")</f>
        <v>KW Issue Link</v>
      </c>
      <c r="O2306" s="1" t="s">
        <v>291</v>
      </c>
    </row>
    <row r="2307" spans="1:15" ht="60" x14ac:dyDescent="0.25">
      <c r="A2307" s="1" t="s">
        <v>1257</v>
      </c>
      <c r="B2307" s="1"/>
      <c r="C2307" s="1" t="s">
        <v>922</v>
      </c>
      <c r="D2307" s="1">
        <v>121327</v>
      </c>
      <c r="E2307" s="1">
        <v>156</v>
      </c>
      <c r="F2307" s="1" t="s">
        <v>3341</v>
      </c>
      <c r="G2307" s="1" t="s">
        <v>924</v>
      </c>
      <c r="H2307" s="1" t="s">
        <v>141</v>
      </c>
      <c r="I2307" s="1" t="s">
        <v>65</v>
      </c>
      <c r="J2307" s="1">
        <v>3</v>
      </c>
      <c r="K2307" s="1" t="s">
        <v>142</v>
      </c>
      <c r="L2307" s="1" t="s">
        <v>153</v>
      </c>
      <c r="M2307" s="1" t="s">
        <v>1256</v>
      </c>
      <c r="N2307" s="1" t="str">
        <f>HYPERLINK("https://klocwork.india.ti.com:443/review/insight-review.html#issuedetails_goto:problemid=121327,project=MCU_PLUS_SDK_AM263X,searchquery=taxonomy:'C and C++' build:Build_Apr_13_2023_11_11_AM grouping:off ","KW Issue Link")</f>
        <v>KW Issue Link</v>
      </c>
      <c r="O2307" s="1" t="s">
        <v>291</v>
      </c>
    </row>
    <row r="2308" spans="1:15" ht="60" x14ac:dyDescent="0.25">
      <c r="A2308" s="1" t="s">
        <v>1257</v>
      </c>
      <c r="B2308" s="1"/>
      <c r="C2308" s="1" t="s">
        <v>922</v>
      </c>
      <c r="D2308" s="1">
        <v>121333</v>
      </c>
      <c r="E2308" s="1">
        <v>602</v>
      </c>
      <c r="F2308" s="1" t="s">
        <v>3342</v>
      </c>
      <c r="G2308" s="1" t="s">
        <v>3343</v>
      </c>
      <c r="H2308" s="1" t="s">
        <v>141</v>
      </c>
      <c r="I2308" s="1" t="s">
        <v>65</v>
      </c>
      <c r="J2308" s="1">
        <v>3</v>
      </c>
      <c r="K2308" s="1" t="s">
        <v>142</v>
      </c>
      <c r="L2308" s="1" t="s">
        <v>153</v>
      </c>
      <c r="M2308" s="1" t="s">
        <v>1256</v>
      </c>
      <c r="N2308" s="1" t="str">
        <f>HYPERLINK("https://klocwork.india.ti.com:443/review/insight-review.html#issuedetails_goto:problemid=121333,project=MCU_PLUS_SDK_AM263X,searchquery=taxonomy:'C and C++' build:Build_Apr_13_2023_11_11_AM grouping:off ","KW Issue Link")</f>
        <v>KW Issue Link</v>
      </c>
      <c r="O2308" s="1" t="s">
        <v>291</v>
      </c>
    </row>
    <row r="2309" spans="1:15" ht="60" x14ac:dyDescent="0.25">
      <c r="A2309" s="1" t="s">
        <v>1266</v>
      </c>
      <c r="B2309" s="1"/>
      <c r="C2309" s="1" t="s">
        <v>922</v>
      </c>
      <c r="D2309" s="1">
        <v>121334</v>
      </c>
      <c r="E2309" s="1">
        <v>127</v>
      </c>
      <c r="F2309" s="1" t="s">
        <v>3344</v>
      </c>
      <c r="G2309" s="1" t="s">
        <v>923</v>
      </c>
      <c r="H2309" s="1" t="s">
        <v>141</v>
      </c>
      <c r="I2309" s="1" t="s">
        <v>65</v>
      </c>
      <c r="J2309" s="1">
        <v>3</v>
      </c>
      <c r="K2309" s="1" t="s">
        <v>142</v>
      </c>
      <c r="L2309" s="1" t="s">
        <v>153</v>
      </c>
      <c r="M2309" s="1" t="s">
        <v>1256</v>
      </c>
      <c r="N2309" s="1" t="str">
        <f>HYPERLINK("https://klocwork.india.ti.com:443/review/insight-review.html#issuedetails_goto:problemid=121334,project=MCU_PLUS_SDK_AM263X,searchquery=taxonomy:'C and C++' build:Build_Apr_13_2023_11_11_AM grouping:off ","KW Issue Link")</f>
        <v>KW Issue Link</v>
      </c>
      <c r="O2309" s="1" t="s">
        <v>291</v>
      </c>
    </row>
    <row r="2310" spans="1:15" ht="60" x14ac:dyDescent="0.25">
      <c r="A2310" s="1" t="s">
        <v>1266</v>
      </c>
      <c r="B2310" s="1"/>
      <c r="C2310" s="1" t="s">
        <v>922</v>
      </c>
      <c r="D2310" s="1">
        <v>121335</v>
      </c>
      <c r="E2310" s="1">
        <v>156</v>
      </c>
      <c r="F2310" s="1" t="s">
        <v>3345</v>
      </c>
      <c r="G2310" s="1" t="s">
        <v>924</v>
      </c>
      <c r="H2310" s="1" t="s">
        <v>141</v>
      </c>
      <c r="I2310" s="1" t="s">
        <v>65</v>
      </c>
      <c r="J2310" s="1">
        <v>3</v>
      </c>
      <c r="K2310" s="1" t="s">
        <v>142</v>
      </c>
      <c r="L2310" s="1" t="s">
        <v>153</v>
      </c>
      <c r="M2310" s="1" t="s">
        <v>1256</v>
      </c>
      <c r="N2310" s="1" t="str">
        <f>HYPERLINK("https://klocwork.india.ti.com:443/review/insight-review.html#issuedetails_goto:problemid=121335,project=MCU_PLUS_SDK_AM263X,searchquery=taxonomy:'C and C++' build:Build_Apr_13_2023_11_11_AM grouping:off ","KW Issue Link")</f>
        <v>KW Issue Link</v>
      </c>
      <c r="O2310" s="1" t="s">
        <v>291</v>
      </c>
    </row>
    <row r="2311" spans="1:15" ht="75" x14ac:dyDescent="0.25">
      <c r="A2311" s="1" t="s">
        <v>1257</v>
      </c>
      <c r="B2311" s="1"/>
      <c r="C2311" s="1" t="s">
        <v>925</v>
      </c>
      <c r="D2311" s="1">
        <v>121339</v>
      </c>
      <c r="E2311" s="1">
        <v>98</v>
      </c>
      <c r="F2311" s="1" t="s">
        <v>3346</v>
      </c>
      <c r="G2311" s="1" t="s">
        <v>3347</v>
      </c>
      <c r="H2311" s="1" t="s">
        <v>141</v>
      </c>
      <c r="I2311" s="1" t="s">
        <v>65</v>
      </c>
      <c r="J2311" s="1">
        <v>3</v>
      </c>
      <c r="K2311" s="1" t="s">
        <v>142</v>
      </c>
      <c r="L2311" s="1" t="s">
        <v>153</v>
      </c>
      <c r="M2311" s="1" t="s">
        <v>1256</v>
      </c>
      <c r="N2311" s="1" t="str">
        <f>HYPERLINK("https://klocwork.india.ti.com:443/review/insight-review.html#issuedetails_goto:problemid=121339,project=MCU_PLUS_SDK_AM263X,searchquery=taxonomy:'C and C++' build:Build_Apr_13_2023_11_11_AM grouping:off ","KW Issue Link")</f>
        <v>KW Issue Link</v>
      </c>
      <c r="O2311" s="1" t="s">
        <v>291</v>
      </c>
    </row>
    <row r="2312" spans="1:15" ht="75" x14ac:dyDescent="0.25">
      <c r="A2312" s="1" t="s">
        <v>1257</v>
      </c>
      <c r="B2312" s="1"/>
      <c r="C2312" s="1" t="s">
        <v>925</v>
      </c>
      <c r="D2312" s="1">
        <v>121340</v>
      </c>
      <c r="E2312" s="1">
        <v>204</v>
      </c>
      <c r="F2312" s="1" t="s">
        <v>3348</v>
      </c>
      <c r="G2312" s="1" t="s">
        <v>926</v>
      </c>
      <c r="H2312" s="1" t="s">
        <v>141</v>
      </c>
      <c r="I2312" s="1" t="s">
        <v>65</v>
      </c>
      <c r="J2312" s="1">
        <v>3</v>
      </c>
      <c r="K2312" s="1" t="s">
        <v>142</v>
      </c>
      <c r="L2312" s="1" t="s">
        <v>153</v>
      </c>
      <c r="M2312" s="1" t="s">
        <v>1256</v>
      </c>
      <c r="N2312" s="1" t="str">
        <f>HYPERLINK("https://klocwork.india.ti.com:443/review/insight-review.html#issuedetails_goto:problemid=121340,project=MCU_PLUS_SDK_AM263X,searchquery=taxonomy:'C and C++' build:Build_Apr_13_2023_11_11_AM grouping:off ","KW Issue Link")</f>
        <v>KW Issue Link</v>
      </c>
      <c r="O2312" s="1" t="s">
        <v>291</v>
      </c>
    </row>
    <row r="2313" spans="1:15" ht="75" x14ac:dyDescent="0.25">
      <c r="A2313" s="1" t="s">
        <v>1257</v>
      </c>
      <c r="B2313" s="1"/>
      <c r="C2313" s="1" t="s">
        <v>925</v>
      </c>
      <c r="D2313" s="1">
        <v>121341</v>
      </c>
      <c r="E2313" s="1">
        <v>367</v>
      </c>
      <c r="F2313" s="1" t="s">
        <v>3349</v>
      </c>
      <c r="G2313" s="1" t="s">
        <v>3350</v>
      </c>
      <c r="H2313" s="1" t="s">
        <v>141</v>
      </c>
      <c r="I2313" s="1" t="s">
        <v>65</v>
      </c>
      <c r="J2313" s="1">
        <v>3</v>
      </c>
      <c r="K2313" s="1" t="s">
        <v>142</v>
      </c>
      <c r="L2313" s="1" t="s">
        <v>153</v>
      </c>
      <c r="M2313" s="1" t="s">
        <v>1256</v>
      </c>
      <c r="N2313" s="1" t="str">
        <f>HYPERLINK("https://klocwork.india.ti.com:443/review/insight-review.html#issuedetails_goto:problemid=121341,project=MCU_PLUS_SDK_AM263X,searchquery=taxonomy:'C and C++' build:Build_Apr_13_2023_11_11_AM grouping:off ","KW Issue Link")</f>
        <v>KW Issue Link</v>
      </c>
      <c r="O2313" s="1" t="s">
        <v>291</v>
      </c>
    </row>
    <row r="2314" spans="1:15" ht="75" x14ac:dyDescent="0.25">
      <c r="A2314" s="1" t="s">
        <v>1266</v>
      </c>
      <c r="B2314" s="1"/>
      <c r="C2314" s="1" t="s">
        <v>925</v>
      </c>
      <c r="D2314" s="1">
        <v>121343</v>
      </c>
      <c r="E2314" s="1">
        <v>204</v>
      </c>
      <c r="F2314" s="1" t="s">
        <v>3351</v>
      </c>
      <c r="G2314" s="1" t="s">
        <v>926</v>
      </c>
      <c r="H2314" s="1" t="s">
        <v>141</v>
      </c>
      <c r="I2314" s="1" t="s">
        <v>65</v>
      </c>
      <c r="J2314" s="1">
        <v>3</v>
      </c>
      <c r="K2314" s="1" t="s">
        <v>142</v>
      </c>
      <c r="L2314" s="1" t="s">
        <v>153</v>
      </c>
      <c r="M2314" s="1" t="s">
        <v>1256</v>
      </c>
      <c r="N2314" s="1" t="str">
        <f>HYPERLINK("https://klocwork.india.ti.com:443/review/insight-review.html#issuedetails_goto:problemid=121343,project=MCU_PLUS_SDK_AM263X,searchquery=taxonomy:'C and C++' build:Build_Apr_13_2023_11_11_AM grouping:off ","KW Issue Link")</f>
        <v>KW Issue Link</v>
      </c>
      <c r="O2314" s="1" t="s">
        <v>291</v>
      </c>
    </row>
    <row r="2315" spans="1:15" ht="75" x14ac:dyDescent="0.25">
      <c r="A2315" s="1" t="s">
        <v>1266</v>
      </c>
      <c r="B2315" s="1"/>
      <c r="C2315" s="1" t="s">
        <v>925</v>
      </c>
      <c r="D2315" s="1">
        <v>121344</v>
      </c>
      <c r="E2315" s="1">
        <v>367</v>
      </c>
      <c r="F2315" s="1" t="s">
        <v>3352</v>
      </c>
      <c r="G2315" s="1" t="s">
        <v>3350</v>
      </c>
      <c r="H2315" s="1" t="s">
        <v>141</v>
      </c>
      <c r="I2315" s="1" t="s">
        <v>65</v>
      </c>
      <c r="J2315" s="1">
        <v>3</v>
      </c>
      <c r="K2315" s="1" t="s">
        <v>142</v>
      </c>
      <c r="L2315" s="1" t="s">
        <v>153</v>
      </c>
      <c r="M2315" s="1" t="s">
        <v>1256</v>
      </c>
      <c r="N2315" s="1" t="str">
        <f>HYPERLINK("https://klocwork.india.ti.com:443/review/insight-review.html#issuedetails_goto:problemid=121344,project=MCU_PLUS_SDK_AM263X,searchquery=taxonomy:'C and C++' build:Build_Apr_13_2023_11_11_AM grouping:off ","KW Issue Link")</f>
        <v>KW Issue Link</v>
      </c>
      <c r="O2315" s="1" t="s">
        <v>291</v>
      </c>
    </row>
    <row r="2316" spans="1:15" ht="75" x14ac:dyDescent="0.25">
      <c r="A2316" s="1" t="s">
        <v>1268</v>
      </c>
      <c r="B2316" s="1"/>
      <c r="C2316" s="1" t="s">
        <v>925</v>
      </c>
      <c r="D2316" s="1">
        <v>121345</v>
      </c>
      <c r="E2316" s="1">
        <v>204</v>
      </c>
      <c r="F2316" s="1" t="s">
        <v>3353</v>
      </c>
      <c r="G2316" s="1" t="s">
        <v>926</v>
      </c>
      <c r="H2316" s="1" t="s">
        <v>141</v>
      </c>
      <c r="I2316" s="1" t="s">
        <v>65</v>
      </c>
      <c r="J2316" s="1">
        <v>3</v>
      </c>
      <c r="K2316" s="1" t="s">
        <v>142</v>
      </c>
      <c r="L2316" s="1" t="s">
        <v>153</v>
      </c>
      <c r="M2316" s="1" t="s">
        <v>1256</v>
      </c>
      <c r="N2316" s="1" t="str">
        <f>HYPERLINK("https://klocwork.india.ti.com:443/review/insight-review.html#issuedetails_goto:problemid=121345,project=MCU_PLUS_SDK_AM263X,searchquery=taxonomy:'C and C++' build:Build_Apr_13_2023_11_11_AM grouping:off ","KW Issue Link")</f>
        <v>KW Issue Link</v>
      </c>
      <c r="O2316" s="1" t="s">
        <v>291</v>
      </c>
    </row>
    <row r="2317" spans="1:15" ht="60" x14ac:dyDescent="0.25">
      <c r="A2317" s="1" t="s">
        <v>1268</v>
      </c>
      <c r="B2317" s="1"/>
      <c r="C2317" s="1" t="s">
        <v>3354</v>
      </c>
      <c r="D2317" s="1">
        <v>121346</v>
      </c>
      <c r="E2317" s="1">
        <v>320</v>
      </c>
      <c r="F2317" s="1" t="s">
        <v>3355</v>
      </c>
      <c r="G2317" s="1" t="s">
        <v>3356</v>
      </c>
      <c r="H2317" s="1" t="s">
        <v>141</v>
      </c>
      <c r="I2317" s="1" t="s">
        <v>65</v>
      </c>
      <c r="J2317" s="1">
        <v>3</v>
      </c>
      <c r="K2317" s="1" t="s">
        <v>142</v>
      </c>
      <c r="L2317" s="1" t="s">
        <v>153</v>
      </c>
      <c r="M2317" s="1" t="s">
        <v>1256</v>
      </c>
      <c r="N2317" s="1" t="str">
        <f>HYPERLINK("https://klocwork.india.ti.com:443/review/insight-review.html#issuedetails_goto:problemid=121346,project=MCU_PLUS_SDK_AM263X,searchquery=taxonomy:'C and C++' build:Build_Apr_13_2023_11_11_AM grouping:off ","KW Issue Link")</f>
        <v>KW Issue Link</v>
      </c>
      <c r="O2317" s="1" t="s">
        <v>1083</v>
      </c>
    </row>
    <row r="2318" spans="1:15" ht="75" x14ac:dyDescent="0.25">
      <c r="A2318" s="1" t="s">
        <v>1257</v>
      </c>
      <c r="B2318" s="1"/>
      <c r="C2318" s="1" t="s">
        <v>955</v>
      </c>
      <c r="D2318" s="1">
        <v>121347</v>
      </c>
      <c r="E2318" s="1">
        <v>514</v>
      </c>
      <c r="F2318" s="1" t="s">
        <v>3357</v>
      </c>
      <c r="G2318" s="1" t="s">
        <v>956</v>
      </c>
      <c r="H2318" s="1" t="s">
        <v>141</v>
      </c>
      <c r="I2318" s="1" t="s">
        <v>65</v>
      </c>
      <c r="J2318" s="1">
        <v>3</v>
      </c>
      <c r="K2318" s="1" t="s">
        <v>142</v>
      </c>
      <c r="L2318" s="1" t="s">
        <v>153</v>
      </c>
      <c r="M2318" s="1" t="s">
        <v>1256</v>
      </c>
      <c r="N2318" s="1" t="str">
        <f>HYPERLINK("https://klocwork.india.ti.com:443/review/insight-review.html#issuedetails_goto:problemid=121347,project=MCU_PLUS_SDK_AM263X,searchquery=taxonomy:'C and C++' build:Build_Apr_13_2023_11_11_AM grouping:off ","KW Issue Link")</f>
        <v>KW Issue Link</v>
      </c>
      <c r="O2318" s="1" t="s">
        <v>957</v>
      </c>
    </row>
    <row r="2319" spans="1:15" ht="75" x14ac:dyDescent="0.25">
      <c r="A2319" s="1" t="s">
        <v>1257</v>
      </c>
      <c r="B2319" s="1"/>
      <c r="C2319" s="1" t="s">
        <v>955</v>
      </c>
      <c r="D2319" s="1">
        <v>121348</v>
      </c>
      <c r="E2319" s="1">
        <v>1818</v>
      </c>
      <c r="F2319" s="1" t="s">
        <v>3358</v>
      </c>
      <c r="G2319" s="1" t="s">
        <v>3359</v>
      </c>
      <c r="H2319" s="1" t="s">
        <v>141</v>
      </c>
      <c r="I2319" s="1" t="s">
        <v>65</v>
      </c>
      <c r="J2319" s="1">
        <v>3</v>
      </c>
      <c r="K2319" s="1" t="s">
        <v>142</v>
      </c>
      <c r="L2319" s="1" t="s">
        <v>153</v>
      </c>
      <c r="M2319" s="1" t="s">
        <v>1256</v>
      </c>
      <c r="N2319" s="1" t="str">
        <f>HYPERLINK("https://klocwork.india.ti.com:443/review/insight-review.html#issuedetails_goto:problemid=121348,project=MCU_PLUS_SDK_AM263X,searchquery=taxonomy:'C and C++' build:Build_Apr_13_2023_11_11_AM grouping:off ","KW Issue Link")</f>
        <v>KW Issue Link</v>
      </c>
      <c r="O2319" s="1" t="s">
        <v>957</v>
      </c>
    </row>
    <row r="2320" spans="1:15" ht="75" x14ac:dyDescent="0.25">
      <c r="A2320" s="1" t="s">
        <v>1257</v>
      </c>
      <c r="B2320" s="1"/>
      <c r="C2320" s="1" t="s">
        <v>955</v>
      </c>
      <c r="D2320" s="1">
        <v>121349</v>
      </c>
      <c r="E2320" s="1">
        <v>1906</v>
      </c>
      <c r="F2320" s="1" t="s">
        <v>3360</v>
      </c>
      <c r="G2320" s="1" t="s">
        <v>3361</v>
      </c>
      <c r="H2320" s="1" t="s">
        <v>141</v>
      </c>
      <c r="I2320" s="1" t="s">
        <v>65</v>
      </c>
      <c r="J2320" s="1">
        <v>3</v>
      </c>
      <c r="K2320" s="1" t="s">
        <v>142</v>
      </c>
      <c r="L2320" s="1" t="s">
        <v>153</v>
      </c>
      <c r="M2320" s="1" t="s">
        <v>1256</v>
      </c>
      <c r="N2320" s="1" t="str">
        <f>HYPERLINK("https://klocwork.india.ti.com:443/review/insight-review.html#issuedetails_goto:problemid=121349,project=MCU_PLUS_SDK_AM263X,searchquery=taxonomy:'C and C++' build:Build_Apr_13_2023_11_11_AM grouping:off ","KW Issue Link")</f>
        <v>KW Issue Link</v>
      </c>
      <c r="O2320" s="1" t="s">
        <v>957</v>
      </c>
    </row>
    <row r="2321" spans="1:15" ht="75" x14ac:dyDescent="0.25">
      <c r="A2321" s="1" t="s">
        <v>1266</v>
      </c>
      <c r="B2321" s="1"/>
      <c r="C2321" s="1" t="s">
        <v>955</v>
      </c>
      <c r="D2321" s="1">
        <v>121350</v>
      </c>
      <c r="E2321" s="1">
        <v>665</v>
      </c>
      <c r="F2321" s="1" t="s">
        <v>3362</v>
      </c>
      <c r="G2321" s="1" t="s">
        <v>3363</v>
      </c>
      <c r="H2321" s="1" t="s">
        <v>141</v>
      </c>
      <c r="I2321" s="1" t="s">
        <v>65</v>
      </c>
      <c r="J2321" s="1">
        <v>3</v>
      </c>
      <c r="K2321" s="1" t="s">
        <v>142</v>
      </c>
      <c r="L2321" s="1" t="s">
        <v>153</v>
      </c>
      <c r="M2321" s="1" t="s">
        <v>1256</v>
      </c>
      <c r="N2321" s="1" t="str">
        <f>HYPERLINK("https://klocwork.india.ti.com:443/review/insight-review.html#issuedetails_goto:problemid=121350,project=MCU_PLUS_SDK_AM263X,searchquery=taxonomy:'C and C++' build:Build_Apr_13_2023_11_11_AM grouping:off ","KW Issue Link")</f>
        <v>KW Issue Link</v>
      </c>
      <c r="O2321" s="1" t="s">
        <v>957</v>
      </c>
    </row>
    <row r="2322" spans="1:15" ht="75" x14ac:dyDescent="0.25">
      <c r="A2322" s="1" t="s">
        <v>1266</v>
      </c>
      <c r="B2322" s="1"/>
      <c r="C2322" s="1" t="s">
        <v>955</v>
      </c>
      <c r="D2322" s="1">
        <v>121351</v>
      </c>
      <c r="E2322" s="1">
        <v>1341</v>
      </c>
      <c r="F2322" s="1" t="s">
        <v>3364</v>
      </c>
      <c r="G2322" s="1" t="s">
        <v>3365</v>
      </c>
      <c r="H2322" s="1" t="s">
        <v>141</v>
      </c>
      <c r="I2322" s="1" t="s">
        <v>65</v>
      </c>
      <c r="J2322" s="1">
        <v>3</v>
      </c>
      <c r="K2322" s="1" t="s">
        <v>142</v>
      </c>
      <c r="L2322" s="1" t="s">
        <v>153</v>
      </c>
      <c r="M2322" s="1" t="s">
        <v>1256</v>
      </c>
      <c r="N2322" s="1" t="str">
        <f>HYPERLINK("https://klocwork.india.ti.com:443/review/insight-review.html#issuedetails_goto:problemid=121351,project=MCU_PLUS_SDK_AM263X,searchquery=taxonomy:'C and C++' build:Build_Apr_13_2023_11_11_AM grouping:off ","KW Issue Link")</f>
        <v>KW Issue Link</v>
      </c>
      <c r="O2322" s="1" t="s">
        <v>957</v>
      </c>
    </row>
    <row r="2323" spans="1:15" ht="75" x14ac:dyDescent="0.25">
      <c r="A2323" s="1" t="s">
        <v>1266</v>
      </c>
      <c r="B2323" s="1"/>
      <c r="C2323" s="1" t="s">
        <v>955</v>
      </c>
      <c r="D2323" s="1">
        <v>121352</v>
      </c>
      <c r="E2323" s="1">
        <v>1818</v>
      </c>
      <c r="F2323" s="1" t="s">
        <v>3366</v>
      </c>
      <c r="G2323" s="1" t="s">
        <v>3359</v>
      </c>
      <c r="H2323" s="1" t="s">
        <v>141</v>
      </c>
      <c r="I2323" s="1" t="s">
        <v>65</v>
      </c>
      <c r="J2323" s="1">
        <v>3</v>
      </c>
      <c r="K2323" s="1" t="s">
        <v>142</v>
      </c>
      <c r="L2323" s="1" t="s">
        <v>153</v>
      </c>
      <c r="M2323" s="1" t="s">
        <v>1256</v>
      </c>
      <c r="N2323" s="1" t="str">
        <f>HYPERLINK("https://klocwork.india.ti.com:443/review/insight-review.html#issuedetails_goto:problemid=121352,project=MCU_PLUS_SDK_AM263X,searchquery=taxonomy:'C and C++' build:Build_Apr_13_2023_11_11_AM grouping:off ","KW Issue Link")</f>
        <v>KW Issue Link</v>
      </c>
      <c r="O2323" s="1" t="s">
        <v>957</v>
      </c>
    </row>
    <row r="2324" spans="1:15" ht="75" x14ac:dyDescent="0.25">
      <c r="A2324" s="1" t="s">
        <v>1268</v>
      </c>
      <c r="B2324" s="1"/>
      <c r="C2324" s="1" t="s">
        <v>955</v>
      </c>
      <c r="D2324" s="1">
        <v>121353</v>
      </c>
      <c r="E2324" s="1">
        <v>665</v>
      </c>
      <c r="F2324" s="1" t="s">
        <v>3367</v>
      </c>
      <c r="G2324" s="1" t="s">
        <v>3363</v>
      </c>
      <c r="H2324" s="1" t="s">
        <v>141</v>
      </c>
      <c r="I2324" s="1" t="s">
        <v>65</v>
      </c>
      <c r="J2324" s="1">
        <v>3</v>
      </c>
      <c r="K2324" s="1" t="s">
        <v>142</v>
      </c>
      <c r="L2324" s="1" t="s">
        <v>153</v>
      </c>
      <c r="M2324" s="1" t="s">
        <v>1256</v>
      </c>
      <c r="N2324" s="1" t="str">
        <f>HYPERLINK("https://klocwork.india.ti.com:443/review/insight-review.html#issuedetails_goto:problemid=121353,project=MCU_PLUS_SDK_AM263X,searchquery=taxonomy:'C and C++' build:Build_Apr_13_2023_11_11_AM grouping:off ","KW Issue Link")</f>
        <v>KW Issue Link</v>
      </c>
      <c r="O2324" s="1" t="s">
        <v>957</v>
      </c>
    </row>
    <row r="2325" spans="1:15" ht="75" x14ac:dyDescent="0.25">
      <c r="A2325" s="1" t="s">
        <v>1268</v>
      </c>
      <c r="B2325" s="1"/>
      <c r="C2325" s="1" t="s">
        <v>955</v>
      </c>
      <c r="D2325" s="1">
        <v>121354</v>
      </c>
      <c r="E2325" s="1">
        <v>1341</v>
      </c>
      <c r="F2325" s="1" t="s">
        <v>3368</v>
      </c>
      <c r="G2325" s="1" t="s">
        <v>3365</v>
      </c>
      <c r="H2325" s="1" t="s">
        <v>141</v>
      </c>
      <c r="I2325" s="1" t="s">
        <v>65</v>
      </c>
      <c r="J2325" s="1">
        <v>3</v>
      </c>
      <c r="K2325" s="1" t="s">
        <v>142</v>
      </c>
      <c r="L2325" s="1" t="s">
        <v>153</v>
      </c>
      <c r="M2325" s="1" t="s">
        <v>1256</v>
      </c>
      <c r="N2325" s="1" t="str">
        <f>HYPERLINK("https://klocwork.india.ti.com:443/review/insight-review.html#issuedetails_goto:problemid=121354,project=MCU_PLUS_SDK_AM263X,searchquery=taxonomy:'C and C++' build:Build_Apr_13_2023_11_11_AM grouping:off ","KW Issue Link")</f>
        <v>KW Issue Link</v>
      </c>
      <c r="O2325" s="1" t="s">
        <v>957</v>
      </c>
    </row>
    <row r="2326" spans="1:15" ht="75" x14ac:dyDescent="0.25">
      <c r="A2326" s="1" t="s">
        <v>1257</v>
      </c>
      <c r="B2326" s="1"/>
      <c r="C2326" s="1" t="s">
        <v>927</v>
      </c>
      <c r="D2326" s="1">
        <v>121355</v>
      </c>
      <c r="E2326" s="1">
        <v>183</v>
      </c>
      <c r="F2326" s="1" t="s">
        <v>3369</v>
      </c>
      <c r="G2326" s="1" t="s">
        <v>3370</v>
      </c>
      <c r="H2326" s="1" t="s">
        <v>141</v>
      </c>
      <c r="I2326" s="1" t="s">
        <v>65</v>
      </c>
      <c r="J2326" s="1">
        <v>3</v>
      </c>
      <c r="K2326" s="1" t="s">
        <v>142</v>
      </c>
      <c r="L2326" s="1" t="s">
        <v>153</v>
      </c>
      <c r="M2326" s="1" t="s">
        <v>1256</v>
      </c>
      <c r="N2326" s="1" t="str">
        <f>HYPERLINK("https://klocwork.india.ti.com:443/review/insight-review.html#issuedetails_goto:problemid=121355,project=MCU_PLUS_SDK_AM263X,searchquery=taxonomy:'C and C++' build:Build_Apr_13_2023_11_11_AM grouping:off ","KW Issue Link")</f>
        <v>KW Issue Link</v>
      </c>
      <c r="O2326" s="1" t="s">
        <v>291</v>
      </c>
    </row>
    <row r="2327" spans="1:15" ht="75" x14ac:dyDescent="0.25">
      <c r="A2327" s="1" t="s">
        <v>1257</v>
      </c>
      <c r="B2327" s="1"/>
      <c r="C2327" s="1" t="s">
        <v>927</v>
      </c>
      <c r="D2327" s="1">
        <v>121357</v>
      </c>
      <c r="E2327" s="1">
        <v>426</v>
      </c>
      <c r="F2327" s="1" t="s">
        <v>3371</v>
      </c>
      <c r="G2327" s="1" t="s">
        <v>3372</v>
      </c>
      <c r="H2327" s="1" t="s">
        <v>141</v>
      </c>
      <c r="I2327" s="1" t="s">
        <v>65</v>
      </c>
      <c r="J2327" s="1">
        <v>3</v>
      </c>
      <c r="K2327" s="1" t="s">
        <v>142</v>
      </c>
      <c r="L2327" s="1" t="s">
        <v>153</v>
      </c>
      <c r="M2327" s="1" t="s">
        <v>1256</v>
      </c>
      <c r="N2327" s="1" t="str">
        <f>HYPERLINK("https://klocwork.india.ti.com:443/review/insight-review.html#issuedetails_goto:problemid=121357,project=MCU_PLUS_SDK_AM263X,searchquery=taxonomy:'C and C++' build:Build_Apr_13_2023_11_11_AM grouping:off ","KW Issue Link")</f>
        <v>KW Issue Link</v>
      </c>
      <c r="O2327" s="1" t="s">
        <v>291</v>
      </c>
    </row>
    <row r="2328" spans="1:15" ht="75" x14ac:dyDescent="0.25">
      <c r="A2328" s="1" t="s">
        <v>1266</v>
      </c>
      <c r="B2328" s="1"/>
      <c r="C2328" s="1" t="s">
        <v>927</v>
      </c>
      <c r="D2328" s="1">
        <v>121358</v>
      </c>
      <c r="E2328" s="1">
        <v>183</v>
      </c>
      <c r="F2328" s="1" t="s">
        <v>3373</v>
      </c>
      <c r="G2328" s="1" t="s">
        <v>3370</v>
      </c>
      <c r="H2328" s="1" t="s">
        <v>141</v>
      </c>
      <c r="I2328" s="1" t="s">
        <v>65</v>
      </c>
      <c r="J2328" s="1">
        <v>3</v>
      </c>
      <c r="K2328" s="1" t="s">
        <v>142</v>
      </c>
      <c r="L2328" s="1" t="s">
        <v>153</v>
      </c>
      <c r="M2328" s="1" t="s">
        <v>1256</v>
      </c>
      <c r="N2328" s="1" t="str">
        <f>HYPERLINK("https://klocwork.india.ti.com:443/review/insight-review.html#issuedetails_goto:problemid=121358,project=MCU_PLUS_SDK_AM263X,searchquery=taxonomy:'C and C++' build:Build_Apr_13_2023_11_11_AM grouping:off ","KW Issue Link")</f>
        <v>KW Issue Link</v>
      </c>
      <c r="O2328" s="1" t="s">
        <v>291</v>
      </c>
    </row>
    <row r="2329" spans="1:15" ht="60" x14ac:dyDescent="0.25">
      <c r="A2329" s="1" t="s">
        <v>1252</v>
      </c>
      <c r="B2329" s="1"/>
      <c r="C2329" s="1" t="s">
        <v>230</v>
      </c>
      <c r="D2329" s="1">
        <v>121360</v>
      </c>
      <c r="E2329" s="1">
        <v>303</v>
      </c>
      <c r="F2329" s="1" t="s">
        <v>3374</v>
      </c>
      <c r="G2329" s="1" t="s">
        <v>3375</v>
      </c>
      <c r="H2329" s="1" t="s">
        <v>141</v>
      </c>
      <c r="I2329" s="1" t="s">
        <v>65</v>
      </c>
      <c r="J2329" s="1">
        <v>3</v>
      </c>
      <c r="K2329" s="1" t="s">
        <v>142</v>
      </c>
      <c r="L2329" s="1" t="s">
        <v>153</v>
      </c>
      <c r="M2329" s="1" t="s">
        <v>1256</v>
      </c>
      <c r="N2329" s="1" t="str">
        <f>HYPERLINK("https://klocwork.india.ti.com:443/review/insight-review.html#issuedetails_goto:problemid=121360,project=MCU_PLUS_SDK_AM263X,searchquery=taxonomy:'C and C++' build:Build_Apr_13_2023_11_11_AM grouping:off ","KW Issue Link")</f>
        <v>KW Issue Link</v>
      </c>
      <c r="O2329" s="1" t="s">
        <v>217</v>
      </c>
    </row>
    <row r="2330" spans="1:15" ht="60" x14ac:dyDescent="0.25">
      <c r="A2330" s="1" t="s">
        <v>1252</v>
      </c>
      <c r="B2330" s="1"/>
      <c r="C2330" s="1" t="s">
        <v>230</v>
      </c>
      <c r="D2330" s="1">
        <v>121361</v>
      </c>
      <c r="E2330" s="1">
        <v>343</v>
      </c>
      <c r="F2330" s="1" t="s">
        <v>3376</v>
      </c>
      <c r="G2330" s="1" t="s">
        <v>3377</v>
      </c>
      <c r="H2330" s="1" t="s">
        <v>141</v>
      </c>
      <c r="I2330" s="1" t="s">
        <v>65</v>
      </c>
      <c r="J2330" s="1">
        <v>3</v>
      </c>
      <c r="K2330" s="1" t="s">
        <v>142</v>
      </c>
      <c r="L2330" s="1" t="s">
        <v>153</v>
      </c>
      <c r="M2330" s="1" t="s">
        <v>1256</v>
      </c>
      <c r="N2330" s="1" t="str">
        <f>HYPERLINK("https://klocwork.india.ti.com:443/review/insight-review.html#issuedetails_goto:problemid=121361,project=MCU_PLUS_SDK_AM263X,searchquery=taxonomy:'C and C++' build:Build_Apr_13_2023_11_11_AM grouping:off ","KW Issue Link")</f>
        <v>KW Issue Link</v>
      </c>
      <c r="O2330" s="1" t="s">
        <v>217</v>
      </c>
    </row>
    <row r="2331" spans="1:15" ht="60" x14ac:dyDescent="0.25">
      <c r="A2331" s="1" t="s">
        <v>1257</v>
      </c>
      <c r="B2331" s="1"/>
      <c r="C2331" s="1" t="s">
        <v>230</v>
      </c>
      <c r="D2331" s="1">
        <v>121362</v>
      </c>
      <c r="E2331" s="1">
        <v>743</v>
      </c>
      <c r="F2331" s="1" t="s">
        <v>3378</v>
      </c>
      <c r="G2331" s="1" t="s">
        <v>3379</v>
      </c>
      <c r="H2331" s="1" t="s">
        <v>141</v>
      </c>
      <c r="I2331" s="1" t="s">
        <v>65</v>
      </c>
      <c r="J2331" s="1">
        <v>3</v>
      </c>
      <c r="K2331" s="1" t="s">
        <v>142</v>
      </c>
      <c r="L2331" s="1" t="s">
        <v>153</v>
      </c>
      <c r="M2331" s="1" t="s">
        <v>1256</v>
      </c>
      <c r="N2331" s="1" t="str">
        <f>HYPERLINK("https://klocwork.india.ti.com:443/review/insight-review.html#issuedetails_goto:problemid=121362,project=MCU_PLUS_SDK_AM263X,searchquery=taxonomy:'C and C++' build:Build_Apr_13_2023_11_11_AM grouping:off ","KW Issue Link")</f>
        <v>KW Issue Link</v>
      </c>
      <c r="O2331" s="1" t="s">
        <v>217</v>
      </c>
    </row>
    <row r="2332" spans="1:15" ht="60" x14ac:dyDescent="0.25">
      <c r="A2332" s="1" t="s">
        <v>1266</v>
      </c>
      <c r="B2332" s="1"/>
      <c r="C2332" s="1" t="s">
        <v>230</v>
      </c>
      <c r="D2332" s="1">
        <v>121364</v>
      </c>
      <c r="E2332" s="1">
        <v>743</v>
      </c>
      <c r="F2332" s="1" t="s">
        <v>3380</v>
      </c>
      <c r="G2332" s="1" t="s">
        <v>3379</v>
      </c>
      <c r="H2332" s="1" t="s">
        <v>141</v>
      </c>
      <c r="I2332" s="1" t="s">
        <v>65</v>
      </c>
      <c r="J2332" s="1">
        <v>3</v>
      </c>
      <c r="K2332" s="1" t="s">
        <v>142</v>
      </c>
      <c r="L2332" s="1" t="s">
        <v>153</v>
      </c>
      <c r="M2332" s="1" t="s">
        <v>1256</v>
      </c>
      <c r="N2332" s="1" t="str">
        <f>HYPERLINK("https://klocwork.india.ti.com:443/review/insight-review.html#issuedetails_goto:problemid=121364,project=MCU_PLUS_SDK_AM263X,searchquery=taxonomy:'C and C++' build:Build_Apr_13_2023_11_11_AM grouping:off ","KW Issue Link")</f>
        <v>KW Issue Link</v>
      </c>
      <c r="O2332" s="1" t="s">
        <v>217</v>
      </c>
    </row>
    <row r="2333" spans="1:15" ht="60" x14ac:dyDescent="0.25">
      <c r="A2333" s="1" t="s">
        <v>1257</v>
      </c>
      <c r="B2333" s="1"/>
      <c r="C2333" s="1" t="s">
        <v>1074</v>
      </c>
      <c r="D2333" s="1">
        <v>121365</v>
      </c>
      <c r="E2333" s="1">
        <v>104</v>
      </c>
      <c r="F2333" s="1" t="s">
        <v>3381</v>
      </c>
      <c r="G2333" s="1" t="s">
        <v>3382</v>
      </c>
      <c r="H2333" s="1" t="s">
        <v>141</v>
      </c>
      <c r="I2333" s="1" t="s">
        <v>65</v>
      </c>
      <c r="J2333" s="1">
        <v>3</v>
      </c>
      <c r="K2333" s="1" t="s">
        <v>142</v>
      </c>
      <c r="L2333" s="1" t="s">
        <v>153</v>
      </c>
      <c r="M2333" s="1" t="s">
        <v>1256</v>
      </c>
      <c r="N2333" s="1" t="str">
        <f>HYPERLINK("https://klocwork.india.ti.com:443/review/insight-review.html#issuedetails_goto:problemid=121365,project=MCU_PLUS_SDK_AM263X,searchquery=taxonomy:'C and C++' build:Build_Apr_13_2023_11_11_AM grouping:off ","KW Issue Link")</f>
        <v>KW Issue Link</v>
      </c>
      <c r="O2333" s="1" t="s">
        <v>236</v>
      </c>
    </row>
    <row r="2334" spans="1:15" ht="60" x14ac:dyDescent="0.25">
      <c r="A2334" s="1" t="s">
        <v>1266</v>
      </c>
      <c r="B2334" s="1"/>
      <c r="C2334" s="1" t="s">
        <v>1074</v>
      </c>
      <c r="D2334" s="1">
        <v>121367</v>
      </c>
      <c r="E2334" s="1">
        <v>388</v>
      </c>
      <c r="F2334" s="1" t="s">
        <v>3383</v>
      </c>
      <c r="G2334" s="1" t="s">
        <v>3384</v>
      </c>
      <c r="H2334" s="1" t="s">
        <v>141</v>
      </c>
      <c r="I2334" s="1" t="s">
        <v>65</v>
      </c>
      <c r="J2334" s="1">
        <v>3</v>
      </c>
      <c r="K2334" s="1" t="s">
        <v>142</v>
      </c>
      <c r="L2334" s="1" t="s">
        <v>153</v>
      </c>
      <c r="M2334" s="1" t="s">
        <v>1256</v>
      </c>
      <c r="N2334" s="1" t="str">
        <f>HYPERLINK("https://klocwork.india.ti.com:443/review/insight-review.html#issuedetails_goto:problemid=121367,project=MCU_PLUS_SDK_AM263X,searchquery=taxonomy:'C and C++' build:Build_Apr_13_2023_11_11_AM grouping:off ","KW Issue Link")</f>
        <v>KW Issue Link</v>
      </c>
      <c r="O2334" s="1" t="s">
        <v>236</v>
      </c>
    </row>
    <row r="2335" spans="1:15" ht="60" x14ac:dyDescent="0.25">
      <c r="A2335" s="1" t="s">
        <v>1268</v>
      </c>
      <c r="B2335" s="1"/>
      <c r="C2335" s="1" t="s">
        <v>1074</v>
      </c>
      <c r="D2335" s="1">
        <v>121369</v>
      </c>
      <c r="E2335" s="1">
        <v>388</v>
      </c>
      <c r="F2335" s="1" t="s">
        <v>3385</v>
      </c>
      <c r="G2335" s="1" t="s">
        <v>3384</v>
      </c>
      <c r="H2335" s="1" t="s">
        <v>141</v>
      </c>
      <c r="I2335" s="1" t="s">
        <v>65</v>
      </c>
      <c r="J2335" s="1">
        <v>3</v>
      </c>
      <c r="K2335" s="1" t="s">
        <v>142</v>
      </c>
      <c r="L2335" s="1" t="s">
        <v>153</v>
      </c>
      <c r="M2335" s="1" t="s">
        <v>1256</v>
      </c>
      <c r="N2335" s="1" t="str">
        <f>HYPERLINK("https://klocwork.india.ti.com:443/review/insight-review.html#issuedetails_goto:problemid=121369,project=MCU_PLUS_SDK_AM263X,searchquery=taxonomy:'C and C++' build:Build_Apr_13_2023_11_11_AM grouping:off ","KW Issue Link")</f>
        <v>KW Issue Link</v>
      </c>
      <c r="O2335" s="1" t="s">
        <v>236</v>
      </c>
    </row>
    <row r="2336" spans="1:15" ht="60" x14ac:dyDescent="0.25">
      <c r="A2336" s="1" t="s">
        <v>1266</v>
      </c>
      <c r="B2336" s="1"/>
      <c r="C2336" s="1" t="s">
        <v>234</v>
      </c>
      <c r="D2336" s="1">
        <v>121370</v>
      </c>
      <c r="E2336" s="1">
        <v>255</v>
      </c>
      <c r="F2336" s="1" t="s">
        <v>3386</v>
      </c>
      <c r="G2336" s="1" t="s">
        <v>237</v>
      </c>
      <c r="H2336" s="1" t="s">
        <v>141</v>
      </c>
      <c r="I2336" s="1" t="s">
        <v>65</v>
      </c>
      <c r="J2336" s="1">
        <v>3</v>
      </c>
      <c r="K2336" s="1" t="s">
        <v>142</v>
      </c>
      <c r="L2336" s="1" t="s">
        <v>153</v>
      </c>
      <c r="M2336" s="1" t="s">
        <v>1256</v>
      </c>
      <c r="N2336" s="1" t="str">
        <f>HYPERLINK("https://klocwork.india.ti.com:443/review/insight-review.html#issuedetails_goto:problemid=121370,project=MCU_PLUS_SDK_AM263X,searchquery=taxonomy:'C and C++' build:Build_Apr_13_2023_11_11_AM grouping:off ","KW Issue Link")</f>
        <v>KW Issue Link</v>
      </c>
      <c r="O2336" s="1" t="s">
        <v>236</v>
      </c>
    </row>
    <row r="2337" spans="1:15" ht="60" x14ac:dyDescent="0.25">
      <c r="A2337" s="1" t="s">
        <v>1266</v>
      </c>
      <c r="B2337" s="1"/>
      <c r="C2337" s="1" t="s">
        <v>234</v>
      </c>
      <c r="D2337" s="1">
        <v>121371</v>
      </c>
      <c r="E2337" s="1">
        <v>458</v>
      </c>
      <c r="F2337" s="1" t="s">
        <v>3387</v>
      </c>
      <c r="G2337" s="1" t="s">
        <v>3388</v>
      </c>
      <c r="H2337" s="1" t="s">
        <v>141</v>
      </c>
      <c r="I2337" s="1" t="s">
        <v>65</v>
      </c>
      <c r="J2337" s="1">
        <v>3</v>
      </c>
      <c r="K2337" s="1" t="s">
        <v>142</v>
      </c>
      <c r="L2337" s="1" t="s">
        <v>153</v>
      </c>
      <c r="M2337" s="1" t="s">
        <v>1256</v>
      </c>
      <c r="N2337" s="1" t="str">
        <f>HYPERLINK("https://klocwork.india.ti.com:443/review/insight-review.html#issuedetails_goto:problemid=121371,project=MCU_PLUS_SDK_AM263X,searchquery=taxonomy:'C and C++' build:Build_Apr_13_2023_11_11_AM grouping:off ","KW Issue Link")</f>
        <v>KW Issue Link</v>
      </c>
      <c r="O2337" s="1" t="s">
        <v>236</v>
      </c>
    </row>
    <row r="2338" spans="1:15" ht="60" x14ac:dyDescent="0.25">
      <c r="A2338" s="1" t="s">
        <v>1266</v>
      </c>
      <c r="B2338" s="1"/>
      <c r="C2338" s="1" t="s">
        <v>234</v>
      </c>
      <c r="D2338" s="1">
        <v>121372</v>
      </c>
      <c r="E2338" s="1">
        <v>586</v>
      </c>
      <c r="F2338" s="1" t="s">
        <v>3389</v>
      </c>
      <c r="G2338" s="1" t="s">
        <v>3390</v>
      </c>
      <c r="H2338" s="1" t="s">
        <v>141</v>
      </c>
      <c r="I2338" s="1" t="s">
        <v>65</v>
      </c>
      <c r="J2338" s="1">
        <v>3</v>
      </c>
      <c r="K2338" s="1" t="s">
        <v>142</v>
      </c>
      <c r="L2338" s="1" t="s">
        <v>153</v>
      </c>
      <c r="M2338" s="1" t="s">
        <v>1256</v>
      </c>
      <c r="N2338" s="1" t="str">
        <f>HYPERLINK("https://klocwork.india.ti.com:443/review/insight-review.html#issuedetails_goto:problemid=121372,project=MCU_PLUS_SDK_AM263X,searchquery=taxonomy:'C and C++' build:Build_Apr_13_2023_11_11_AM grouping:off ","KW Issue Link")</f>
        <v>KW Issue Link</v>
      </c>
      <c r="O2338" s="1" t="s">
        <v>236</v>
      </c>
    </row>
    <row r="2339" spans="1:15" ht="60" x14ac:dyDescent="0.25">
      <c r="A2339" s="1" t="s">
        <v>1268</v>
      </c>
      <c r="B2339" s="1"/>
      <c r="C2339" s="1" t="s">
        <v>234</v>
      </c>
      <c r="D2339" s="1">
        <v>121374</v>
      </c>
      <c r="E2339" s="1">
        <v>255</v>
      </c>
      <c r="F2339" s="1" t="s">
        <v>3391</v>
      </c>
      <c r="G2339" s="1" t="s">
        <v>237</v>
      </c>
      <c r="H2339" s="1" t="s">
        <v>141</v>
      </c>
      <c r="I2339" s="1" t="s">
        <v>65</v>
      </c>
      <c r="J2339" s="1">
        <v>3</v>
      </c>
      <c r="K2339" s="1" t="s">
        <v>142</v>
      </c>
      <c r="L2339" s="1" t="s">
        <v>153</v>
      </c>
      <c r="M2339" s="1" t="s">
        <v>1256</v>
      </c>
      <c r="N2339" s="1" t="str">
        <f>HYPERLINK("https://klocwork.india.ti.com:443/review/insight-review.html#issuedetails_goto:problemid=121374,project=MCU_PLUS_SDK_AM263X,searchquery=taxonomy:'C and C++' build:Build_Apr_13_2023_11_11_AM grouping:off ","KW Issue Link")</f>
        <v>KW Issue Link</v>
      </c>
      <c r="O2339" s="1" t="s">
        <v>236</v>
      </c>
    </row>
    <row r="2340" spans="1:15" ht="60" x14ac:dyDescent="0.25">
      <c r="A2340" s="1" t="s">
        <v>1268</v>
      </c>
      <c r="B2340" s="1"/>
      <c r="C2340" s="1" t="s">
        <v>234</v>
      </c>
      <c r="D2340" s="1">
        <v>121376</v>
      </c>
      <c r="E2340" s="1">
        <v>458</v>
      </c>
      <c r="F2340" s="1" t="s">
        <v>3392</v>
      </c>
      <c r="G2340" s="1" t="s">
        <v>3388</v>
      </c>
      <c r="H2340" s="1" t="s">
        <v>141</v>
      </c>
      <c r="I2340" s="1" t="s">
        <v>65</v>
      </c>
      <c r="J2340" s="1">
        <v>3</v>
      </c>
      <c r="K2340" s="1" t="s">
        <v>142</v>
      </c>
      <c r="L2340" s="1" t="s">
        <v>153</v>
      </c>
      <c r="M2340" s="1" t="s">
        <v>1256</v>
      </c>
      <c r="N2340" s="1" t="str">
        <f>HYPERLINK("https://klocwork.india.ti.com:443/review/insight-review.html#issuedetails_goto:problemid=121376,project=MCU_PLUS_SDK_AM263X,searchquery=taxonomy:'C and C++' build:Build_Apr_13_2023_11_11_AM grouping:off ","KW Issue Link")</f>
        <v>KW Issue Link</v>
      </c>
      <c r="O2340" s="1" t="s">
        <v>236</v>
      </c>
    </row>
    <row r="2341" spans="1:15" ht="60" x14ac:dyDescent="0.25">
      <c r="A2341" s="1" t="s">
        <v>1268</v>
      </c>
      <c r="B2341" s="1"/>
      <c r="C2341" s="1" t="s">
        <v>234</v>
      </c>
      <c r="D2341" s="1">
        <v>121377</v>
      </c>
      <c r="E2341" s="1">
        <v>586</v>
      </c>
      <c r="F2341" s="1" t="s">
        <v>3393</v>
      </c>
      <c r="G2341" s="1" t="s">
        <v>3390</v>
      </c>
      <c r="H2341" s="1" t="s">
        <v>141</v>
      </c>
      <c r="I2341" s="1" t="s">
        <v>65</v>
      </c>
      <c r="J2341" s="1">
        <v>3</v>
      </c>
      <c r="K2341" s="1" t="s">
        <v>142</v>
      </c>
      <c r="L2341" s="1" t="s">
        <v>153</v>
      </c>
      <c r="M2341" s="1" t="s">
        <v>1256</v>
      </c>
      <c r="N2341" s="1" t="str">
        <f>HYPERLINK("https://klocwork.india.ti.com:443/review/insight-review.html#issuedetails_goto:problemid=121377,project=MCU_PLUS_SDK_AM263X,searchquery=taxonomy:'C and C++' build:Build_Apr_13_2023_11_11_AM grouping:off ","KW Issue Link")</f>
        <v>KW Issue Link</v>
      </c>
      <c r="O2341" s="1" t="s">
        <v>236</v>
      </c>
    </row>
    <row r="2342" spans="1:15" ht="60" x14ac:dyDescent="0.25">
      <c r="A2342" s="1" t="s">
        <v>1257</v>
      </c>
      <c r="B2342" s="1"/>
      <c r="C2342" s="1" t="s">
        <v>234</v>
      </c>
      <c r="D2342" s="1">
        <v>121379</v>
      </c>
      <c r="E2342" s="1">
        <v>458</v>
      </c>
      <c r="F2342" s="1" t="s">
        <v>3394</v>
      </c>
      <c r="G2342" s="1" t="s">
        <v>3388</v>
      </c>
      <c r="H2342" s="1" t="s">
        <v>141</v>
      </c>
      <c r="I2342" s="1" t="s">
        <v>65</v>
      </c>
      <c r="J2342" s="1">
        <v>3</v>
      </c>
      <c r="K2342" s="1" t="s">
        <v>142</v>
      </c>
      <c r="L2342" s="1" t="s">
        <v>153</v>
      </c>
      <c r="M2342" s="1" t="s">
        <v>1256</v>
      </c>
      <c r="N2342" s="1" t="str">
        <f>HYPERLINK("https://klocwork.india.ti.com:443/review/insight-review.html#issuedetails_goto:problemid=121379,project=MCU_PLUS_SDK_AM263X,searchquery=taxonomy:'C and C++' build:Build_Apr_13_2023_11_11_AM grouping:off ","KW Issue Link")</f>
        <v>KW Issue Link</v>
      </c>
      <c r="O2342" s="1" t="s">
        <v>236</v>
      </c>
    </row>
    <row r="2343" spans="1:15" ht="60" x14ac:dyDescent="0.25">
      <c r="A2343" s="1" t="s">
        <v>1257</v>
      </c>
      <c r="B2343" s="1"/>
      <c r="C2343" s="1" t="s">
        <v>234</v>
      </c>
      <c r="D2343" s="1">
        <v>121380</v>
      </c>
      <c r="E2343" s="1">
        <v>586</v>
      </c>
      <c r="F2343" s="1" t="s">
        <v>3395</v>
      </c>
      <c r="G2343" s="1" t="s">
        <v>3390</v>
      </c>
      <c r="H2343" s="1" t="s">
        <v>141</v>
      </c>
      <c r="I2343" s="1" t="s">
        <v>65</v>
      </c>
      <c r="J2343" s="1">
        <v>3</v>
      </c>
      <c r="K2343" s="1" t="s">
        <v>142</v>
      </c>
      <c r="L2343" s="1" t="s">
        <v>153</v>
      </c>
      <c r="M2343" s="1" t="s">
        <v>1256</v>
      </c>
      <c r="N2343" s="1" t="str">
        <f>HYPERLINK("https://klocwork.india.ti.com:443/review/insight-review.html#issuedetails_goto:problemid=121380,project=MCU_PLUS_SDK_AM263X,searchquery=taxonomy:'C and C++' build:Build_Apr_13_2023_11_11_AM grouping:off ","KW Issue Link")</f>
        <v>KW Issue Link</v>
      </c>
      <c r="O2343" s="1" t="s">
        <v>236</v>
      </c>
    </row>
    <row r="2344" spans="1:15" ht="60" x14ac:dyDescent="0.25">
      <c r="A2344" s="1" t="s">
        <v>1257</v>
      </c>
      <c r="B2344" s="1"/>
      <c r="C2344" s="1" t="s">
        <v>234</v>
      </c>
      <c r="D2344" s="1">
        <v>121382</v>
      </c>
      <c r="E2344" s="1">
        <v>2306</v>
      </c>
      <c r="F2344" s="1" t="s">
        <v>3396</v>
      </c>
      <c r="G2344" s="1" t="s">
        <v>3397</v>
      </c>
      <c r="H2344" s="1" t="s">
        <v>141</v>
      </c>
      <c r="I2344" s="1" t="s">
        <v>65</v>
      </c>
      <c r="J2344" s="1">
        <v>3</v>
      </c>
      <c r="K2344" s="1" t="s">
        <v>142</v>
      </c>
      <c r="L2344" s="1" t="s">
        <v>153</v>
      </c>
      <c r="M2344" s="1" t="s">
        <v>1256</v>
      </c>
      <c r="N2344" s="1" t="str">
        <f>HYPERLINK("https://klocwork.india.ti.com:443/review/insight-review.html#issuedetails_goto:problemid=121382,project=MCU_PLUS_SDK_AM263X,searchquery=taxonomy:'C and C++' build:Build_Apr_13_2023_11_11_AM grouping:off ","KW Issue Link")</f>
        <v>KW Issue Link</v>
      </c>
      <c r="O2344" s="1" t="s">
        <v>236</v>
      </c>
    </row>
    <row r="2345" spans="1:15" ht="60" x14ac:dyDescent="0.25">
      <c r="A2345" s="1" t="s">
        <v>1257</v>
      </c>
      <c r="B2345" s="1"/>
      <c r="C2345" s="1" t="s">
        <v>929</v>
      </c>
      <c r="D2345" s="1">
        <v>121384</v>
      </c>
      <c r="E2345" s="1">
        <v>194</v>
      </c>
      <c r="F2345" s="1" t="s">
        <v>3398</v>
      </c>
      <c r="G2345" s="1" t="s">
        <v>933</v>
      </c>
      <c r="H2345" s="1" t="s">
        <v>141</v>
      </c>
      <c r="I2345" s="1" t="s">
        <v>65</v>
      </c>
      <c r="J2345" s="1">
        <v>3</v>
      </c>
      <c r="K2345" s="1" t="s">
        <v>142</v>
      </c>
      <c r="L2345" s="1" t="s">
        <v>153</v>
      </c>
      <c r="M2345" s="1" t="s">
        <v>1256</v>
      </c>
      <c r="N2345" s="1" t="str">
        <f>HYPERLINK("https://klocwork.india.ti.com:443/review/insight-review.html#issuedetails_goto:problemid=121384,project=MCU_PLUS_SDK_AM263X,searchquery=taxonomy:'C and C++' build:Build_Apr_13_2023_11_11_AM grouping:off ","KW Issue Link")</f>
        <v>KW Issue Link</v>
      </c>
      <c r="O2345" s="1" t="s">
        <v>291</v>
      </c>
    </row>
    <row r="2346" spans="1:15" ht="60" x14ac:dyDescent="0.25">
      <c r="A2346" s="1" t="s">
        <v>1257</v>
      </c>
      <c r="B2346" s="1"/>
      <c r="C2346" s="1" t="s">
        <v>929</v>
      </c>
      <c r="D2346" s="1">
        <v>121386</v>
      </c>
      <c r="E2346" s="1">
        <v>520</v>
      </c>
      <c r="F2346" s="1" t="s">
        <v>3399</v>
      </c>
      <c r="G2346" s="1" t="s">
        <v>942</v>
      </c>
      <c r="H2346" s="1" t="s">
        <v>141</v>
      </c>
      <c r="I2346" s="1" t="s">
        <v>65</v>
      </c>
      <c r="J2346" s="1">
        <v>3</v>
      </c>
      <c r="K2346" s="1" t="s">
        <v>142</v>
      </c>
      <c r="L2346" s="1" t="s">
        <v>153</v>
      </c>
      <c r="M2346" s="1" t="s">
        <v>1256</v>
      </c>
      <c r="N2346" s="1" t="str">
        <f>HYPERLINK("https://klocwork.india.ti.com:443/review/insight-review.html#issuedetails_goto:problemid=121386,project=MCU_PLUS_SDK_AM263X,searchquery=taxonomy:'C and C++' build:Build_Apr_13_2023_11_11_AM grouping:off ","KW Issue Link")</f>
        <v>KW Issue Link</v>
      </c>
      <c r="O2346" s="1" t="s">
        <v>291</v>
      </c>
    </row>
    <row r="2347" spans="1:15" ht="60" x14ac:dyDescent="0.25">
      <c r="A2347" s="1" t="s">
        <v>1257</v>
      </c>
      <c r="B2347" s="1"/>
      <c r="C2347" s="1" t="s">
        <v>929</v>
      </c>
      <c r="D2347" s="1">
        <v>121388</v>
      </c>
      <c r="E2347" s="1">
        <v>699</v>
      </c>
      <c r="F2347" s="1" t="s">
        <v>3400</v>
      </c>
      <c r="G2347" s="1" t="s">
        <v>938</v>
      </c>
      <c r="H2347" s="1" t="s">
        <v>141</v>
      </c>
      <c r="I2347" s="1" t="s">
        <v>65</v>
      </c>
      <c r="J2347" s="1">
        <v>3</v>
      </c>
      <c r="K2347" s="1" t="s">
        <v>142</v>
      </c>
      <c r="L2347" s="1" t="s">
        <v>153</v>
      </c>
      <c r="M2347" s="1" t="s">
        <v>1256</v>
      </c>
      <c r="N2347" s="1" t="str">
        <f>HYPERLINK("https://klocwork.india.ti.com:443/review/insight-review.html#issuedetails_goto:problemid=121388,project=MCU_PLUS_SDK_AM263X,searchquery=taxonomy:'C and C++' build:Build_Apr_13_2023_11_11_AM grouping:off ","KW Issue Link")</f>
        <v>KW Issue Link</v>
      </c>
      <c r="O2347" s="1" t="s">
        <v>291</v>
      </c>
    </row>
    <row r="2348" spans="1:15" ht="60" x14ac:dyDescent="0.25">
      <c r="A2348" s="1" t="s">
        <v>1257</v>
      </c>
      <c r="B2348" s="1"/>
      <c r="C2348" s="1" t="s">
        <v>929</v>
      </c>
      <c r="D2348" s="1">
        <v>121389</v>
      </c>
      <c r="E2348" s="1">
        <v>932</v>
      </c>
      <c r="F2348" s="1" t="s">
        <v>3401</v>
      </c>
      <c r="G2348" s="1" t="s">
        <v>3402</v>
      </c>
      <c r="H2348" s="1" t="s">
        <v>141</v>
      </c>
      <c r="I2348" s="1" t="s">
        <v>65</v>
      </c>
      <c r="J2348" s="1">
        <v>3</v>
      </c>
      <c r="K2348" s="1" t="s">
        <v>142</v>
      </c>
      <c r="L2348" s="1" t="s">
        <v>153</v>
      </c>
      <c r="M2348" s="1" t="s">
        <v>1256</v>
      </c>
      <c r="N2348" s="1" t="str">
        <f>HYPERLINK("https://klocwork.india.ti.com:443/review/insight-review.html#issuedetails_goto:problemid=121389,project=MCU_PLUS_SDK_AM263X,searchquery=taxonomy:'C and C++' build:Build_Apr_13_2023_11_11_AM grouping:off ","KW Issue Link")</f>
        <v>KW Issue Link</v>
      </c>
      <c r="O2348" s="1" t="s">
        <v>291</v>
      </c>
    </row>
    <row r="2349" spans="1:15" ht="60" x14ac:dyDescent="0.25">
      <c r="A2349" s="1" t="s">
        <v>1257</v>
      </c>
      <c r="B2349" s="1"/>
      <c r="C2349" s="1" t="s">
        <v>929</v>
      </c>
      <c r="D2349" s="1">
        <v>121390</v>
      </c>
      <c r="E2349" s="1">
        <v>1071</v>
      </c>
      <c r="F2349" s="1" t="s">
        <v>3403</v>
      </c>
      <c r="G2349" s="1" t="s">
        <v>3404</v>
      </c>
      <c r="H2349" s="1" t="s">
        <v>141</v>
      </c>
      <c r="I2349" s="1" t="s">
        <v>65</v>
      </c>
      <c r="J2349" s="1">
        <v>3</v>
      </c>
      <c r="K2349" s="1" t="s">
        <v>142</v>
      </c>
      <c r="L2349" s="1" t="s">
        <v>153</v>
      </c>
      <c r="M2349" s="1" t="s">
        <v>1256</v>
      </c>
      <c r="N2349" s="1" t="str">
        <f>HYPERLINK("https://klocwork.india.ti.com:443/review/insight-review.html#issuedetails_goto:problemid=121390,project=MCU_PLUS_SDK_AM263X,searchquery=taxonomy:'C and C++' build:Build_Apr_13_2023_11_11_AM grouping:off ","KW Issue Link")</f>
        <v>KW Issue Link</v>
      </c>
      <c r="O2349" s="1" t="s">
        <v>291</v>
      </c>
    </row>
    <row r="2350" spans="1:15" ht="60" x14ac:dyDescent="0.25">
      <c r="A2350" s="1" t="s">
        <v>1266</v>
      </c>
      <c r="B2350" s="1"/>
      <c r="C2350" s="1" t="s">
        <v>929</v>
      </c>
      <c r="D2350" s="1">
        <v>121394</v>
      </c>
      <c r="E2350" s="1">
        <v>130</v>
      </c>
      <c r="F2350" s="1" t="s">
        <v>3405</v>
      </c>
      <c r="G2350" s="1" t="s">
        <v>931</v>
      </c>
      <c r="H2350" s="1" t="s">
        <v>141</v>
      </c>
      <c r="I2350" s="1" t="s">
        <v>65</v>
      </c>
      <c r="J2350" s="1">
        <v>3</v>
      </c>
      <c r="K2350" s="1" t="s">
        <v>142</v>
      </c>
      <c r="L2350" s="1" t="s">
        <v>153</v>
      </c>
      <c r="M2350" s="1" t="s">
        <v>1256</v>
      </c>
      <c r="N2350" s="1" t="str">
        <f>HYPERLINK("https://klocwork.india.ti.com:443/review/insight-review.html#issuedetails_goto:problemid=121394,project=MCU_PLUS_SDK_AM263X,searchquery=taxonomy:'C and C++' build:Build_Apr_13_2023_11_11_AM grouping:off ","KW Issue Link")</f>
        <v>KW Issue Link</v>
      </c>
      <c r="O2350" s="1" t="s">
        <v>291</v>
      </c>
    </row>
    <row r="2351" spans="1:15" ht="60" x14ac:dyDescent="0.25">
      <c r="A2351" s="1" t="s">
        <v>1266</v>
      </c>
      <c r="B2351" s="1"/>
      <c r="C2351" s="1" t="s">
        <v>929</v>
      </c>
      <c r="D2351" s="1">
        <v>121395</v>
      </c>
      <c r="E2351" s="1">
        <v>194</v>
      </c>
      <c r="F2351" s="1" t="s">
        <v>3406</v>
      </c>
      <c r="G2351" s="1" t="s">
        <v>933</v>
      </c>
      <c r="H2351" s="1" t="s">
        <v>141</v>
      </c>
      <c r="I2351" s="1" t="s">
        <v>65</v>
      </c>
      <c r="J2351" s="1">
        <v>3</v>
      </c>
      <c r="K2351" s="1" t="s">
        <v>142</v>
      </c>
      <c r="L2351" s="1" t="s">
        <v>153</v>
      </c>
      <c r="M2351" s="1" t="s">
        <v>1256</v>
      </c>
      <c r="N2351" s="1" t="str">
        <f>HYPERLINK("https://klocwork.india.ti.com:443/review/insight-review.html#issuedetails_goto:problemid=121395,project=MCU_PLUS_SDK_AM263X,searchquery=taxonomy:'C and C++' build:Build_Apr_13_2023_11_11_AM grouping:off ","KW Issue Link")</f>
        <v>KW Issue Link</v>
      </c>
      <c r="O2351" s="1" t="s">
        <v>291</v>
      </c>
    </row>
    <row r="2352" spans="1:15" ht="60" x14ac:dyDescent="0.25">
      <c r="A2352" s="1" t="s">
        <v>1266</v>
      </c>
      <c r="B2352" s="1"/>
      <c r="C2352" s="1" t="s">
        <v>929</v>
      </c>
      <c r="D2352" s="1">
        <v>121397</v>
      </c>
      <c r="E2352" s="1">
        <v>520</v>
      </c>
      <c r="F2352" s="1" t="s">
        <v>3407</v>
      </c>
      <c r="G2352" s="1" t="s">
        <v>942</v>
      </c>
      <c r="H2352" s="1" t="s">
        <v>141</v>
      </c>
      <c r="I2352" s="1" t="s">
        <v>65</v>
      </c>
      <c r="J2352" s="1">
        <v>3</v>
      </c>
      <c r="K2352" s="1" t="s">
        <v>142</v>
      </c>
      <c r="L2352" s="1" t="s">
        <v>153</v>
      </c>
      <c r="M2352" s="1" t="s">
        <v>1256</v>
      </c>
      <c r="N2352" s="1" t="str">
        <f>HYPERLINK("https://klocwork.india.ti.com:443/review/insight-review.html#issuedetails_goto:problemid=121397,project=MCU_PLUS_SDK_AM263X,searchquery=taxonomy:'C and C++' build:Build_Apr_13_2023_11_11_AM grouping:off ","KW Issue Link")</f>
        <v>KW Issue Link</v>
      </c>
      <c r="O2352" s="1" t="s">
        <v>291</v>
      </c>
    </row>
    <row r="2353" spans="1:15" ht="60" x14ac:dyDescent="0.25">
      <c r="A2353" s="1" t="s">
        <v>1266</v>
      </c>
      <c r="B2353" s="1"/>
      <c r="C2353" s="1" t="s">
        <v>929</v>
      </c>
      <c r="D2353" s="1">
        <v>121398</v>
      </c>
      <c r="E2353" s="1">
        <v>624</v>
      </c>
      <c r="F2353" s="1" t="s">
        <v>3408</v>
      </c>
      <c r="G2353" s="1" t="s">
        <v>943</v>
      </c>
      <c r="H2353" s="1" t="s">
        <v>141</v>
      </c>
      <c r="I2353" s="1" t="s">
        <v>65</v>
      </c>
      <c r="J2353" s="1">
        <v>3</v>
      </c>
      <c r="K2353" s="1" t="s">
        <v>142</v>
      </c>
      <c r="L2353" s="1" t="s">
        <v>153</v>
      </c>
      <c r="M2353" s="1" t="s">
        <v>1256</v>
      </c>
      <c r="N2353" s="1" t="str">
        <f>HYPERLINK("https://klocwork.india.ti.com:443/review/insight-review.html#issuedetails_goto:problemid=121398,project=MCU_PLUS_SDK_AM263X,searchquery=taxonomy:'C and C++' build:Build_Apr_13_2023_11_11_AM grouping:off ","KW Issue Link")</f>
        <v>KW Issue Link</v>
      </c>
      <c r="O2353" s="1" t="s">
        <v>291</v>
      </c>
    </row>
    <row r="2354" spans="1:15" ht="60" x14ac:dyDescent="0.25">
      <c r="A2354" s="1" t="s">
        <v>1266</v>
      </c>
      <c r="B2354" s="1"/>
      <c r="C2354" s="1" t="s">
        <v>929</v>
      </c>
      <c r="D2354" s="1">
        <v>121399</v>
      </c>
      <c r="E2354" s="1">
        <v>699</v>
      </c>
      <c r="F2354" s="1" t="s">
        <v>3409</v>
      </c>
      <c r="G2354" s="1" t="s">
        <v>938</v>
      </c>
      <c r="H2354" s="1" t="s">
        <v>141</v>
      </c>
      <c r="I2354" s="1" t="s">
        <v>65</v>
      </c>
      <c r="J2354" s="1">
        <v>3</v>
      </c>
      <c r="K2354" s="1" t="s">
        <v>142</v>
      </c>
      <c r="L2354" s="1" t="s">
        <v>153</v>
      </c>
      <c r="M2354" s="1" t="s">
        <v>1256</v>
      </c>
      <c r="N2354" s="1" t="str">
        <f>HYPERLINK("https://klocwork.india.ti.com:443/review/insight-review.html#issuedetails_goto:problemid=121399,project=MCU_PLUS_SDK_AM263X,searchquery=taxonomy:'C and C++' build:Build_Apr_13_2023_11_11_AM grouping:off ","KW Issue Link")</f>
        <v>KW Issue Link</v>
      </c>
      <c r="O2354" s="1" t="s">
        <v>291</v>
      </c>
    </row>
    <row r="2355" spans="1:15" ht="60" x14ac:dyDescent="0.25">
      <c r="A2355" s="1" t="s">
        <v>1266</v>
      </c>
      <c r="B2355" s="1"/>
      <c r="C2355" s="1" t="s">
        <v>929</v>
      </c>
      <c r="D2355" s="1">
        <v>121400</v>
      </c>
      <c r="E2355" s="1">
        <v>932</v>
      </c>
      <c r="F2355" s="1" t="s">
        <v>3410</v>
      </c>
      <c r="G2355" s="1" t="s">
        <v>3402</v>
      </c>
      <c r="H2355" s="1" t="s">
        <v>141</v>
      </c>
      <c r="I2355" s="1" t="s">
        <v>65</v>
      </c>
      <c r="J2355" s="1">
        <v>3</v>
      </c>
      <c r="K2355" s="1" t="s">
        <v>142</v>
      </c>
      <c r="L2355" s="1" t="s">
        <v>153</v>
      </c>
      <c r="M2355" s="1" t="s">
        <v>1256</v>
      </c>
      <c r="N2355" s="1" t="str">
        <f>HYPERLINK("https://klocwork.india.ti.com:443/review/insight-review.html#issuedetails_goto:problemid=121400,project=MCU_PLUS_SDK_AM263X,searchquery=taxonomy:'C and C++' build:Build_Apr_13_2023_11_11_AM grouping:off ","KW Issue Link")</f>
        <v>KW Issue Link</v>
      </c>
      <c r="O2355" s="1" t="s">
        <v>291</v>
      </c>
    </row>
    <row r="2356" spans="1:15" ht="60" x14ac:dyDescent="0.25">
      <c r="A2356" s="1" t="s">
        <v>1266</v>
      </c>
      <c r="B2356" s="1"/>
      <c r="C2356" s="1" t="s">
        <v>929</v>
      </c>
      <c r="D2356" s="1">
        <v>121401</v>
      </c>
      <c r="E2356" s="1">
        <v>1071</v>
      </c>
      <c r="F2356" s="1" t="s">
        <v>3411</v>
      </c>
      <c r="G2356" s="1" t="s">
        <v>3404</v>
      </c>
      <c r="H2356" s="1" t="s">
        <v>141</v>
      </c>
      <c r="I2356" s="1" t="s">
        <v>65</v>
      </c>
      <c r="J2356" s="1">
        <v>3</v>
      </c>
      <c r="K2356" s="1" t="s">
        <v>142</v>
      </c>
      <c r="L2356" s="1" t="s">
        <v>153</v>
      </c>
      <c r="M2356" s="1" t="s">
        <v>1256</v>
      </c>
      <c r="N2356" s="1" t="str">
        <f>HYPERLINK("https://klocwork.india.ti.com:443/review/insight-review.html#issuedetails_goto:problemid=121401,project=MCU_PLUS_SDK_AM263X,searchquery=taxonomy:'C and C++' build:Build_Apr_13_2023_11_11_AM grouping:off ","KW Issue Link")</f>
        <v>KW Issue Link</v>
      </c>
      <c r="O2356" s="1" t="s">
        <v>291</v>
      </c>
    </row>
    <row r="2357" spans="1:15" ht="60" x14ac:dyDescent="0.25">
      <c r="A2357" s="1" t="s">
        <v>1268</v>
      </c>
      <c r="B2357" s="1"/>
      <c r="C2357" s="1" t="s">
        <v>929</v>
      </c>
      <c r="D2357" s="1">
        <v>121402</v>
      </c>
      <c r="E2357" s="1">
        <v>130</v>
      </c>
      <c r="F2357" s="1" t="s">
        <v>3412</v>
      </c>
      <c r="G2357" s="1" t="s">
        <v>931</v>
      </c>
      <c r="H2357" s="1" t="s">
        <v>141</v>
      </c>
      <c r="I2357" s="1" t="s">
        <v>65</v>
      </c>
      <c r="J2357" s="1">
        <v>3</v>
      </c>
      <c r="K2357" s="1" t="s">
        <v>142</v>
      </c>
      <c r="L2357" s="1" t="s">
        <v>153</v>
      </c>
      <c r="M2357" s="1" t="s">
        <v>1256</v>
      </c>
      <c r="N2357" s="1" t="str">
        <f>HYPERLINK("https://klocwork.india.ti.com:443/review/insight-review.html#issuedetails_goto:problemid=121402,project=MCU_PLUS_SDK_AM263X,searchquery=taxonomy:'C and C++' build:Build_Apr_13_2023_11_11_AM grouping:off ","KW Issue Link")</f>
        <v>KW Issue Link</v>
      </c>
      <c r="O2357" s="1" t="s">
        <v>291</v>
      </c>
    </row>
    <row r="2358" spans="1:15" ht="60" x14ac:dyDescent="0.25">
      <c r="A2358" s="1" t="s">
        <v>1268</v>
      </c>
      <c r="B2358" s="1"/>
      <c r="C2358" s="1" t="s">
        <v>929</v>
      </c>
      <c r="D2358" s="1">
        <v>121403</v>
      </c>
      <c r="E2358" s="1">
        <v>194</v>
      </c>
      <c r="F2358" s="1" t="s">
        <v>3413</v>
      </c>
      <c r="G2358" s="1" t="s">
        <v>933</v>
      </c>
      <c r="H2358" s="1" t="s">
        <v>141</v>
      </c>
      <c r="I2358" s="1" t="s">
        <v>65</v>
      </c>
      <c r="J2358" s="1">
        <v>3</v>
      </c>
      <c r="K2358" s="1" t="s">
        <v>142</v>
      </c>
      <c r="L2358" s="1" t="s">
        <v>153</v>
      </c>
      <c r="M2358" s="1" t="s">
        <v>1256</v>
      </c>
      <c r="N2358" s="1" t="str">
        <f>HYPERLINK("https://klocwork.india.ti.com:443/review/insight-review.html#issuedetails_goto:problemid=121403,project=MCU_PLUS_SDK_AM263X,searchquery=taxonomy:'C and C++' build:Build_Apr_13_2023_11_11_AM grouping:off ","KW Issue Link")</f>
        <v>KW Issue Link</v>
      </c>
      <c r="O2358" s="1" t="s">
        <v>291</v>
      </c>
    </row>
    <row r="2359" spans="1:15" ht="60" x14ac:dyDescent="0.25">
      <c r="A2359" s="1" t="s">
        <v>1268</v>
      </c>
      <c r="B2359" s="1"/>
      <c r="C2359" s="1" t="s">
        <v>929</v>
      </c>
      <c r="D2359" s="1">
        <v>121404</v>
      </c>
      <c r="E2359" s="1">
        <v>520</v>
      </c>
      <c r="F2359" s="1" t="s">
        <v>3414</v>
      </c>
      <c r="G2359" s="1" t="s">
        <v>942</v>
      </c>
      <c r="H2359" s="1" t="s">
        <v>141</v>
      </c>
      <c r="I2359" s="1" t="s">
        <v>65</v>
      </c>
      <c r="J2359" s="1">
        <v>3</v>
      </c>
      <c r="K2359" s="1" t="s">
        <v>142</v>
      </c>
      <c r="L2359" s="1" t="s">
        <v>153</v>
      </c>
      <c r="M2359" s="1" t="s">
        <v>1256</v>
      </c>
      <c r="N2359" s="1" t="str">
        <f>HYPERLINK("https://klocwork.india.ti.com:443/review/insight-review.html#issuedetails_goto:problemid=121404,project=MCU_PLUS_SDK_AM263X,searchquery=taxonomy:'C and C++' build:Build_Apr_13_2023_11_11_AM grouping:off ","KW Issue Link")</f>
        <v>KW Issue Link</v>
      </c>
      <c r="O2359" s="1" t="s">
        <v>291</v>
      </c>
    </row>
    <row r="2360" spans="1:15" ht="60" x14ac:dyDescent="0.25">
      <c r="A2360" s="1" t="s">
        <v>1268</v>
      </c>
      <c r="B2360" s="1"/>
      <c r="C2360" s="1" t="s">
        <v>929</v>
      </c>
      <c r="D2360" s="1">
        <v>121405</v>
      </c>
      <c r="E2360" s="1">
        <v>624</v>
      </c>
      <c r="F2360" s="1" t="s">
        <v>3415</v>
      </c>
      <c r="G2360" s="1" t="s">
        <v>943</v>
      </c>
      <c r="H2360" s="1" t="s">
        <v>141</v>
      </c>
      <c r="I2360" s="1" t="s">
        <v>65</v>
      </c>
      <c r="J2360" s="1">
        <v>3</v>
      </c>
      <c r="K2360" s="1" t="s">
        <v>142</v>
      </c>
      <c r="L2360" s="1" t="s">
        <v>153</v>
      </c>
      <c r="M2360" s="1" t="s">
        <v>1256</v>
      </c>
      <c r="N2360" s="1" t="str">
        <f>HYPERLINK("https://klocwork.india.ti.com:443/review/insight-review.html#issuedetails_goto:problemid=121405,project=MCU_PLUS_SDK_AM263X,searchquery=taxonomy:'C and C++' build:Build_Apr_13_2023_11_11_AM grouping:off ","KW Issue Link")</f>
        <v>KW Issue Link</v>
      </c>
      <c r="O2360" s="1" t="s">
        <v>291</v>
      </c>
    </row>
    <row r="2361" spans="1:15" ht="60" x14ac:dyDescent="0.25">
      <c r="A2361" s="1" t="s">
        <v>1268</v>
      </c>
      <c r="B2361" s="1"/>
      <c r="C2361" s="1" t="s">
        <v>929</v>
      </c>
      <c r="D2361" s="1">
        <v>121406</v>
      </c>
      <c r="E2361" s="1">
        <v>699</v>
      </c>
      <c r="F2361" s="1" t="s">
        <v>3416</v>
      </c>
      <c r="G2361" s="1" t="s">
        <v>938</v>
      </c>
      <c r="H2361" s="1" t="s">
        <v>141</v>
      </c>
      <c r="I2361" s="1" t="s">
        <v>65</v>
      </c>
      <c r="J2361" s="1">
        <v>3</v>
      </c>
      <c r="K2361" s="1" t="s">
        <v>142</v>
      </c>
      <c r="L2361" s="1" t="s">
        <v>153</v>
      </c>
      <c r="M2361" s="1" t="s">
        <v>1256</v>
      </c>
      <c r="N2361" s="1" t="str">
        <f>HYPERLINK("https://klocwork.india.ti.com:443/review/insight-review.html#issuedetails_goto:problemid=121406,project=MCU_PLUS_SDK_AM263X,searchquery=taxonomy:'C and C++' build:Build_Apr_13_2023_11_11_AM grouping:off ","KW Issue Link")</f>
        <v>KW Issue Link</v>
      </c>
      <c r="O2361" s="1" t="s">
        <v>291</v>
      </c>
    </row>
    <row r="2362" spans="1:15" ht="60" x14ac:dyDescent="0.25">
      <c r="A2362" s="1" t="s">
        <v>1268</v>
      </c>
      <c r="B2362" s="1"/>
      <c r="C2362" s="1" t="s">
        <v>929</v>
      </c>
      <c r="D2362" s="1">
        <v>121407</v>
      </c>
      <c r="E2362" s="1">
        <v>932</v>
      </c>
      <c r="F2362" s="1" t="s">
        <v>3417</v>
      </c>
      <c r="G2362" s="1" t="s">
        <v>3402</v>
      </c>
      <c r="H2362" s="1" t="s">
        <v>141</v>
      </c>
      <c r="I2362" s="1" t="s">
        <v>65</v>
      </c>
      <c r="J2362" s="1">
        <v>3</v>
      </c>
      <c r="K2362" s="1" t="s">
        <v>142</v>
      </c>
      <c r="L2362" s="1" t="s">
        <v>153</v>
      </c>
      <c r="M2362" s="1" t="s">
        <v>1256</v>
      </c>
      <c r="N2362" s="1" t="str">
        <f>HYPERLINK("https://klocwork.india.ti.com:443/review/insight-review.html#issuedetails_goto:problemid=121407,project=MCU_PLUS_SDK_AM263X,searchquery=taxonomy:'C and C++' build:Build_Apr_13_2023_11_11_AM grouping:off ","KW Issue Link")</f>
        <v>KW Issue Link</v>
      </c>
      <c r="O2362" s="1" t="s">
        <v>291</v>
      </c>
    </row>
    <row r="2363" spans="1:15" ht="60" x14ac:dyDescent="0.25">
      <c r="A2363" s="1" t="s">
        <v>1268</v>
      </c>
      <c r="B2363" s="1"/>
      <c r="C2363" s="1" t="s">
        <v>929</v>
      </c>
      <c r="D2363" s="1">
        <v>121408</v>
      </c>
      <c r="E2363" s="1">
        <v>1071</v>
      </c>
      <c r="F2363" s="1" t="s">
        <v>3418</v>
      </c>
      <c r="G2363" s="1" t="s">
        <v>3404</v>
      </c>
      <c r="H2363" s="1" t="s">
        <v>141</v>
      </c>
      <c r="I2363" s="1" t="s">
        <v>65</v>
      </c>
      <c r="J2363" s="1">
        <v>3</v>
      </c>
      <c r="K2363" s="1" t="s">
        <v>142</v>
      </c>
      <c r="L2363" s="1" t="s">
        <v>153</v>
      </c>
      <c r="M2363" s="1" t="s">
        <v>1256</v>
      </c>
      <c r="N2363" s="1" t="str">
        <f>HYPERLINK("https://klocwork.india.ti.com:443/review/insight-review.html#issuedetails_goto:problemid=121408,project=MCU_PLUS_SDK_AM263X,searchquery=taxonomy:'C and C++' build:Build_Apr_13_2023_11_11_AM grouping:off ","KW Issue Link")</f>
        <v>KW Issue Link</v>
      </c>
      <c r="O2363" s="1" t="s">
        <v>291</v>
      </c>
    </row>
    <row r="2364" spans="1:15" ht="60" x14ac:dyDescent="0.25">
      <c r="A2364" s="1" t="s">
        <v>1252</v>
      </c>
      <c r="B2364" s="1"/>
      <c r="C2364" s="1" t="s">
        <v>929</v>
      </c>
      <c r="D2364" s="1">
        <v>121409</v>
      </c>
      <c r="E2364" s="1">
        <v>699</v>
      </c>
      <c r="F2364" s="1" t="s">
        <v>3419</v>
      </c>
      <c r="G2364" s="1" t="s">
        <v>938</v>
      </c>
      <c r="H2364" s="1" t="s">
        <v>141</v>
      </c>
      <c r="I2364" s="1" t="s">
        <v>65</v>
      </c>
      <c r="J2364" s="1">
        <v>3</v>
      </c>
      <c r="K2364" s="1" t="s">
        <v>142</v>
      </c>
      <c r="L2364" s="1" t="s">
        <v>153</v>
      </c>
      <c r="M2364" s="1" t="s">
        <v>1256</v>
      </c>
      <c r="N2364" s="1" t="str">
        <f>HYPERLINK("https://klocwork.india.ti.com:443/review/insight-review.html#issuedetails_goto:problemid=121409,project=MCU_PLUS_SDK_AM263X,searchquery=taxonomy:'C and C++' build:Build_Apr_13_2023_11_11_AM grouping:off ","KW Issue Link")</f>
        <v>KW Issue Link</v>
      </c>
      <c r="O2364" s="1" t="s">
        <v>291</v>
      </c>
    </row>
    <row r="2365" spans="1:15" ht="75" x14ac:dyDescent="0.25">
      <c r="A2365" s="1" t="s">
        <v>1257</v>
      </c>
      <c r="B2365" s="1"/>
      <c r="C2365" s="1" t="s">
        <v>1217</v>
      </c>
      <c r="D2365" s="1">
        <v>121410</v>
      </c>
      <c r="E2365" s="1">
        <v>44</v>
      </c>
      <c r="F2365" s="1" t="s">
        <v>3420</v>
      </c>
      <c r="G2365" s="1" t="s">
        <v>1218</v>
      </c>
      <c r="H2365" s="1" t="s">
        <v>141</v>
      </c>
      <c r="I2365" s="1" t="s">
        <v>65</v>
      </c>
      <c r="J2365" s="1">
        <v>3</v>
      </c>
      <c r="K2365" s="1" t="s">
        <v>142</v>
      </c>
      <c r="L2365" s="1" t="s">
        <v>153</v>
      </c>
      <c r="M2365" s="1" t="s">
        <v>1256</v>
      </c>
      <c r="N2365" s="1" t="str">
        <f>HYPERLINK("https://klocwork.india.ti.com:443/review/insight-review.html#issuedetails_goto:problemid=121410,project=MCU_PLUS_SDK_AM263X,searchquery=taxonomy:'C and C++' build:Build_Apr_13_2023_11_11_AM grouping:off ","KW Issue Link")</f>
        <v>KW Issue Link</v>
      </c>
      <c r="O2365" s="1" t="s">
        <v>353</v>
      </c>
    </row>
    <row r="2366" spans="1:15" ht="75" x14ac:dyDescent="0.25">
      <c r="A2366" s="1" t="s">
        <v>1266</v>
      </c>
      <c r="B2366" s="1"/>
      <c r="C2366" s="1" t="s">
        <v>1217</v>
      </c>
      <c r="D2366" s="1">
        <v>121411</v>
      </c>
      <c r="E2366" s="1">
        <v>44</v>
      </c>
      <c r="F2366" s="1" t="s">
        <v>3421</v>
      </c>
      <c r="G2366" s="1" t="s">
        <v>1218</v>
      </c>
      <c r="H2366" s="1" t="s">
        <v>141</v>
      </c>
      <c r="I2366" s="1" t="s">
        <v>65</v>
      </c>
      <c r="J2366" s="1">
        <v>3</v>
      </c>
      <c r="K2366" s="1" t="s">
        <v>142</v>
      </c>
      <c r="L2366" s="1" t="s">
        <v>153</v>
      </c>
      <c r="M2366" s="1" t="s">
        <v>1256</v>
      </c>
      <c r="N2366" s="1" t="str">
        <f>HYPERLINK("https://klocwork.india.ti.com:443/review/insight-review.html#issuedetails_goto:problemid=121411,project=MCU_PLUS_SDK_AM263X,searchquery=taxonomy:'C and C++' build:Build_Apr_13_2023_11_11_AM grouping:off ","KW Issue Link")</f>
        <v>KW Issue Link</v>
      </c>
      <c r="O2366" s="1" t="s">
        <v>353</v>
      </c>
    </row>
    <row r="2367" spans="1:15" ht="60" x14ac:dyDescent="0.25">
      <c r="A2367" s="1" t="s">
        <v>1252</v>
      </c>
      <c r="B2367" s="1"/>
      <c r="C2367" s="1" t="s">
        <v>947</v>
      </c>
      <c r="D2367" s="1">
        <v>121412</v>
      </c>
      <c r="E2367" s="1">
        <v>275</v>
      </c>
      <c r="F2367" s="1" t="s">
        <v>3422</v>
      </c>
      <c r="G2367" s="1" t="s">
        <v>3423</v>
      </c>
      <c r="H2367" s="1" t="s">
        <v>141</v>
      </c>
      <c r="I2367" s="1" t="s">
        <v>65</v>
      </c>
      <c r="J2367" s="1">
        <v>3</v>
      </c>
      <c r="K2367" s="1" t="s">
        <v>142</v>
      </c>
      <c r="L2367" s="1" t="s">
        <v>153</v>
      </c>
      <c r="M2367" s="1" t="s">
        <v>1256</v>
      </c>
      <c r="N2367" s="1" t="str">
        <f>HYPERLINK("https://klocwork.india.ti.com:443/review/insight-review.html#issuedetails_goto:problemid=121412,project=MCU_PLUS_SDK_AM263X,searchquery=taxonomy:'C and C++' build:Build_Apr_13_2023_11_11_AM grouping:off ","KW Issue Link")</f>
        <v>KW Issue Link</v>
      </c>
      <c r="O2367" s="1" t="s">
        <v>356</v>
      </c>
    </row>
    <row r="2368" spans="1:15" ht="60" x14ac:dyDescent="0.25">
      <c r="A2368" s="1" t="s">
        <v>1257</v>
      </c>
      <c r="B2368" s="1"/>
      <c r="C2368" s="1" t="s">
        <v>266</v>
      </c>
      <c r="D2368" s="1">
        <v>121413</v>
      </c>
      <c r="E2368" s="1">
        <v>82</v>
      </c>
      <c r="F2368" s="1" t="s">
        <v>3424</v>
      </c>
      <c r="G2368" s="1" t="s">
        <v>268</v>
      </c>
      <c r="H2368" s="1" t="s">
        <v>141</v>
      </c>
      <c r="I2368" s="1" t="s">
        <v>65</v>
      </c>
      <c r="J2368" s="1">
        <v>3</v>
      </c>
      <c r="K2368" s="1" t="s">
        <v>142</v>
      </c>
      <c r="L2368" s="1" t="s">
        <v>153</v>
      </c>
      <c r="M2368" s="1" t="s">
        <v>1256</v>
      </c>
      <c r="N2368" s="1" t="str">
        <f>HYPERLINK("https://klocwork.india.ti.com:443/review/insight-review.html#issuedetails_goto:problemid=121413,project=MCU_PLUS_SDK_AM263X,searchquery=taxonomy:'C and C++' build:Build_Apr_13_2023_11_11_AM grouping:off ","KW Issue Link")</f>
        <v>KW Issue Link</v>
      </c>
      <c r="O2368" s="1" t="s">
        <v>259</v>
      </c>
    </row>
    <row r="2369" spans="1:15" ht="60" x14ac:dyDescent="0.25">
      <c r="A2369" s="1" t="s">
        <v>1257</v>
      </c>
      <c r="B2369" s="1"/>
      <c r="C2369" s="1" t="s">
        <v>266</v>
      </c>
      <c r="D2369" s="1">
        <v>121414</v>
      </c>
      <c r="E2369" s="1">
        <v>165</v>
      </c>
      <c r="F2369" s="1" t="s">
        <v>3425</v>
      </c>
      <c r="G2369" s="1" t="s">
        <v>3426</v>
      </c>
      <c r="H2369" s="1" t="s">
        <v>141</v>
      </c>
      <c r="I2369" s="1" t="s">
        <v>65</v>
      </c>
      <c r="J2369" s="1">
        <v>3</v>
      </c>
      <c r="K2369" s="1" t="s">
        <v>142</v>
      </c>
      <c r="L2369" s="1" t="s">
        <v>153</v>
      </c>
      <c r="M2369" s="1" t="s">
        <v>1256</v>
      </c>
      <c r="N2369" s="1" t="str">
        <f>HYPERLINK("https://klocwork.india.ti.com:443/review/insight-review.html#issuedetails_goto:problemid=121414,project=MCU_PLUS_SDK_AM263X,searchquery=taxonomy:'C and C++' build:Build_Apr_13_2023_11_11_AM grouping:off ","KW Issue Link")</f>
        <v>KW Issue Link</v>
      </c>
      <c r="O2369" s="1" t="s">
        <v>259</v>
      </c>
    </row>
    <row r="2370" spans="1:15" ht="60" x14ac:dyDescent="0.25">
      <c r="A2370" s="1" t="s">
        <v>1266</v>
      </c>
      <c r="B2370" s="1"/>
      <c r="C2370" s="1" t="s">
        <v>266</v>
      </c>
      <c r="D2370" s="1">
        <v>121415</v>
      </c>
      <c r="E2370" s="1">
        <v>82</v>
      </c>
      <c r="F2370" s="1" t="s">
        <v>3427</v>
      </c>
      <c r="G2370" s="1" t="s">
        <v>268</v>
      </c>
      <c r="H2370" s="1" t="s">
        <v>141</v>
      </c>
      <c r="I2370" s="1" t="s">
        <v>65</v>
      </c>
      <c r="J2370" s="1">
        <v>3</v>
      </c>
      <c r="K2370" s="1" t="s">
        <v>142</v>
      </c>
      <c r="L2370" s="1" t="s">
        <v>153</v>
      </c>
      <c r="M2370" s="1" t="s">
        <v>1256</v>
      </c>
      <c r="N2370" s="1" t="str">
        <f>HYPERLINK("https://klocwork.india.ti.com:443/review/insight-review.html#issuedetails_goto:problemid=121415,project=MCU_PLUS_SDK_AM263X,searchquery=taxonomy:'C and C++' build:Build_Apr_13_2023_11_11_AM grouping:off ","KW Issue Link")</f>
        <v>KW Issue Link</v>
      </c>
      <c r="O2370" s="1" t="s">
        <v>259</v>
      </c>
    </row>
    <row r="2371" spans="1:15" ht="60" x14ac:dyDescent="0.25">
      <c r="A2371" s="1" t="s">
        <v>1266</v>
      </c>
      <c r="B2371" s="1"/>
      <c r="C2371" s="1" t="s">
        <v>266</v>
      </c>
      <c r="D2371" s="1">
        <v>121416</v>
      </c>
      <c r="E2371" s="1">
        <v>165</v>
      </c>
      <c r="F2371" s="1" t="s">
        <v>3428</v>
      </c>
      <c r="G2371" s="1" t="s">
        <v>3426</v>
      </c>
      <c r="H2371" s="1" t="s">
        <v>141</v>
      </c>
      <c r="I2371" s="1" t="s">
        <v>65</v>
      </c>
      <c r="J2371" s="1">
        <v>3</v>
      </c>
      <c r="K2371" s="1" t="s">
        <v>142</v>
      </c>
      <c r="L2371" s="1" t="s">
        <v>153</v>
      </c>
      <c r="M2371" s="1" t="s">
        <v>1256</v>
      </c>
      <c r="N2371" s="1" t="str">
        <f>HYPERLINK("https://klocwork.india.ti.com:443/review/insight-review.html#issuedetails_goto:problemid=121416,project=MCU_PLUS_SDK_AM263X,searchquery=taxonomy:'C and C++' build:Build_Apr_13_2023_11_11_AM grouping:off ","KW Issue Link")</f>
        <v>KW Issue Link</v>
      </c>
      <c r="O2371" s="1" t="s">
        <v>259</v>
      </c>
    </row>
    <row r="2372" spans="1:15" ht="60" x14ac:dyDescent="0.25">
      <c r="A2372" s="1" t="s">
        <v>1266</v>
      </c>
      <c r="B2372" s="1"/>
      <c r="C2372" s="1" t="s">
        <v>439</v>
      </c>
      <c r="D2372" s="1">
        <v>121422</v>
      </c>
      <c r="E2372" s="1">
        <v>213</v>
      </c>
      <c r="F2372" s="1" t="s">
        <v>3429</v>
      </c>
      <c r="G2372" s="1" t="s">
        <v>3430</v>
      </c>
      <c r="H2372" s="1" t="s">
        <v>141</v>
      </c>
      <c r="I2372" s="1" t="s">
        <v>65</v>
      </c>
      <c r="J2372" s="1">
        <v>3</v>
      </c>
      <c r="K2372" s="1" t="s">
        <v>142</v>
      </c>
      <c r="L2372" s="1" t="s">
        <v>153</v>
      </c>
      <c r="M2372" s="1" t="s">
        <v>1256</v>
      </c>
      <c r="N2372" s="1" t="str">
        <f>HYPERLINK("https://klocwork.india.ti.com:443/review/insight-review.html#issuedetails_goto:problemid=121422,project=MCU_PLUS_SDK_AM263X,searchquery=taxonomy:'C and C++' build:Build_Apr_13_2023_11_11_AM grouping:off ","KW Issue Link")</f>
        <v>KW Issue Link</v>
      </c>
      <c r="O2372" s="1" t="s">
        <v>356</v>
      </c>
    </row>
    <row r="2373" spans="1:15" ht="60" x14ac:dyDescent="0.25">
      <c r="A2373" s="1" t="s">
        <v>1268</v>
      </c>
      <c r="B2373" s="1"/>
      <c r="C2373" s="1" t="s">
        <v>439</v>
      </c>
      <c r="D2373" s="1">
        <v>121423</v>
      </c>
      <c r="E2373" s="1">
        <v>213</v>
      </c>
      <c r="F2373" s="1" t="s">
        <v>3431</v>
      </c>
      <c r="G2373" s="1" t="s">
        <v>3430</v>
      </c>
      <c r="H2373" s="1" t="s">
        <v>141</v>
      </c>
      <c r="I2373" s="1" t="s">
        <v>65</v>
      </c>
      <c r="J2373" s="1">
        <v>3</v>
      </c>
      <c r="K2373" s="1" t="s">
        <v>142</v>
      </c>
      <c r="L2373" s="1" t="s">
        <v>153</v>
      </c>
      <c r="M2373" s="1" t="s">
        <v>1256</v>
      </c>
      <c r="N2373" s="1" t="str">
        <f>HYPERLINK("https://klocwork.india.ti.com:443/review/insight-review.html#issuedetails_goto:problemid=121423,project=MCU_PLUS_SDK_AM263X,searchquery=taxonomy:'C and C++' build:Build_Apr_13_2023_11_11_AM grouping:off ","KW Issue Link")</f>
        <v>KW Issue Link</v>
      </c>
      <c r="O2373" s="1" t="s">
        <v>356</v>
      </c>
    </row>
    <row r="2374" spans="1:15" ht="75" x14ac:dyDescent="0.25">
      <c r="A2374" s="1" t="s">
        <v>1257</v>
      </c>
      <c r="B2374" s="1" t="s">
        <v>2718</v>
      </c>
      <c r="C2374" s="1" t="s">
        <v>1184</v>
      </c>
      <c r="D2374" s="1">
        <v>121430</v>
      </c>
      <c r="E2374" s="1">
        <v>656</v>
      </c>
      <c r="F2374" s="1" t="s">
        <v>3432</v>
      </c>
      <c r="G2374" s="1" t="s">
        <v>2734</v>
      </c>
      <c r="H2374" s="1" t="s">
        <v>141</v>
      </c>
      <c r="I2374" s="1" t="s">
        <v>65</v>
      </c>
      <c r="J2374" s="1">
        <v>3</v>
      </c>
      <c r="K2374" s="1" t="s">
        <v>142</v>
      </c>
      <c r="L2374" s="1" t="s">
        <v>143</v>
      </c>
      <c r="M2374" s="1" t="s">
        <v>1256</v>
      </c>
      <c r="N2374" s="1" t="str">
        <f>HYPERLINK("https://klocwork.india.ti.com:443/review/insight-review.html#issuedetails_goto:problemid=121430,project=MCU_PLUS_SDK_AM263X,searchquery=taxonomy:'C and C++' build:Build_Apr_13_2023_11_11_AM grouping:off ","KW Issue Link")</f>
        <v>KW Issue Link</v>
      </c>
      <c r="O2374" s="1" t="s">
        <v>1083</v>
      </c>
    </row>
    <row r="2375" spans="1:15" ht="75" x14ac:dyDescent="0.25">
      <c r="A2375" s="1" t="s">
        <v>149</v>
      </c>
      <c r="B2375" s="1" t="s">
        <v>3433</v>
      </c>
      <c r="C2375" s="1" t="s">
        <v>1184</v>
      </c>
      <c r="D2375" s="1">
        <v>121433</v>
      </c>
      <c r="E2375" s="1">
        <v>324</v>
      </c>
      <c r="F2375" s="1" t="s">
        <v>3434</v>
      </c>
      <c r="G2375" s="1" t="s">
        <v>2720</v>
      </c>
      <c r="H2375" s="1" t="s">
        <v>141</v>
      </c>
      <c r="I2375" s="1" t="s">
        <v>65</v>
      </c>
      <c r="J2375" s="1">
        <v>3</v>
      </c>
      <c r="K2375" s="1" t="s">
        <v>142</v>
      </c>
      <c r="L2375" s="1" t="s">
        <v>143</v>
      </c>
      <c r="M2375" s="1" t="s">
        <v>28</v>
      </c>
      <c r="N2375" s="1" t="str">
        <f>HYPERLINK("https://klocwork.india.ti.com:443/review/insight-review.html#issuedetails_goto:problemid=121433,project=MCU_PLUS_SDK_AM263X,searchquery=taxonomy:'C and C++' build:Build_Apr_13_2023_11_11_AM grouping:off ","KW Issue Link")</f>
        <v>KW Issue Link</v>
      </c>
      <c r="O2375" s="1" t="s">
        <v>1083</v>
      </c>
    </row>
    <row r="2376" spans="1:15" ht="60" x14ac:dyDescent="0.25">
      <c r="A2376" s="1" t="s">
        <v>155</v>
      </c>
      <c r="B2376" s="1" t="s">
        <v>3433</v>
      </c>
      <c r="C2376" s="1" t="s">
        <v>1184</v>
      </c>
      <c r="D2376" s="1">
        <v>121438</v>
      </c>
      <c r="E2376" s="1">
        <v>326</v>
      </c>
      <c r="F2376" s="1" t="s">
        <v>156</v>
      </c>
      <c r="G2376" s="1" t="s">
        <v>2720</v>
      </c>
      <c r="H2376" s="1" t="s">
        <v>141</v>
      </c>
      <c r="I2376" s="1" t="s">
        <v>65</v>
      </c>
      <c r="J2376" s="1">
        <v>3</v>
      </c>
      <c r="K2376" s="1" t="s">
        <v>142</v>
      </c>
      <c r="L2376" s="1" t="s">
        <v>143</v>
      </c>
      <c r="M2376" s="1" t="s">
        <v>28</v>
      </c>
      <c r="N2376" s="1" t="str">
        <f>HYPERLINK("https://klocwork.india.ti.com:443/review/insight-review.html#issuedetails_goto:problemid=121438,project=MCU_PLUS_SDK_AM263X,searchquery=taxonomy:'C and C++' build:Build_Apr_13_2023_11_11_AM grouping:off ","KW Issue Link")</f>
        <v>KW Issue Link</v>
      </c>
      <c r="O2376" s="1" t="s">
        <v>1083</v>
      </c>
    </row>
    <row r="2377" spans="1:15" ht="90" x14ac:dyDescent="0.25">
      <c r="A2377" s="1" t="s">
        <v>1266</v>
      </c>
      <c r="B2377" s="1" t="s">
        <v>2732</v>
      </c>
      <c r="C2377" s="1" t="s">
        <v>3435</v>
      </c>
      <c r="D2377" s="1">
        <v>121440</v>
      </c>
      <c r="E2377" s="1">
        <v>574</v>
      </c>
      <c r="F2377" s="1" t="s">
        <v>3436</v>
      </c>
      <c r="G2377" s="1" t="s">
        <v>3437</v>
      </c>
      <c r="H2377" s="1" t="s">
        <v>141</v>
      </c>
      <c r="I2377" s="1" t="s">
        <v>65</v>
      </c>
      <c r="J2377" s="1">
        <v>3</v>
      </c>
      <c r="K2377" s="1" t="s">
        <v>142</v>
      </c>
      <c r="L2377" s="1" t="s">
        <v>143</v>
      </c>
      <c r="M2377" s="1" t="s">
        <v>1256</v>
      </c>
      <c r="N2377" s="1" t="str">
        <f>HYPERLINK("https://klocwork.india.ti.com:443/review/insight-review.html#issuedetails_goto:problemid=121440,project=MCU_PLUS_SDK_AM263X,searchquery=taxonomy:'C and C++' build:Build_Apr_13_2023_11_11_AM grouping:off ","KW Issue Link")</f>
        <v>KW Issue Link</v>
      </c>
      <c r="O2377" s="1" t="s">
        <v>1083</v>
      </c>
    </row>
    <row r="2378" spans="1:15" ht="60" x14ac:dyDescent="0.25">
      <c r="A2378" s="1" t="s">
        <v>1252</v>
      </c>
      <c r="B2378" s="1" t="s">
        <v>2729</v>
      </c>
      <c r="C2378" s="1" t="s">
        <v>3438</v>
      </c>
      <c r="D2378" s="1">
        <v>121446</v>
      </c>
      <c r="E2378" s="1">
        <v>260</v>
      </c>
      <c r="F2378" s="1" t="s">
        <v>3439</v>
      </c>
      <c r="G2378" s="1" t="s">
        <v>3440</v>
      </c>
      <c r="H2378" s="1" t="s">
        <v>141</v>
      </c>
      <c r="I2378" s="1" t="s">
        <v>65</v>
      </c>
      <c r="J2378" s="1">
        <v>3</v>
      </c>
      <c r="K2378" s="1" t="s">
        <v>142</v>
      </c>
      <c r="L2378" s="1" t="s">
        <v>143</v>
      </c>
      <c r="M2378" s="1" t="s">
        <v>1256</v>
      </c>
      <c r="N2378" s="1" t="str">
        <f>HYPERLINK("https://klocwork.india.ti.com:443/review/insight-review.html#issuedetails_goto:problemid=121446,project=MCU_PLUS_SDK_AM263X,searchquery=taxonomy:'C and C++' build:Build_Apr_13_2023_11_11_AM grouping:off ","KW Issue Link")</f>
        <v>KW Issue Link</v>
      </c>
      <c r="O2378" s="1" t="s">
        <v>1083</v>
      </c>
    </row>
    <row r="2379" spans="1:15" ht="90" x14ac:dyDescent="0.25">
      <c r="A2379" s="1" t="s">
        <v>1266</v>
      </c>
      <c r="B2379" s="1" t="s">
        <v>2732</v>
      </c>
      <c r="C2379" s="1" t="s">
        <v>3438</v>
      </c>
      <c r="D2379" s="1">
        <v>121447</v>
      </c>
      <c r="E2379" s="1">
        <v>260</v>
      </c>
      <c r="F2379" s="1" t="s">
        <v>3441</v>
      </c>
      <c r="G2379" s="1" t="s">
        <v>3440</v>
      </c>
      <c r="H2379" s="1" t="s">
        <v>141</v>
      </c>
      <c r="I2379" s="1" t="s">
        <v>65</v>
      </c>
      <c r="J2379" s="1">
        <v>3</v>
      </c>
      <c r="K2379" s="1" t="s">
        <v>142</v>
      </c>
      <c r="L2379" s="1" t="s">
        <v>143</v>
      </c>
      <c r="M2379" s="1" t="s">
        <v>1256</v>
      </c>
      <c r="N2379" s="1" t="str">
        <f>HYPERLINK("https://klocwork.india.ti.com:443/review/insight-review.html#issuedetails_goto:problemid=121447,project=MCU_PLUS_SDK_AM263X,searchquery=taxonomy:'C and C++' build:Build_Apr_13_2023_11_11_AM grouping:off ","KW Issue Link")</f>
        <v>KW Issue Link</v>
      </c>
      <c r="O2379" s="1" t="s">
        <v>1083</v>
      </c>
    </row>
    <row r="2380" spans="1:15" ht="90" x14ac:dyDescent="0.25">
      <c r="A2380" s="1" t="s">
        <v>1266</v>
      </c>
      <c r="B2380" s="1" t="s">
        <v>2732</v>
      </c>
      <c r="C2380" s="1" t="s">
        <v>3438</v>
      </c>
      <c r="D2380" s="1">
        <v>121448</v>
      </c>
      <c r="E2380" s="1">
        <v>581</v>
      </c>
      <c r="F2380" s="1" t="s">
        <v>3442</v>
      </c>
      <c r="G2380" s="1" t="s">
        <v>3443</v>
      </c>
      <c r="H2380" s="1" t="s">
        <v>141</v>
      </c>
      <c r="I2380" s="1" t="s">
        <v>65</v>
      </c>
      <c r="J2380" s="1">
        <v>3</v>
      </c>
      <c r="K2380" s="1" t="s">
        <v>142</v>
      </c>
      <c r="L2380" s="1" t="s">
        <v>143</v>
      </c>
      <c r="M2380" s="1" t="s">
        <v>1256</v>
      </c>
      <c r="N2380" s="1" t="str">
        <f>HYPERLINK("https://klocwork.india.ti.com:443/review/insight-review.html#issuedetails_goto:problemid=121448,project=MCU_PLUS_SDK_AM263X,searchquery=taxonomy:'C and C++' build:Build_Apr_13_2023_11_11_AM grouping:off ","KW Issue Link")</f>
        <v>KW Issue Link</v>
      </c>
      <c r="O2380" s="1" t="s">
        <v>1083</v>
      </c>
    </row>
    <row r="2381" spans="1:15" ht="135" x14ac:dyDescent="0.25">
      <c r="A2381" s="1" t="s">
        <v>1268</v>
      </c>
      <c r="B2381" s="1" t="s">
        <v>2737</v>
      </c>
      <c r="C2381" s="1" t="s">
        <v>3438</v>
      </c>
      <c r="D2381" s="1">
        <v>121449</v>
      </c>
      <c r="E2381" s="1">
        <v>260</v>
      </c>
      <c r="F2381" s="1" t="s">
        <v>3444</v>
      </c>
      <c r="G2381" s="1" t="s">
        <v>3440</v>
      </c>
      <c r="H2381" s="1" t="s">
        <v>141</v>
      </c>
      <c r="I2381" s="1" t="s">
        <v>65</v>
      </c>
      <c r="J2381" s="1">
        <v>3</v>
      </c>
      <c r="K2381" s="1" t="s">
        <v>142</v>
      </c>
      <c r="L2381" s="1" t="s">
        <v>143</v>
      </c>
      <c r="M2381" s="1" t="s">
        <v>1256</v>
      </c>
      <c r="N2381" s="1" t="str">
        <f>HYPERLINK("https://klocwork.india.ti.com:443/review/insight-review.html#issuedetails_goto:problemid=121449,project=MCU_PLUS_SDK_AM263X,searchquery=taxonomy:'C and C++' build:Build_Apr_13_2023_11_11_AM grouping:off ","KW Issue Link")</f>
        <v>KW Issue Link</v>
      </c>
      <c r="O2381" s="1" t="s">
        <v>1083</v>
      </c>
    </row>
    <row r="2382" spans="1:15" ht="135" x14ac:dyDescent="0.25">
      <c r="A2382" s="1" t="s">
        <v>1268</v>
      </c>
      <c r="B2382" s="1" t="s">
        <v>2737</v>
      </c>
      <c r="C2382" s="1" t="s">
        <v>3438</v>
      </c>
      <c r="D2382" s="1">
        <v>121450</v>
      </c>
      <c r="E2382" s="1">
        <v>581</v>
      </c>
      <c r="F2382" s="1" t="s">
        <v>3445</v>
      </c>
      <c r="G2382" s="1" t="s">
        <v>3443</v>
      </c>
      <c r="H2382" s="1" t="s">
        <v>141</v>
      </c>
      <c r="I2382" s="1" t="s">
        <v>65</v>
      </c>
      <c r="J2382" s="1">
        <v>3</v>
      </c>
      <c r="K2382" s="1" t="s">
        <v>142</v>
      </c>
      <c r="L2382" s="1" t="s">
        <v>143</v>
      </c>
      <c r="M2382" s="1" t="s">
        <v>1256</v>
      </c>
      <c r="N2382" s="1" t="str">
        <f>HYPERLINK("https://klocwork.india.ti.com:443/review/insight-review.html#issuedetails_goto:problemid=121450,project=MCU_PLUS_SDK_AM263X,searchquery=taxonomy:'C and C++' build:Build_Apr_13_2023_11_11_AM grouping:off ","KW Issue Link")</f>
        <v>KW Issue Link</v>
      </c>
      <c r="O2382" s="1" t="s">
        <v>1083</v>
      </c>
    </row>
    <row r="2383" spans="1:15" ht="90" x14ac:dyDescent="0.25">
      <c r="A2383" s="1" t="s">
        <v>1266</v>
      </c>
      <c r="B2383" s="1" t="s">
        <v>2732</v>
      </c>
      <c r="C2383" s="1" t="s">
        <v>3446</v>
      </c>
      <c r="D2383" s="1">
        <v>121485</v>
      </c>
      <c r="E2383" s="1">
        <v>184</v>
      </c>
      <c r="F2383" s="1" t="s">
        <v>3447</v>
      </c>
      <c r="G2383" s="1" t="s">
        <v>3448</v>
      </c>
      <c r="H2383" s="1" t="s">
        <v>141</v>
      </c>
      <c r="I2383" s="1" t="s">
        <v>65</v>
      </c>
      <c r="J2383" s="1">
        <v>3</v>
      </c>
      <c r="K2383" s="1" t="s">
        <v>142</v>
      </c>
      <c r="L2383" s="1" t="s">
        <v>143</v>
      </c>
      <c r="M2383" s="1" t="s">
        <v>1256</v>
      </c>
      <c r="N2383" s="1" t="str">
        <f>HYPERLINK("https://klocwork.india.ti.com:443/review/insight-review.html#issuedetails_goto:problemid=121485,project=MCU_PLUS_SDK_AM263X,searchquery=taxonomy:'C and C++' build:Build_Apr_13_2023_11_11_AM grouping:off ","KW Issue Link")</f>
        <v>KW Issue Link</v>
      </c>
      <c r="O2383" s="1" t="s">
        <v>1083</v>
      </c>
    </row>
    <row r="2384" spans="1:15" ht="90" x14ac:dyDescent="0.25">
      <c r="A2384" s="1" t="s">
        <v>1266</v>
      </c>
      <c r="B2384" s="1" t="s">
        <v>2732</v>
      </c>
      <c r="C2384" s="1" t="s">
        <v>3446</v>
      </c>
      <c r="D2384" s="1">
        <v>121486</v>
      </c>
      <c r="E2384" s="1">
        <v>341</v>
      </c>
      <c r="F2384" s="1" t="s">
        <v>3449</v>
      </c>
      <c r="G2384" s="1" t="s">
        <v>3450</v>
      </c>
      <c r="H2384" s="1" t="s">
        <v>141</v>
      </c>
      <c r="I2384" s="1" t="s">
        <v>65</v>
      </c>
      <c r="J2384" s="1">
        <v>3</v>
      </c>
      <c r="K2384" s="1" t="s">
        <v>142</v>
      </c>
      <c r="L2384" s="1" t="s">
        <v>143</v>
      </c>
      <c r="M2384" s="1" t="s">
        <v>1256</v>
      </c>
      <c r="N2384" s="1" t="str">
        <f>HYPERLINK("https://klocwork.india.ti.com:443/review/insight-review.html#issuedetails_goto:problemid=121486,project=MCU_PLUS_SDK_AM263X,searchquery=taxonomy:'C and C++' build:Build_Apr_13_2023_11_11_AM grouping:off ","KW Issue Link")</f>
        <v>KW Issue Link</v>
      </c>
      <c r="O2384" s="1" t="s">
        <v>1083</v>
      </c>
    </row>
    <row r="2385" spans="1:15" ht="135" x14ac:dyDescent="0.25">
      <c r="A2385" s="1" t="s">
        <v>1268</v>
      </c>
      <c r="B2385" s="1" t="s">
        <v>2737</v>
      </c>
      <c r="C2385" s="1" t="s">
        <v>3446</v>
      </c>
      <c r="D2385" s="1">
        <v>121487</v>
      </c>
      <c r="E2385" s="1">
        <v>184</v>
      </c>
      <c r="F2385" s="1" t="s">
        <v>3451</v>
      </c>
      <c r="G2385" s="1" t="s">
        <v>3448</v>
      </c>
      <c r="H2385" s="1" t="s">
        <v>141</v>
      </c>
      <c r="I2385" s="1" t="s">
        <v>65</v>
      </c>
      <c r="J2385" s="1">
        <v>3</v>
      </c>
      <c r="K2385" s="1" t="s">
        <v>142</v>
      </c>
      <c r="L2385" s="1" t="s">
        <v>143</v>
      </c>
      <c r="M2385" s="1" t="s">
        <v>1256</v>
      </c>
      <c r="N2385" s="1" t="str">
        <f>HYPERLINK("https://klocwork.india.ti.com:443/review/insight-review.html#issuedetails_goto:problemid=121487,project=MCU_PLUS_SDK_AM263X,searchquery=taxonomy:'C and C++' build:Build_Apr_13_2023_11_11_AM grouping:off ","KW Issue Link")</f>
        <v>KW Issue Link</v>
      </c>
      <c r="O2385" s="1" t="s">
        <v>1083</v>
      </c>
    </row>
    <row r="2386" spans="1:15" ht="135" x14ac:dyDescent="0.25">
      <c r="A2386" s="1" t="s">
        <v>1268</v>
      </c>
      <c r="B2386" s="1" t="s">
        <v>2737</v>
      </c>
      <c r="C2386" s="1" t="s">
        <v>3446</v>
      </c>
      <c r="D2386" s="1">
        <v>121488</v>
      </c>
      <c r="E2386" s="1">
        <v>341</v>
      </c>
      <c r="F2386" s="1" t="s">
        <v>3452</v>
      </c>
      <c r="G2386" s="1" t="s">
        <v>3450</v>
      </c>
      <c r="H2386" s="1" t="s">
        <v>141</v>
      </c>
      <c r="I2386" s="1" t="s">
        <v>65</v>
      </c>
      <c r="J2386" s="1">
        <v>3</v>
      </c>
      <c r="K2386" s="1" t="s">
        <v>142</v>
      </c>
      <c r="L2386" s="1" t="s">
        <v>143</v>
      </c>
      <c r="M2386" s="1" t="s">
        <v>1256</v>
      </c>
      <c r="N2386" s="1" t="str">
        <f>HYPERLINK("https://klocwork.india.ti.com:443/review/insight-review.html#issuedetails_goto:problemid=121488,project=MCU_PLUS_SDK_AM263X,searchquery=taxonomy:'C and C++' build:Build_Apr_13_2023_11_11_AM grouping:off ","KW Issue Link")</f>
        <v>KW Issue Link</v>
      </c>
      <c r="O2386" s="1" t="s">
        <v>1083</v>
      </c>
    </row>
    <row r="2387" spans="1:15" ht="75" x14ac:dyDescent="0.25">
      <c r="A2387" s="1" t="s">
        <v>1257</v>
      </c>
      <c r="B2387" s="1" t="s">
        <v>2718</v>
      </c>
      <c r="C2387" s="1" t="s">
        <v>3453</v>
      </c>
      <c r="D2387" s="1">
        <v>121491</v>
      </c>
      <c r="E2387" s="1">
        <v>52</v>
      </c>
      <c r="F2387" s="1" t="s">
        <v>3454</v>
      </c>
      <c r="G2387" s="1" t="s">
        <v>3455</v>
      </c>
      <c r="H2387" s="1" t="s">
        <v>141</v>
      </c>
      <c r="I2387" s="1" t="s">
        <v>65</v>
      </c>
      <c r="J2387" s="1">
        <v>3</v>
      </c>
      <c r="K2387" s="1" t="s">
        <v>142</v>
      </c>
      <c r="L2387" s="1" t="s">
        <v>143</v>
      </c>
      <c r="M2387" s="1" t="s">
        <v>1256</v>
      </c>
      <c r="N2387" s="1" t="str">
        <f>HYPERLINK("https://klocwork.india.ti.com:443/review/insight-review.html#issuedetails_goto:problemid=121491,project=MCU_PLUS_SDK_AM263X,searchquery=taxonomy:'C and C++' build:Build_Apr_13_2023_11_11_AM grouping:off ","KW Issue Link")</f>
        <v>KW Issue Link</v>
      </c>
      <c r="O2387" s="1" t="s">
        <v>1083</v>
      </c>
    </row>
    <row r="2388" spans="1:15" ht="75" x14ac:dyDescent="0.25">
      <c r="A2388" s="1" t="s">
        <v>1257</v>
      </c>
      <c r="B2388" s="1"/>
      <c r="C2388" s="1" t="s">
        <v>2348</v>
      </c>
      <c r="D2388" s="1">
        <v>121532</v>
      </c>
      <c r="E2388" s="1">
        <v>551</v>
      </c>
      <c r="F2388" s="1" t="s">
        <v>3456</v>
      </c>
      <c r="G2388" s="1" t="s">
        <v>3457</v>
      </c>
      <c r="H2388" s="1" t="s">
        <v>141</v>
      </c>
      <c r="I2388" s="1" t="s">
        <v>65</v>
      </c>
      <c r="J2388" s="1">
        <v>3</v>
      </c>
      <c r="K2388" s="1" t="s">
        <v>142</v>
      </c>
      <c r="L2388" s="1" t="s">
        <v>153</v>
      </c>
      <c r="M2388" s="1" t="s">
        <v>1256</v>
      </c>
      <c r="N2388" s="1" t="str">
        <f>HYPERLINK("https://klocwork.india.ti.com:443/review/insight-review.html#issuedetails_goto:problemid=121532,project=MCU_PLUS_SDK_AM263X,searchquery=taxonomy:'C and C++' build:Build_Apr_13_2023_11_11_AM grouping:off ","KW Issue Link")</f>
        <v>KW Issue Link</v>
      </c>
      <c r="O2388" s="1" t="s">
        <v>254</v>
      </c>
    </row>
    <row r="2389" spans="1:15" ht="75" x14ac:dyDescent="0.25">
      <c r="A2389" s="1" t="s">
        <v>1257</v>
      </c>
      <c r="B2389" s="1"/>
      <c r="C2389" s="1" t="s">
        <v>2348</v>
      </c>
      <c r="D2389" s="1">
        <v>121533</v>
      </c>
      <c r="E2389" s="1">
        <v>608</v>
      </c>
      <c r="F2389" s="1" t="s">
        <v>3458</v>
      </c>
      <c r="G2389" s="1" t="s">
        <v>3459</v>
      </c>
      <c r="H2389" s="1" t="s">
        <v>141</v>
      </c>
      <c r="I2389" s="1" t="s">
        <v>65</v>
      </c>
      <c r="J2389" s="1">
        <v>3</v>
      </c>
      <c r="K2389" s="1" t="s">
        <v>142</v>
      </c>
      <c r="L2389" s="1" t="s">
        <v>153</v>
      </c>
      <c r="M2389" s="1" t="s">
        <v>1256</v>
      </c>
      <c r="N2389" s="1" t="str">
        <f>HYPERLINK("https://klocwork.india.ti.com:443/review/insight-review.html#issuedetails_goto:problemid=121533,project=MCU_PLUS_SDK_AM263X,searchquery=taxonomy:'C and C++' build:Build_Apr_13_2023_11_11_AM grouping:off ","KW Issue Link")</f>
        <v>KW Issue Link</v>
      </c>
      <c r="O2389" s="1" t="s">
        <v>254</v>
      </c>
    </row>
    <row r="2390" spans="1:15" ht="60" x14ac:dyDescent="0.25">
      <c r="A2390" s="1" t="s">
        <v>1257</v>
      </c>
      <c r="B2390" s="1"/>
      <c r="C2390" s="1" t="s">
        <v>441</v>
      </c>
      <c r="D2390" s="1">
        <v>121612</v>
      </c>
      <c r="E2390" s="1">
        <v>1369</v>
      </c>
      <c r="F2390" s="1" t="s">
        <v>3460</v>
      </c>
      <c r="G2390" s="1" t="s">
        <v>3461</v>
      </c>
      <c r="H2390" s="1" t="s">
        <v>141</v>
      </c>
      <c r="I2390" s="1" t="s">
        <v>65</v>
      </c>
      <c r="J2390" s="1">
        <v>3</v>
      </c>
      <c r="K2390" s="1" t="s">
        <v>142</v>
      </c>
      <c r="L2390" s="1" t="s">
        <v>153</v>
      </c>
      <c r="M2390" s="1" t="s">
        <v>1256</v>
      </c>
      <c r="N2390" s="1" t="str">
        <f>HYPERLINK("https://klocwork.india.ti.com:443/review/insight-review.html#issuedetails_goto:problemid=121612,project=MCU_PLUS_SDK_AM263X,searchquery=taxonomy:'C and C++' build:Build_Apr_13_2023_11_11_AM grouping:off ","KW Issue Link")</f>
        <v>KW Issue Link</v>
      </c>
      <c r="O2390" s="1" t="s">
        <v>356</v>
      </c>
    </row>
    <row r="2391" spans="1:15" ht="75" x14ac:dyDescent="0.25">
      <c r="A2391" s="1" t="s">
        <v>1257</v>
      </c>
      <c r="B2391" s="1" t="s">
        <v>2718</v>
      </c>
      <c r="C2391" s="1" t="s">
        <v>3435</v>
      </c>
      <c r="D2391" s="1">
        <v>121649</v>
      </c>
      <c r="E2391" s="1">
        <v>365</v>
      </c>
      <c r="F2391" s="1" t="s">
        <v>3462</v>
      </c>
      <c r="G2391" s="1" t="s">
        <v>3463</v>
      </c>
      <c r="H2391" s="1" t="s">
        <v>141</v>
      </c>
      <c r="I2391" s="1" t="s">
        <v>65</v>
      </c>
      <c r="J2391" s="1">
        <v>3</v>
      </c>
      <c r="K2391" s="1" t="s">
        <v>142</v>
      </c>
      <c r="L2391" s="1" t="s">
        <v>143</v>
      </c>
      <c r="M2391" s="1" t="s">
        <v>1256</v>
      </c>
      <c r="N2391" s="1" t="str">
        <f>HYPERLINK("https://klocwork.india.ti.com:443/review/insight-review.html#issuedetails_goto:problemid=121649,project=MCU_PLUS_SDK_AM263X,searchquery=taxonomy:'C and C++' build:Build_Apr_13_2023_11_11_AM grouping:off ","KW Issue Link")</f>
        <v>KW Issue Link</v>
      </c>
      <c r="O2391" s="1" t="s">
        <v>1083</v>
      </c>
    </row>
    <row r="2392" spans="1:15" ht="75" x14ac:dyDescent="0.25">
      <c r="A2392" s="1" t="s">
        <v>1257</v>
      </c>
      <c r="B2392" s="1" t="s">
        <v>2718</v>
      </c>
      <c r="C2392" s="1" t="s">
        <v>3435</v>
      </c>
      <c r="D2392" s="1">
        <v>121650</v>
      </c>
      <c r="E2392" s="1">
        <v>451</v>
      </c>
      <c r="F2392" s="1" t="s">
        <v>3464</v>
      </c>
      <c r="G2392" s="1" t="s">
        <v>3465</v>
      </c>
      <c r="H2392" s="1" t="s">
        <v>141</v>
      </c>
      <c r="I2392" s="1" t="s">
        <v>65</v>
      </c>
      <c r="J2392" s="1">
        <v>3</v>
      </c>
      <c r="K2392" s="1" t="s">
        <v>142</v>
      </c>
      <c r="L2392" s="1" t="s">
        <v>143</v>
      </c>
      <c r="M2392" s="1" t="s">
        <v>1256</v>
      </c>
      <c r="N2392" s="1" t="str">
        <f>HYPERLINK("https://klocwork.india.ti.com:443/review/insight-review.html#issuedetails_goto:problemid=121650,project=MCU_PLUS_SDK_AM263X,searchquery=taxonomy:'C and C++' build:Build_Apr_13_2023_11_11_AM grouping:off ","KW Issue Link")</f>
        <v>KW Issue Link</v>
      </c>
      <c r="O2392" s="1" t="s">
        <v>1083</v>
      </c>
    </row>
    <row r="2393" spans="1:15" ht="75" x14ac:dyDescent="0.25">
      <c r="A2393" s="1" t="s">
        <v>3466</v>
      </c>
      <c r="B2393" s="1"/>
      <c r="C2393" s="1" t="s">
        <v>3435</v>
      </c>
      <c r="D2393" s="1">
        <v>121679</v>
      </c>
      <c r="E2393" s="1">
        <v>463</v>
      </c>
      <c r="F2393" s="1" t="s">
        <v>3467</v>
      </c>
      <c r="G2393" s="1" t="s">
        <v>3465</v>
      </c>
      <c r="H2393" s="1" t="s">
        <v>141</v>
      </c>
      <c r="I2393" s="1" t="s">
        <v>66</v>
      </c>
      <c r="J2393" s="1">
        <v>4</v>
      </c>
      <c r="K2393" s="1" t="s">
        <v>142</v>
      </c>
      <c r="L2393" s="1" t="s">
        <v>143</v>
      </c>
      <c r="M2393" s="1" t="s">
        <v>28</v>
      </c>
      <c r="N2393" s="1" t="str">
        <f>HYPERLINK("https://klocwork.india.ti.com:443/review/insight-review.html#issuedetails_goto:problemid=121679,project=MCU_PLUS_SDK_AM263X,searchquery=taxonomy:'C and C++' build:Build_Apr_13_2023_11_11_AM grouping:off ","KW Issue Link")</f>
        <v>KW Issue Link</v>
      </c>
      <c r="O2393" s="1" t="s">
        <v>1083</v>
      </c>
    </row>
    <row r="2394" spans="1:15" ht="90" x14ac:dyDescent="0.25">
      <c r="A2394" s="1" t="s">
        <v>163</v>
      </c>
      <c r="B2394" s="1"/>
      <c r="C2394" s="1" t="s">
        <v>3468</v>
      </c>
      <c r="D2394" s="1">
        <v>122832</v>
      </c>
      <c r="E2394" s="1">
        <v>333</v>
      </c>
      <c r="F2394" s="1" t="s">
        <v>3469</v>
      </c>
      <c r="G2394" s="1" t="s">
        <v>3470</v>
      </c>
      <c r="H2394" s="1" t="s">
        <v>141</v>
      </c>
      <c r="I2394" s="1" t="s">
        <v>65</v>
      </c>
      <c r="J2394" s="1">
        <v>3</v>
      </c>
      <c r="K2394" s="1" t="s">
        <v>142</v>
      </c>
      <c r="L2394" s="1" t="s">
        <v>153</v>
      </c>
      <c r="M2394" s="1" t="s">
        <v>28</v>
      </c>
      <c r="N2394" s="1" t="str">
        <f>HYPERLINK("https://klocwork.india.ti.com:443/review/insight-review.html#issuedetails_goto:problemid=122832,project=MCU_PLUS_SDK_AM263X,searchquery=taxonomy:'C and C++' build:Build_Apr_13_2023_11_11_AM grouping:off ","KW Issue Link")</f>
        <v>KW Issue Link</v>
      </c>
      <c r="O2394" s="1" t="s">
        <v>1083</v>
      </c>
    </row>
    <row r="2395" spans="1:15" ht="90" x14ac:dyDescent="0.25">
      <c r="A2395" s="1" t="s">
        <v>163</v>
      </c>
      <c r="B2395" s="1"/>
      <c r="C2395" s="1" t="s">
        <v>3468</v>
      </c>
      <c r="D2395" s="1">
        <v>122833</v>
      </c>
      <c r="E2395" s="1">
        <v>334</v>
      </c>
      <c r="F2395" s="1" t="s">
        <v>3471</v>
      </c>
      <c r="G2395" s="1" t="s">
        <v>3470</v>
      </c>
      <c r="H2395" s="1" t="s">
        <v>141</v>
      </c>
      <c r="I2395" s="1" t="s">
        <v>65</v>
      </c>
      <c r="J2395" s="1">
        <v>3</v>
      </c>
      <c r="K2395" s="1" t="s">
        <v>142</v>
      </c>
      <c r="L2395" s="1" t="s">
        <v>153</v>
      </c>
      <c r="M2395" s="1" t="s">
        <v>28</v>
      </c>
      <c r="N2395" s="1" t="str">
        <f>HYPERLINK("https://klocwork.india.ti.com:443/review/insight-review.html#issuedetails_goto:problemid=122833,project=MCU_PLUS_SDK_AM263X,searchquery=taxonomy:'C and C++' build:Build_Apr_13_2023_11_11_AM grouping:off ","KW Issue Link")</f>
        <v>KW Issue Link</v>
      </c>
      <c r="O2395" s="1" t="s">
        <v>1083</v>
      </c>
    </row>
    <row r="2396" spans="1:15" ht="90" x14ac:dyDescent="0.25">
      <c r="A2396" s="1" t="s">
        <v>163</v>
      </c>
      <c r="B2396" s="1"/>
      <c r="C2396" s="1" t="s">
        <v>3468</v>
      </c>
      <c r="D2396" s="1">
        <v>122834</v>
      </c>
      <c r="E2396" s="1">
        <v>335</v>
      </c>
      <c r="F2396" s="1" t="s">
        <v>3472</v>
      </c>
      <c r="G2396" s="1" t="s">
        <v>3470</v>
      </c>
      <c r="H2396" s="1" t="s">
        <v>141</v>
      </c>
      <c r="I2396" s="1" t="s">
        <v>65</v>
      </c>
      <c r="J2396" s="1">
        <v>3</v>
      </c>
      <c r="K2396" s="1" t="s">
        <v>142</v>
      </c>
      <c r="L2396" s="1" t="s">
        <v>153</v>
      </c>
      <c r="M2396" s="1" t="s">
        <v>28</v>
      </c>
      <c r="N2396" s="1" t="str">
        <f>HYPERLINK("https://klocwork.india.ti.com:443/review/insight-review.html#issuedetails_goto:problemid=122834,project=MCU_PLUS_SDK_AM263X,searchquery=taxonomy:'C and C++' build:Build_Apr_13_2023_11_11_AM grouping:off ","KW Issue Link")</f>
        <v>KW Issue Link</v>
      </c>
      <c r="O2396" s="1" t="s">
        <v>1083</v>
      </c>
    </row>
    <row r="2397" spans="1:15" ht="90" x14ac:dyDescent="0.25">
      <c r="A2397" s="1" t="s">
        <v>163</v>
      </c>
      <c r="B2397" s="1"/>
      <c r="C2397" s="1" t="s">
        <v>3468</v>
      </c>
      <c r="D2397" s="1">
        <v>122835</v>
      </c>
      <c r="E2397" s="1">
        <v>336</v>
      </c>
      <c r="F2397" s="1" t="s">
        <v>3473</v>
      </c>
      <c r="G2397" s="1" t="s">
        <v>3470</v>
      </c>
      <c r="H2397" s="1" t="s">
        <v>141</v>
      </c>
      <c r="I2397" s="1" t="s">
        <v>65</v>
      </c>
      <c r="J2397" s="1">
        <v>3</v>
      </c>
      <c r="K2397" s="1" t="s">
        <v>142</v>
      </c>
      <c r="L2397" s="1" t="s">
        <v>153</v>
      </c>
      <c r="M2397" s="1" t="s">
        <v>28</v>
      </c>
      <c r="N2397" s="1" t="str">
        <f>HYPERLINK("https://klocwork.india.ti.com:443/review/insight-review.html#issuedetails_goto:problemid=122835,project=MCU_PLUS_SDK_AM263X,searchquery=taxonomy:'C and C++' build:Build_Apr_13_2023_11_11_AM grouping:off ","KW Issue Link")</f>
        <v>KW Issue Link</v>
      </c>
      <c r="O2397" s="1" t="s">
        <v>1083</v>
      </c>
    </row>
    <row r="2398" spans="1:15" ht="90" x14ac:dyDescent="0.25">
      <c r="A2398" s="1" t="s">
        <v>163</v>
      </c>
      <c r="B2398" s="1"/>
      <c r="C2398" s="1" t="s">
        <v>3468</v>
      </c>
      <c r="D2398" s="1">
        <v>122836</v>
      </c>
      <c r="E2398" s="1">
        <v>336</v>
      </c>
      <c r="F2398" s="1" t="s">
        <v>3474</v>
      </c>
      <c r="G2398" s="1" t="s">
        <v>3470</v>
      </c>
      <c r="H2398" s="1" t="s">
        <v>141</v>
      </c>
      <c r="I2398" s="1" t="s">
        <v>65</v>
      </c>
      <c r="J2398" s="1">
        <v>3</v>
      </c>
      <c r="K2398" s="1" t="s">
        <v>142</v>
      </c>
      <c r="L2398" s="1" t="s">
        <v>153</v>
      </c>
      <c r="M2398" s="1" t="s">
        <v>28</v>
      </c>
      <c r="N2398" s="1" t="str">
        <f>HYPERLINK("https://klocwork.india.ti.com:443/review/insight-review.html#issuedetails_goto:problemid=122836,project=MCU_PLUS_SDK_AM263X,searchquery=taxonomy:'C and C++' build:Build_Apr_13_2023_11_11_AM grouping:off ","KW Issue Link")</f>
        <v>KW Issue Link</v>
      </c>
      <c r="O2398" s="1" t="s">
        <v>1083</v>
      </c>
    </row>
    <row r="2399" spans="1:15" ht="90" x14ac:dyDescent="0.25">
      <c r="A2399" s="1" t="s">
        <v>163</v>
      </c>
      <c r="B2399" s="1"/>
      <c r="C2399" s="1" t="s">
        <v>3468</v>
      </c>
      <c r="D2399" s="1">
        <v>122837</v>
      </c>
      <c r="E2399" s="1">
        <v>336</v>
      </c>
      <c r="F2399" s="1" t="s">
        <v>3475</v>
      </c>
      <c r="G2399" s="1" t="s">
        <v>3470</v>
      </c>
      <c r="H2399" s="1" t="s">
        <v>141</v>
      </c>
      <c r="I2399" s="1" t="s">
        <v>65</v>
      </c>
      <c r="J2399" s="1">
        <v>3</v>
      </c>
      <c r="K2399" s="1" t="s">
        <v>142</v>
      </c>
      <c r="L2399" s="1" t="s">
        <v>153</v>
      </c>
      <c r="M2399" s="1" t="s">
        <v>28</v>
      </c>
      <c r="N2399" s="1" t="str">
        <f>HYPERLINK("https://klocwork.india.ti.com:443/review/insight-review.html#issuedetails_goto:problemid=122837,project=MCU_PLUS_SDK_AM263X,searchquery=taxonomy:'C and C++' build:Build_Apr_13_2023_11_11_AM grouping:off ","KW Issue Link")</f>
        <v>KW Issue Link</v>
      </c>
      <c r="O2399" s="1" t="s">
        <v>1083</v>
      </c>
    </row>
    <row r="2400" spans="1:15" ht="90" x14ac:dyDescent="0.25">
      <c r="A2400" s="1" t="s">
        <v>163</v>
      </c>
      <c r="B2400" s="1"/>
      <c r="C2400" s="1" t="s">
        <v>3468</v>
      </c>
      <c r="D2400" s="1">
        <v>122838</v>
      </c>
      <c r="E2400" s="1">
        <v>337</v>
      </c>
      <c r="F2400" s="1" t="s">
        <v>3476</v>
      </c>
      <c r="G2400" s="1" t="s">
        <v>3470</v>
      </c>
      <c r="H2400" s="1" t="s">
        <v>141</v>
      </c>
      <c r="I2400" s="1" t="s">
        <v>65</v>
      </c>
      <c r="J2400" s="1">
        <v>3</v>
      </c>
      <c r="K2400" s="1" t="s">
        <v>142</v>
      </c>
      <c r="L2400" s="1" t="s">
        <v>153</v>
      </c>
      <c r="M2400" s="1" t="s">
        <v>28</v>
      </c>
      <c r="N2400" s="1" t="str">
        <f>HYPERLINK("https://klocwork.india.ti.com:443/review/insight-review.html#issuedetails_goto:problemid=122838,project=MCU_PLUS_SDK_AM263X,searchquery=taxonomy:'C and C++' build:Build_Apr_13_2023_11_11_AM grouping:off ","KW Issue Link")</f>
        <v>KW Issue Link</v>
      </c>
      <c r="O2400" s="1" t="s">
        <v>1083</v>
      </c>
    </row>
    <row r="2401" spans="1:15" ht="90" x14ac:dyDescent="0.25">
      <c r="A2401" s="1" t="s">
        <v>163</v>
      </c>
      <c r="B2401" s="1"/>
      <c r="C2401" s="1" t="s">
        <v>3468</v>
      </c>
      <c r="D2401" s="1">
        <v>122839</v>
      </c>
      <c r="E2401" s="1">
        <v>1637</v>
      </c>
      <c r="F2401" s="1" t="s">
        <v>3477</v>
      </c>
      <c r="G2401" s="1" t="s">
        <v>3478</v>
      </c>
      <c r="H2401" s="1" t="s">
        <v>141</v>
      </c>
      <c r="I2401" s="1" t="s">
        <v>65</v>
      </c>
      <c r="J2401" s="1">
        <v>3</v>
      </c>
      <c r="K2401" s="1" t="s">
        <v>142</v>
      </c>
      <c r="L2401" s="1" t="s">
        <v>153</v>
      </c>
      <c r="M2401" s="1" t="s">
        <v>28</v>
      </c>
      <c r="N2401" s="1" t="str">
        <f>HYPERLINK("https://klocwork.india.ti.com:443/review/insight-review.html#issuedetails_goto:problemid=122839,project=MCU_PLUS_SDK_AM263X,searchquery=taxonomy:'C and C++' build:Build_Apr_13_2023_11_11_AM grouping:off ","KW Issue Link")</f>
        <v>KW Issue Link</v>
      </c>
      <c r="O2401" s="1" t="s">
        <v>1083</v>
      </c>
    </row>
    <row r="2402" spans="1:15" ht="75" x14ac:dyDescent="0.25">
      <c r="A2402" s="1" t="s">
        <v>1252</v>
      </c>
      <c r="B2402" s="1"/>
      <c r="C2402" s="1" t="s">
        <v>3468</v>
      </c>
      <c r="D2402" s="1">
        <v>123825</v>
      </c>
      <c r="E2402" s="1">
        <v>444</v>
      </c>
      <c r="F2402" s="1" t="s">
        <v>3479</v>
      </c>
      <c r="G2402" s="1" t="s">
        <v>3480</v>
      </c>
      <c r="H2402" s="1" t="s">
        <v>141</v>
      </c>
      <c r="I2402" s="1" t="s">
        <v>65</v>
      </c>
      <c r="J2402" s="1">
        <v>3</v>
      </c>
      <c r="K2402" s="1" t="s">
        <v>142</v>
      </c>
      <c r="L2402" s="1" t="s">
        <v>153</v>
      </c>
      <c r="M2402" s="1" t="s">
        <v>1256</v>
      </c>
      <c r="N2402" s="1" t="str">
        <f>HYPERLINK("https://klocwork.india.ti.com:443/review/insight-review.html#issuedetails_goto:problemid=123825,project=MCU_PLUS_SDK_AM263X,searchquery=taxonomy:'C and C++' build:Build_Apr_13_2023_11_11_AM grouping:off ","KW Issue Link")</f>
        <v>KW Issue Link</v>
      </c>
      <c r="O2402" s="1" t="s">
        <v>1083</v>
      </c>
    </row>
    <row r="2403" spans="1:15" ht="75" x14ac:dyDescent="0.25">
      <c r="A2403" s="1" t="s">
        <v>1252</v>
      </c>
      <c r="B2403" s="1"/>
      <c r="C2403" s="1" t="s">
        <v>3468</v>
      </c>
      <c r="D2403" s="1">
        <v>123826</v>
      </c>
      <c r="E2403" s="1">
        <v>570</v>
      </c>
      <c r="F2403" s="1" t="s">
        <v>3481</v>
      </c>
      <c r="G2403" s="1" t="s">
        <v>3482</v>
      </c>
      <c r="H2403" s="1" t="s">
        <v>141</v>
      </c>
      <c r="I2403" s="1" t="s">
        <v>65</v>
      </c>
      <c r="J2403" s="1">
        <v>3</v>
      </c>
      <c r="K2403" s="1" t="s">
        <v>142</v>
      </c>
      <c r="L2403" s="1" t="s">
        <v>153</v>
      </c>
      <c r="M2403" s="1" t="s">
        <v>1256</v>
      </c>
      <c r="N2403" s="1" t="str">
        <f>HYPERLINK("https://klocwork.india.ti.com:443/review/insight-review.html#issuedetails_goto:problemid=123826,project=MCU_PLUS_SDK_AM263X,searchquery=taxonomy:'C and C++' build:Build_Apr_13_2023_11_11_AM grouping:off ","KW Issue Link")</f>
        <v>KW Issue Link</v>
      </c>
      <c r="O2403" s="1" t="s">
        <v>1083</v>
      </c>
    </row>
    <row r="2404" spans="1:15" ht="75" x14ac:dyDescent="0.25">
      <c r="A2404" s="1" t="s">
        <v>1252</v>
      </c>
      <c r="B2404" s="1"/>
      <c r="C2404" s="1" t="s">
        <v>3468</v>
      </c>
      <c r="D2404" s="1">
        <v>123827</v>
      </c>
      <c r="E2404" s="1">
        <v>1312</v>
      </c>
      <c r="F2404" s="1" t="s">
        <v>3483</v>
      </c>
      <c r="G2404" s="1" t="s">
        <v>3484</v>
      </c>
      <c r="H2404" s="1" t="s">
        <v>141</v>
      </c>
      <c r="I2404" s="1" t="s">
        <v>65</v>
      </c>
      <c r="J2404" s="1">
        <v>3</v>
      </c>
      <c r="K2404" s="1" t="s">
        <v>142</v>
      </c>
      <c r="L2404" s="1" t="s">
        <v>153</v>
      </c>
      <c r="M2404" s="1" t="s">
        <v>1256</v>
      </c>
      <c r="N2404" s="1" t="str">
        <f>HYPERLINK("https://klocwork.india.ti.com:443/review/insight-review.html#issuedetails_goto:problemid=123827,project=MCU_PLUS_SDK_AM263X,searchquery=taxonomy:'C and C++' build:Build_Apr_13_2023_11_11_AM grouping:off ","KW Issue Link")</f>
        <v>KW Issue Link</v>
      </c>
      <c r="O2404" s="1" t="s">
        <v>1083</v>
      </c>
    </row>
    <row r="2405" spans="1:15" ht="75" x14ac:dyDescent="0.25">
      <c r="A2405" s="1" t="s">
        <v>1252</v>
      </c>
      <c r="B2405" s="1"/>
      <c r="C2405" s="1" t="s">
        <v>3468</v>
      </c>
      <c r="D2405" s="1">
        <v>123828</v>
      </c>
      <c r="E2405" s="1">
        <v>1349</v>
      </c>
      <c r="F2405" s="1" t="s">
        <v>3485</v>
      </c>
      <c r="G2405" s="1" t="s">
        <v>3486</v>
      </c>
      <c r="H2405" s="1" t="s">
        <v>141</v>
      </c>
      <c r="I2405" s="1" t="s">
        <v>65</v>
      </c>
      <c r="J2405" s="1">
        <v>3</v>
      </c>
      <c r="K2405" s="1" t="s">
        <v>142</v>
      </c>
      <c r="L2405" s="1" t="s">
        <v>153</v>
      </c>
      <c r="M2405" s="1" t="s">
        <v>1256</v>
      </c>
      <c r="N2405" s="1" t="str">
        <f>HYPERLINK("https://klocwork.india.ti.com:443/review/insight-review.html#issuedetails_goto:problemid=123828,project=MCU_PLUS_SDK_AM263X,searchquery=taxonomy:'C and C++' build:Build_Apr_13_2023_11_11_AM grouping:off ","KW Issue Link")</f>
        <v>KW Issue Link</v>
      </c>
      <c r="O2405" s="1" t="s">
        <v>1083</v>
      </c>
    </row>
    <row r="2406" spans="1:15" ht="75" x14ac:dyDescent="0.25">
      <c r="A2406" s="1" t="s">
        <v>1252</v>
      </c>
      <c r="B2406" s="1"/>
      <c r="C2406" s="1" t="s">
        <v>3468</v>
      </c>
      <c r="D2406" s="1">
        <v>123829</v>
      </c>
      <c r="E2406" s="1">
        <v>1567</v>
      </c>
      <c r="F2406" s="1" t="s">
        <v>3487</v>
      </c>
      <c r="G2406" s="1" t="s">
        <v>3488</v>
      </c>
      <c r="H2406" s="1" t="s">
        <v>141</v>
      </c>
      <c r="I2406" s="1" t="s">
        <v>65</v>
      </c>
      <c r="J2406" s="1">
        <v>3</v>
      </c>
      <c r="K2406" s="1" t="s">
        <v>142</v>
      </c>
      <c r="L2406" s="1" t="s">
        <v>153</v>
      </c>
      <c r="M2406" s="1" t="s">
        <v>1256</v>
      </c>
      <c r="N2406" s="1" t="str">
        <f>HYPERLINK("https://klocwork.india.ti.com:443/review/insight-review.html#issuedetails_goto:problemid=123829,project=MCU_PLUS_SDK_AM263X,searchquery=taxonomy:'C and C++' build:Build_Apr_13_2023_11_11_AM grouping:off ","KW Issue Link")</f>
        <v>KW Issue Link</v>
      </c>
      <c r="O2406" s="1" t="s">
        <v>1083</v>
      </c>
    </row>
    <row r="2407" spans="1:15" ht="75" x14ac:dyDescent="0.25">
      <c r="A2407" s="1" t="s">
        <v>1252</v>
      </c>
      <c r="B2407" s="1"/>
      <c r="C2407" s="1" t="s">
        <v>3468</v>
      </c>
      <c r="D2407" s="1">
        <v>123830</v>
      </c>
      <c r="E2407" s="1">
        <v>1617</v>
      </c>
      <c r="F2407" s="1" t="s">
        <v>3489</v>
      </c>
      <c r="G2407" s="1" t="s">
        <v>3478</v>
      </c>
      <c r="H2407" s="1" t="s">
        <v>141</v>
      </c>
      <c r="I2407" s="1" t="s">
        <v>65</v>
      </c>
      <c r="J2407" s="1">
        <v>3</v>
      </c>
      <c r="K2407" s="1" t="s">
        <v>142</v>
      </c>
      <c r="L2407" s="1" t="s">
        <v>153</v>
      </c>
      <c r="M2407" s="1" t="s">
        <v>1256</v>
      </c>
      <c r="N2407" s="1" t="str">
        <f>HYPERLINK("https://klocwork.india.ti.com:443/review/insight-review.html#issuedetails_goto:problemid=123830,project=MCU_PLUS_SDK_AM263X,searchquery=taxonomy:'C and C++' build:Build_Apr_13_2023_11_11_AM grouping:off ","KW Issue Link")</f>
        <v>KW Issue Link</v>
      </c>
      <c r="O2407" s="1" t="s">
        <v>1083</v>
      </c>
    </row>
    <row r="2408" spans="1:15" ht="75" x14ac:dyDescent="0.25">
      <c r="A2408" s="1" t="s">
        <v>1252</v>
      </c>
      <c r="B2408" s="1"/>
      <c r="C2408" s="1" t="s">
        <v>3468</v>
      </c>
      <c r="D2408" s="1">
        <v>123831</v>
      </c>
      <c r="E2408" s="1">
        <v>1678</v>
      </c>
      <c r="F2408" s="1" t="s">
        <v>3490</v>
      </c>
      <c r="G2408" s="1" t="s">
        <v>3491</v>
      </c>
      <c r="H2408" s="1" t="s">
        <v>141</v>
      </c>
      <c r="I2408" s="1" t="s">
        <v>65</v>
      </c>
      <c r="J2408" s="1">
        <v>3</v>
      </c>
      <c r="K2408" s="1" t="s">
        <v>142</v>
      </c>
      <c r="L2408" s="1" t="s">
        <v>153</v>
      </c>
      <c r="M2408" s="1" t="s">
        <v>1256</v>
      </c>
      <c r="N2408" s="1" t="str">
        <f>HYPERLINK("https://klocwork.india.ti.com:443/review/insight-review.html#issuedetails_goto:problemid=123831,project=MCU_PLUS_SDK_AM263X,searchquery=taxonomy:'C and C++' build:Build_Apr_13_2023_11_11_AM grouping:off ","KW Issue Link")</f>
        <v>KW Issue Link</v>
      </c>
      <c r="O2408" s="1" t="s">
        <v>1083</v>
      </c>
    </row>
    <row r="2409" spans="1:15" ht="75" x14ac:dyDescent="0.25">
      <c r="A2409" s="1" t="s">
        <v>1252</v>
      </c>
      <c r="B2409" s="1"/>
      <c r="C2409" s="1" t="s">
        <v>3468</v>
      </c>
      <c r="D2409" s="1">
        <v>123832</v>
      </c>
      <c r="E2409" s="1">
        <v>1808</v>
      </c>
      <c r="F2409" s="1" t="s">
        <v>3492</v>
      </c>
      <c r="G2409" s="1" t="s">
        <v>3493</v>
      </c>
      <c r="H2409" s="1" t="s">
        <v>141</v>
      </c>
      <c r="I2409" s="1" t="s">
        <v>65</v>
      </c>
      <c r="J2409" s="1">
        <v>3</v>
      </c>
      <c r="K2409" s="1" t="s">
        <v>142</v>
      </c>
      <c r="L2409" s="1" t="s">
        <v>153</v>
      </c>
      <c r="M2409" s="1" t="s">
        <v>1256</v>
      </c>
      <c r="N2409" s="1" t="str">
        <f>HYPERLINK("https://klocwork.india.ti.com:443/review/insight-review.html#issuedetails_goto:problemid=123832,project=MCU_PLUS_SDK_AM263X,searchquery=taxonomy:'C and C++' build:Build_Apr_13_2023_11_11_AM grouping:off ","KW Issue Link")</f>
        <v>KW Issue Link</v>
      </c>
      <c r="O2409" s="1" t="s">
        <v>1083</v>
      </c>
    </row>
    <row r="2410" spans="1:15" ht="75" x14ac:dyDescent="0.25">
      <c r="A2410" s="1" t="s">
        <v>1252</v>
      </c>
      <c r="B2410" s="1"/>
      <c r="C2410" s="1" t="s">
        <v>3468</v>
      </c>
      <c r="D2410" s="1">
        <v>123833</v>
      </c>
      <c r="E2410" s="1">
        <v>1926</v>
      </c>
      <c r="F2410" s="1" t="s">
        <v>3494</v>
      </c>
      <c r="G2410" s="1" t="s">
        <v>3495</v>
      </c>
      <c r="H2410" s="1" t="s">
        <v>141</v>
      </c>
      <c r="I2410" s="1" t="s">
        <v>65</v>
      </c>
      <c r="J2410" s="1">
        <v>3</v>
      </c>
      <c r="K2410" s="1" t="s">
        <v>142</v>
      </c>
      <c r="L2410" s="1" t="s">
        <v>153</v>
      </c>
      <c r="M2410" s="1" t="s">
        <v>1256</v>
      </c>
      <c r="N2410" s="1" t="str">
        <f>HYPERLINK("https://klocwork.india.ti.com:443/review/insight-review.html#issuedetails_goto:problemid=123833,project=MCU_PLUS_SDK_AM263X,searchquery=taxonomy:'C and C++' build:Build_Apr_13_2023_11_11_AM grouping:off ","KW Issue Link")</f>
        <v>KW Issue Link</v>
      </c>
      <c r="O2410" s="1" t="s">
        <v>1083</v>
      </c>
    </row>
    <row r="2411" spans="1:15" ht="75" x14ac:dyDescent="0.25">
      <c r="A2411" s="1" t="s">
        <v>1257</v>
      </c>
      <c r="B2411" s="1"/>
      <c r="C2411" s="1" t="s">
        <v>3468</v>
      </c>
      <c r="D2411" s="1">
        <v>123834</v>
      </c>
      <c r="E2411" s="1">
        <v>444</v>
      </c>
      <c r="F2411" s="1" t="s">
        <v>3496</v>
      </c>
      <c r="G2411" s="1" t="s">
        <v>3480</v>
      </c>
      <c r="H2411" s="1" t="s">
        <v>141</v>
      </c>
      <c r="I2411" s="1" t="s">
        <v>65</v>
      </c>
      <c r="J2411" s="1">
        <v>3</v>
      </c>
      <c r="K2411" s="1" t="s">
        <v>142</v>
      </c>
      <c r="L2411" s="1" t="s">
        <v>153</v>
      </c>
      <c r="M2411" s="1" t="s">
        <v>1256</v>
      </c>
      <c r="N2411" s="1" t="str">
        <f>HYPERLINK("https://klocwork.india.ti.com:443/review/insight-review.html#issuedetails_goto:problemid=123834,project=MCU_PLUS_SDK_AM263X,searchquery=taxonomy:'C and C++' build:Build_Apr_13_2023_11_11_AM grouping:off ","KW Issue Link")</f>
        <v>KW Issue Link</v>
      </c>
      <c r="O2411" s="1" t="s">
        <v>1083</v>
      </c>
    </row>
    <row r="2412" spans="1:15" ht="75" x14ac:dyDescent="0.25">
      <c r="A2412" s="1" t="s">
        <v>1257</v>
      </c>
      <c r="B2412" s="1"/>
      <c r="C2412" s="1" t="s">
        <v>3468</v>
      </c>
      <c r="D2412" s="1">
        <v>123835</v>
      </c>
      <c r="E2412" s="1">
        <v>798</v>
      </c>
      <c r="F2412" s="1" t="s">
        <v>3497</v>
      </c>
      <c r="G2412" s="1" t="s">
        <v>3498</v>
      </c>
      <c r="H2412" s="1" t="s">
        <v>141</v>
      </c>
      <c r="I2412" s="1" t="s">
        <v>65</v>
      </c>
      <c r="J2412" s="1">
        <v>3</v>
      </c>
      <c r="K2412" s="1" t="s">
        <v>142</v>
      </c>
      <c r="L2412" s="1" t="s">
        <v>153</v>
      </c>
      <c r="M2412" s="1" t="s">
        <v>1256</v>
      </c>
      <c r="N2412" s="1" t="str">
        <f>HYPERLINK("https://klocwork.india.ti.com:443/review/insight-review.html#issuedetails_goto:problemid=123835,project=MCU_PLUS_SDK_AM263X,searchquery=taxonomy:'C and C++' build:Build_Apr_13_2023_11_11_AM grouping:off ","KW Issue Link")</f>
        <v>KW Issue Link</v>
      </c>
      <c r="O2412" s="1" t="s">
        <v>1083</v>
      </c>
    </row>
    <row r="2413" spans="1:15" ht="75" x14ac:dyDescent="0.25">
      <c r="A2413" s="1" t="s">
        <v>1257</v>
      </c>
      <c r="B2413" s="1"/>
      <c r="C2413" s="1" t="s">
        <v>3468</v>
      </c>
      <c r="D2413" s="1">
        <v>123836</v>
      </c>
      <c r="E2413" s="1">
        <v>921</v>
      </c>
      <c r="F2413" s="1" t="s">
        <v>3499</v>
      </c>
      <c r="G2413" s="1" t="s">
        <v>3500</v>
      </c>
      <c r="H2413" s="1" t="s">
        <v>141</v>
      </c>
      <c r="I2413" s="1" t="s">
        <v>65</v>
      </c>
      <c r="J2413" s="1">
        <v>3</v>
      </c>
      <c r="K2413" s="1" t="s">
        <v>142</v>
      </c>
      <c r="L2413" s="1" t="s">
        <v>153</v>
      </c>
      <c r="M2413" s="1" t="s">
        <v>1256</v>
      </c>
      <c r="N2413" s="1" t="str">
        <f>HYPERLINK("https://klocwork.india.ti.com:443/review/insight-review.html#issuedetails_goto:problemid=123836,project=MCU_PLUS_SDK_AM263X,searchquery=taxonomy:'C and C++' build:Build_Apr_13_2023_11_11_AM grouping:off ","KW Issue Link")</f>
        <v>KW Issue Link</v>
      </c>
      <c r="O2413" s="1" t="s">
        <v>1083</v>
      </c>
    </row>
    <row r="2414" spans="1:15" ht="75" x14ac:dyDescent="0.25">
      <c r="A2414" s="1" t="s">
        <v>1257</v>
      </c>
      <c r="B2414" s="1"/>
      <c r="C2414" s="1" t="s">
        <v>3468</v>
      </c>
      <c r="D2414" s="1">
        <v>123837</v>
      </c>
      <c r="E2414" s="1">
        <v>1108</v>
      </c>
      <c r="F2414" s="1" t="s">
        <v>3501</v>
      </c>
      <c r="G2414" s="1" t="s">
        <v>3502</v>
      </c>
      <c r="H2414" s="1" t="s">
        <v>141</v>
      </c>
      <c r="I2414" s="1" t="s">
        <v>65</v>
      </c>
      <c r="J2414" s="1">
        <v>3</v>
      </c>
      <c r="K2414" s="1" t="s">
        <v>142</v>
      </c>
      <c r="L2414" s="1" t="s">
        <v>153</v>
      </c>
      <c r="M2414" s="1" t="s">
        <v>1256</v>
      </c>
      <c r="N2414" s="1" t="str">
        <f>HYPERLINK("https://klocwork.india.ti.com:443/review/insight-review.html#issuedetails_goto:problemid=123837,project=MCU_PLUS_SDK_AM263X,searchquery=taxonomy:'C and C++' build:Build_Apr_13_2023_11_11_AM grouping:off ","KW Issue Link")</f>
        <v>KW Issue Link</v>
      </c>
      <c r="O2414" s="1" t="s">
        <v>1083</v>
      </c>
    </row>
    <row r="2415" spans="1:15" ht="75" x14ac:dyDescent="0.25">
      <c r="A2415" s="1" t="s">
        <v>1257</v>
      </c>
      <c r="B2415" s="1"/>
      <c r="C2415" s="1" t="s">
        <v>3468</v>
      </c>
      <c r="D2415" s="1">
        <v>123838</v>
      </c>
      <c r="E2415" s="1">
        <v>1229</v>
      </c>
      <c r="F2415" s="1" t="s">
        <v>3503</v>
      </c>
      <c r="G2415" s="1" t="s">
        <v>3504</v>
      </c>
      <c r="H2415" s="1" t="s">
        <v>141</v>
      </c>
      <c r="I2415" s="1" t="s">
        <v>65</v>
      </c>
      <c r="J2415" s="1">
        <v>3</v>
      </c>
      <c r="K2415" s="1" t="s">
        <v>142</v>
      </c>
      <c r="L2415" s="1" t="s">
        <v>153</v>
      </c>
      <c r="M2415" s="1" t="s">
        <v>1256</v>
      </c>
      <c r="N2415" s="1" t="str">
        <f>HYPERLINK("https://klocwork.india.ti.com:443/review/insight-review.html#issuedetails_goto:problemid=123838,project=MCU_PLUS_SDK_AM263X,searchquery=taxonomy:'C and C++' build:Build_Apr_13_2023_11_11_AM grouping:off ","KW Issue Link")</f>
        <v>KW Issue Link</v>
      </c>
      <c r="O2415" s="1" t="s">
        <v>1083</v>
      </c>
    </row>
    <row r="2416" spans="1:15" ht="75" x14ac:dyDescent="0.25">
      <c r="A2416" s="1" t="s">
        <v>1257</v>
      </c>
      <c r="B2416" s="1"/>
      <c r="C2416" s="1" t="s">
        <v>3468</v>
      </c>
      <c r="D2416" s="1">
        <v>123839</v>
      </c>
      <c r="E2416" s="1">
        <v>1512</v>
      </c>
      <c r="F2416" s="1" t="s">
        <v>3505</v>
      </c>
      <c r="G2416" s="1" t="s">
        <v>3506</v>
      </c>
      <c r="H2416" s="1" t="s">
        <v>141</v>
      </c>
      <c r="I2416" s="1" t="s">
        <v>65</v>
      </c>
      <c r="J2416" s="1">
        <v>3</v>
      </c>
      <c r="K2416" s="1" t="s">
        <v>142</v>
      </c>
      <c r="L2416" s="1" t="s">
        <v>153</v>
      </c>
      <c r="M2416" s="1" t="s">
        <v>1256</v>
      </c>
      <c r="N2416" s="1" t="str">
        <f>HYPERLINK("https://klocwork.india.ti.com:443/review/insight-review.html#issuedetails_goto:problemid=123839,project=MCU_PLUS_SDK_AM263X,searchquery=taxonomy:'C and C++' build:Build_Apr_13_2023_11_11_AM grouping:off ","KW Issue Link")</f>
        <v>KW Issue Link</v>
      </c>
      <c r="O2416" s="1" t="s">
        <v>1083</v>
      </c>
    </row>
    <row r="2417" spans="1:15" ht="75" x14ac:dyDescent="0.25">
      <c r="A2417" s="1" t="s">
        <v>1257</v>
      </c>
      <c r="B2417" s="1"/>
      <c r="C2417" s="1" t="s">
        <v>3468</v>
      </c>
      <c r="D2417" s="1">
        <v>123840</v>
      </c>
      <c r="E2417" s="1">
        <v>1729</v>
      </c>
      <c r="F2417" s="1" t="s">
        <v>3507</v>
      </c>
      <c r="G2417" s="1" t="s">
        <v>3508</v>
      </c>
      <c r="H2417" s="1" t="s">
        <v>141</v>
      </c>
      <c r="I2417" s="1" t="s">
        <v>65</v>
      </c>
      <c r="J2417" s="1">
        <v>3</v>
      </c>
      <c r="K2417" s="1" t="s">
        <v>142</v>
      </c>
      <c r="L2417" s="1" t="s">
        <v>153</v>
      </c>
      <c r="M2417" s="1" t="s">
        <v>1256</v>
      </c>
      <c r="N2417" s="1" t="str">
        <f>HYPERLINK("https://klocwork.india.ti.com:443/review/insight-review.html#issuedetails_goto:problemid=123840,project=MCU_PLUS_SDK_AM263X,searchquery=taxonomy:'C and C++' build:Build_Apr_13_2023_11_11_AM grouping:off ","KW Issue Link")</f>
        <v>KW Issue Link</v>
      </c>
      <c r="O2417" s="1" t="s">
        <v>1083</v>
      </c>
    </row>
    <row r="2418" spans="1:15" ht="75" x14ac:dyDescent="0.25">
      <c r="A2418" s="1" t="s">
        <v>1257</v>
      </c>
      <c r="B2418" s="1"/>
      <c r="C2418" s="1" t="s">
        <v>3468</v>
      </c>
      <c r="D2418" s="1">
        <v>123841</v>
      </c>
      <c r="E2418" s="1">
        <v>1778</v>
      </c>
      <c r="F2418" s="1" t="s">
        <v>3509</v>
      </c>
      <c r="G2418" s="1" t="s">
        <v>3510</v>
      </c>
      <c r="H2418" s="1" t="s">
        <v>141</v>
      </c>
      <c r="I2418" s="1" t="s">
        <v>65</v>
      </c>
      <c r="J2418" s="1">
        <v>3</v>
      </c>
      <c r="K2418" s="1" t="s">
        <v>142</v>
      </c>
      <c r="L2418" s="1" t="s">
        <v>153</v>
      </c>
      <c r="M2418" s="1" t="s">
        <v>1256</v>
      </c>
      <c r="N2418" s="1" t="str">
        <f>HYPERLINK("https://klocwork.india.ti.com:443/review/insight-review.html#issuedetails_goto:problemid=123841,project=MCU_PLUS_SDK_AM263X,searchquery=taxonomy:'C and C++' build:Build_Apr_13_2023_11_11_AM grouping:off ","KW Issue Link")</f>
        <v>KW Issue Link</v>
      </c>
      <c r="O2418" s="1" t="s">
        <v>1083</v>
      </c>
    </row>
    <row r="2419" spans="1:15" ht="75" x14ac:dyDescent="0.25">
      <c r="A2419" s="1" t="s">
        <v>1257</v>
      </c>
      <c r="B2419" s="1"/>
      <c r="C2419" s="1" t="s">
        <v>3468</v>
      </c>
      <c r="D2419" s="1">
        <v>123842</v>
      </c>
      <c r="E2419" s="1">
        <v>1926</v>
      </c>
      <c r="F2419" s="1" t="s">
        <v>3511</v>
      </c>
      <c r="G2419" s="1" t="s">
        <v>3495</v>
      </c>
      <c r="H2419" s="1" t="s">
        <v>141</v>
      </c>
      <c r="I2419" s="1" t="s">
        <v>65</v>
      </c>
      <c r="J2419" s="1">
        <v>3</v>
      </c>
      <c r="K2419" s="1" t="s">
        <v>142</v>
      </c>
      <c r="L2419" s="1" t="s">
        <v>153</v>
      </c>
      <c r="M2419" s="1" t="s">
        <v>1256</v>
      </c>
      <c r="N2419" s="1" t="str">
        <f>HYPERLINK("https://klocwork.india.ti.com:443/review/insight-review.html#issuedetails_goto:problemid=123842,project=MCU_PLUS_SDK_AM263X,searchquery=taxonomy:'C and C++' build:Build_Apr_13_2023_11_11_AM grouping:off ","KW Issue Link")</f>
        <v>KW Issue Link</v>
      </c>
      <c r="O2419" s="1" t="s">
        <v>1083</v>
      </c>
    </row>
    <row r="2420" spans="1:15" ht="75" x14ac:dyDescent="0.25">
      <c r="A2420" s="1" t="s">
        <v>1266</v>
      </c>
      <c r="B2420" s="1"/>
      <c r="C2420" s="1" t="s">
        <v>3468</v>
      </c>
      <c r="D2420" s="1">
        <v>123843</v>
      </c>
      <c r="E2420" s="1">
        <v>444</v>
      </c>
      <c r="F2420" s="1" t="s">
        <v>3512</v>
      </c>
      <c r="G2420" s="1" t="s">
        <v>3480</v>
      </c>
      <c r="H2420" s="1" t="s">
        <v>141</v>
      </c>
      <c r="I2420" s="1" t="s">
        <v>65</v>
      </c>
      <c r="J2420" s="1">
        <v>3</v>
      </c>
      <c r="K2420" s="1" t="s">
        <v>142</v>
      </c>
      <c r="L2420" s="1" t="s">
        <v>153</v>
      </c>
      <c r="M2420" s="1" t="s">
        <v>1256</v>
      </c>
      <c r="N2420" s="1" t="str">
        <f>HYPERLINK("https://klocwork.india.ti.com:443/review/insight-review.html#issuedetails_goto:problemid=123843,project=MCU_PLUS_SDK_AM263X,searchquery=taxonomy:'C and C++' build:Build_Apr_13_2023_11_11_AM grouping:off ","KW Issue Link")</f>
        <v>KW Issue Link</v>
      </c>
      <c r="O2420" s="1" t="s">
        <v>1083</v>
      </c>
    </row>
    <row r="2421" spans="1:15" ht="75" x14ac:dyDescent="0.25">
      <c r="A2421" s="1" t="s">
        <v>1266</v>
      </c>
      <c r="B2421" s="1"/>
      <c r="C2421" s="1" t="s">
        <v>3468</v>
      </c>
      <c r="D2421" s="1">
        <v>123844</v>
      </c>
      <c r="E2421" s="1">
        <v>500</v>
      </c>
      <c r="F2421" s="1" t="s">
        <v>3513</v>
      </c>
      <c r="G2421" s="1" t="s">
        <v>3514</v>
      </c>
      <c r="H2421" s="1" t="s">
        <v>141</v>
      </c>
      <c r="I2421" s="1" t="s">
        <v>65</v>
      </c>
      <c r="J2421" s="1">
        <v>3</v>
      </c>
      <c r="K2421" s="1" t="s">
        <v>142</v>
      </c>
      <c r="L2421" s="1" t="s">
        <v>153</v>
      </c>
      <c r="M2421" s="1" t="s">
        <v>1256</v>
      </c>
      <c r="N2421" s="1" t="str">
        <f>HYPERLINK("https://klocwork.india.ti.com:443/review/insight-review.html#issuedetails_goto:problemid=123844,project=MCU_PLUS_SDK_AM263X,searchquery=taxonomy:'C and C++' build:Build_Apr_13_2023_11_11_AM grouping:off ","KW Issue Link")</f>
        <v>KW Issue Link</v>
      </c>
      <c r="O2421" s="1" t="s">
        <v>1083</v>
      </c>
    </row>
    <row r="2422" spans="1:15" ht="75" x14ac:dyDescent="0.25">
      <c r="A2422" s="1" t="s">
        <v>1266</v>
      </c>
      <c r="B2422" s="1"/>
      <c r="C2422" s="1" t="s">
        <v>3468</v>
      </c>
      <c r="D2422" s="1">
        <v>123845</v>
      </c>
      <c r="E2422" s="1">
        <v>666</v>
      </c>
      <c r="F2422" s="1" t="s">
        <v>3515</v>
      </c>
      <c r="G2422" s="1" t="s">
        <v>3516</v>
      </c>
      <c r="H2422" s="1" t="s">
        <v>141</v>
      </c>
      <c r="I2422" s="1" t="s">
        <v>65</v>
      </c>
      <c r="J2422" s="1">
        <v>3</v>
      </c>
      <c r="K2422" s="1" t="s">
        <v>142</v>
      </c>
      <c r="L2422" s="1" t="s">
        <v>153</v>
      </c>
      <c r="M2422" s="1" t="s">
        <v>1256</v>
      </c>
      <c r="N2422" s="1" t="str">
        <f>HYPERLINK("https://klocwork.india.ti.com:443/review/insight-review.html#issuedetails_goto:problemid=123845,project=MCU_PLUS_SDK_AM263X,searchquery=taxonomy:'C and C++' build:Build_Apr_13_2023_11_11_AM grouping:off ","KW Issue Link")</f>
        <v>KW Issue Link</v>
      </c>
      <c r="O2422" s="1" t="s">
        <v>1083</v>
      </c>
    </row>
    <row r="2423" spans="1:15" ht="75" x14ac:dyDescent="0.25">
      <c r="A2423" s="1" t="s">
        <v>1266</v>
      </c>
      <c r="B2423" s="1"/>
      <c r="C2423" s="1" t="s">
        <v>3468</v>
      </c>
      <c r="D2423" s="1">
        <v>123846</v>
      </c>
      <c r="E2423" s="1">
        <v>746</v>
      </c>
      <c r="F2423" s="1" t="s">
        <v>3517</v>
      </c>
      <c r="G2423" s="1" t="s">
        <v>3518</v>
      </c>
      <c r="H2423" s="1" t="s">
        <v>141</v>
      </c>
      <c r="I2423" s="1" t="s">
        <v>65</v>
      </c>
      <c r="J2423" s="1">
        <v>3</v>
      </c>
      <c r="K2423" s="1" t="s">
        <v>142</v>
      </c>
      <c r="L2423" s="1" t="s">
        <v>153</v>
      </c>
      <c r="M2423" s="1" t="s">
        <v>1256</v>
      </c>
      <c r="N2423" s="1" t="str">
        <f>HYPERLINK("https://klocwork.india.ti.com:443/review/insight-review.html#issuedetails_goto:problemid=123846,project=MCU_PLUS_SDK_AM263X,searchquery=taxonomy:'C and C++' build:Build_Apr_13_2023_11_11_AM grouping:off ","KW Issue Link")</f>
        <v>KW Issue Link</v>
      </c>
      <c r="O2423" s="1" t="s">
        <v>1083</v>
      </c>
    </row>
    <row r="2424" spans="1:15" ht="75" x14ac:dyDescent="0.25">
      <c r="A2424" s="1" t="s">
        <v>1266</v>
      </c>
      <c r="B2424" s="1"/>
      <c r="C2424" s="1" t="s">
        <v>3468</v>
      </c>
      <c r="D2424" s="1">
        <v>123847</v>
      </c>
      <c r="E2424" s="1">
        <v>798</v>
      </c>
      <c r="F2424" s="1" t="s">
        <v>3519</v>
      </c>
      <c r="G2424" s="1" t="s">
        <v>3498</v>
      </c>
      <c r="H2424" s="1" t="s">
        <v>141</v>
      </c>
      <c r="I2424" s="1" t="s">
        <v>65</v>
      </c>
      <c r="J2424" s="1">
        <v>3</v>
      </c>
      <c r="K2424" s="1" t="s">
        <v>142</v>
      </c>
      <c r="L2424" s="1" t="s">
        <v>153</v>
      </c>
      <c r="M2424" s="1" t="s">
        <v>1256</v>
      </c>
      <c r="N2424" s="1" t="str">
        <f>HYPERLINK("https://klocwork.india.ti.com:443/review/insight-review.html#issuedetails_goto:problemid=123847,project=MCU_PLUS_SDK_AM263X,searchquery=taxonomy:'C and C++' build:Build_Apr_13_2023_11_11_AM grouping:off ","KW Issue Link")</f>
        <v>KW Issue Link</v>
      </c>
      <c r="O2424" s="1" t="s">
        <v>1083</v>
      </c>
    </row>
    <row r="2425" spans="1:15" ht="75" x14ac:dyDescent="0.25">
      <c r="A2425" s="1" t="s">
        <v>1266</v>
      </c>
      <c r="B2425" s="1"/>
      <c r="C2425" s="1" t="s">
        <v>3468</v>
      </c>
      <c r="D2425" s="1">
        <v>123848</v>
      </c>
      <c r="E2425" s="1">
        <v>921</v>
      </c>
      <c r="F2425" s="1" t="s">
        <v>3520</v>
      </c>
      <c r="G2425" s="1" t="s">
        <v>3500</v>
      </c>
      <c r="H2425" s="1" t="s">
        <v>141</v>
      </c>
      <c r="I2425" s="1" t="s">
        <v>65</v>
      </c>
      <c r="J2425" s="1">
        <v>3</v>
      </c>
      <c r="K2425" s="1" t="s">
        <v>142</v>
      </c>
      <c r="L2425" s="1" t="s">
        <v>153</v>
      </c>
      <c r="M2425" s="1" t="s">
        <v>1256</v>
      </c>
      <c r="N2425" s="1" t="str">
        <f>HYPERLINK("https://klocwork.india.ti.com:443/review/insight-review.html#issuedetails_goto:problemid=123848,project=MCU_PLUS_SDK_AM263X,searchquery=taxonomy:'C and C++' build:Build_Apr_13_2023_11_11_AM grouping:off ","KW Issue Link")</f>
        <v>KW Issue Link</v>
      </c>
      <c r="O2425" s="1" t="s">
        <v>1083</v>
      </c>
    </row>
    <row r="2426" spans="1:15" ht="75" x14ac:dyDescent="0.25">
      <c r="A2426" s="1" t="s">
        <v>1266</v>
      </c>
      <c r="B2426" s="1"/>
      <c r="C2426" s="1" t="s">
        <v>3468</v>
      </c>
      <c r="D2426" s="1">
        <v>123849</v>
      </c>
      <c r="E2426" s="1">
        <v>1019</v>
      </c>
      <c r="F2426" s="1" t="s">
        <v>3521</v>
      </c>
      <c r="G2426" s="1" t="s">
        <v>3522</v>
      </c>
      <c r="H2426" s="1" t="s">
        <v>141</v>
      </c>
      <c r="I2426" s="1" t="s">
        <v>65</v>
      </c>
      <c r="J2426" s="1">
        <v>3</v>
      </c>
      <c r="K2426" s="1" t="s">
        <v>142</v>
      </c>
      <c r="L2426" s="1" t="s">
        <v>153</v>
      </c>
      <c r="M2426" s="1" t="s">
        <v>1256</v>
      </c>
      <c r="N2426" s="1" t="str">
        <f>HYPERLINK("https://klocwork.india.ti.com:443/review/insight-review.html#issuedetails_goto:problemid=123849,project=MCU_PLUS_SDK_AM263X,searchquery=taxonomy:'C and C++' build:Build_Apr_13_2023_11_11_AM grouping:off ","KW Issue Link")</f>
        <v>KW Issue Link</v>
      </c>
      <c r="O2426" s="1" t="s">
        <v>1083</v>
      </c>
    </row>
    <row r="2427" spans="1:15" ht="75" x14ac:dyDescent="0.25">
      <c r="A2427" s="1" t="s">
        <v>1266</v>
      </c>
      <c r="B2427" s="1"/>
      <c r="C2427" s="1" t="s">
        <v>3468</v>
      </c>
      <c r="D2427" s="1">
        <v>123850</v>
      </c>
      <c r="E2427" s="1">
        <v>1108</v>
      </c>
      <c r="F2427" s="1" t="s">
        <v>3523</v>
      </c>
      <c r="G2427" s="1" t="s">
        <v>3502</v>
      </c>
      <c r="H2427" s="1" t="s">
        <v>141</v>
      </c>
      <c r="I2427" s="1" t="s">
        <v>65</v>
      </c>
      <c r="J2427" s="1">
        <v>3</v>
      </c>
      <c r="K2427" s="1" t="s">
        <v>142</v>
      </c>
      <c r="L2427" s="1" t="s">
        <v>153</v>
      </c>
      <c r="M2427" s="1" t="s">
        <v>1256</v>
      </c>
      <c r="N2427" s="1" t="str">
        <f>HYPERLINK("https://klocwork.india.ti.com:443/review/insight-review.html#issuedetails_goto:problemid=123850,project=MCU_PLUS_SDK_AM263X,searchquery=taxonomy:'C and C++' build:Build_Apr_13_2023_11_11_AM grouping:off ","KW Issue Link")</f>
        <v>KW Issue Link</v>
      </c>
      <c r="O2427" s="1" t="s">
        <v>1083</v>
      </c>
    </row>
    <row r="2428" spans="1:15" ht="75" x14ac:dyDescent="0.25">
      <c r="A2428" s="1" t="s">
        <v>1266</v>
      </c>
      <c r="B2428" s="1"/>
      <c r="C2428" s="1" t="s">
        <v>3468</v>
      </c>
      <c r="D2428" s="1">
        <v>123851</v>
      </c>
      <c r="E2428" s="1">
        <v>1229</v>
      </c>
      <c r="F2428" s="1" t="s">
        <v>3524</v>
      </c>
      <c r="G2428" s="1" t="s">
        <v>3504</v>
      </c>
      <c r="H2428" s="1" t="s">
        <v>141</v>
      </c>
      <c r="I2428" s="1" t="s">
        <v>65</v>
      </c>
      <c r="J2428" s="1">
        <v>3</v>
      </c>
      <c r="K2428" s="1" t="s">
        <v>142</v>
      </c>
      <c r="L2428" s="1" t="s">
        <v>153</v>
      </c>
      <c r="M2428" s="1" t="s">
        <v>1256</v>
      </c>
      <c r="N2428" s="1" t="str">
        <f>HYPERLINK("https://klocwork.india.ti.com:443/review/insight-review.html#issuedetails_goto:problemid=123851,project=MCU_PLUS_SDK_AM263X,searchquery=taxonomy:'C and C++' build:Build_Apr_13_2023_11_11_AM grouping:off ","KW Issue Link")</f>
        <v>KW Issue Link</v>
      </c>
      <c r="O2428" s="1" t="s">
        <v>1083</v>
      </c>
    </row>
    <row r="2429" spans="1:15" ht="75" x14ac:dyDescent="0.25">
      <c r="A2429" s="1" t="s">
        <v>1266</v>
      </c>
      <c r="B2429" s="1"/>
      <c r="C2429" s="1" t="s">
        <v>3468</v>
      </c>
      <c r="D2429" s="1">
        <v>123852</v>
      </c>
      <c r="E2429" s="1">
        <v>1312</v>
      </c>
      <c r="F2429" s="1" t="s">
        <v>3525</v>
      </c>
      <c r="G2429" s="1" t="s">
        <v>3484</v>
      </c>
      <c r="H2429" s="1" t="s">
        <v>141</v>
      </c>
      <c r="I2429" s="1" t="s">
        <v>65</v>
      </c>
      <c r="J2429" s="1">
        <v>3</v>
      </c>
      <c r="K2429" s="1" t="s">
        <v>142</v>
      </c>
      <c r="L2429" s="1" t="s">
        <v>153</v>
      </c>
      <c r="M2429" s="1" t="s">
        <v>1256</v>
      </c>
      <c r="N2429" s="1" t="str">
        <f>HYPERLINK("https://klocwork.india.ti.com:443/review/insight-review.html#issuedetails_goto:problemid=123852,project=MCU_PLUS_SDK_AM263X,searchquery=taxonomy:'C and C++' build:Build_Apr_13_2023_11_11_AM grouping:off ","KW Issue Link")</f>
        <v>KW Issue Link</v>
      </c>
      <c r="O2429" s="1" t="s">
        <v>1083</v>
      </c>
    </row>
    <row r="2430" spans="1:15" ht="75" x14ac:dyDescent="0.25">
      <c r="A2430" s="1" t="s">
        <v>1266</v>
      </c>
      <c r="B2430" s="1"/>
      <c r="C2430" s="1" t="s">
        <v>3468</v>
      </c>
      <c r="D2430" s="1">
        <v>123853</v>
      </c>
      <c r="E2430" s="1">
        <v>1349</v>
      </c>
      <c r="F2430" s="1" t="s">
        <v>3526</v>
      </c>
      <c r="G2430" s="1" t="s">
        <v>3486</v>
      </c>
      <c r="H2430" s="1" t="s">
        <v>141</v>
      </c>
      <c r="I2430" s="1" t="s">
        <v>65</v>
      </c>
      <c r="J2430" s="1">
        <v>3</v>
      </c>
      <c r="K2430" s="1" t="s">
        <v>142</v>
      </c>
      <c r="L2430" s="1" t="s">
        <v>153</v>
      </c>
      <c r="M2430" s="1" t="s">
        <v>1256</v>
      </c>
      <c r="N2430" s="1" t="str">
        <f>HYPERLINK("https://klocwork.india.ti.com:443/review/insight-review.html#issuedetails_goto:problemid=123853,project=MCU_PLUS_SDK_AM263X,searchquery=taxonomy:'C and C++' build:Build_Apr_13_2023_11_11_AM grouping:off ","KW Issue Link")</f>
        <v>KW Issue Link</v>
      </c>
      <c r="O2430" s="1" t="s">
        <v>1083</v>
      </c>
    </row>
    <row r="2431" spans="1:15" ht="75" x14ac:dyDescent="0.25">
      <c r="A2431" s="1" t="s">
        <v>1266</v>
      </c>
      <c r="B2431" s="1"/>
      <c r="C2431" s="1" t="s">
        <v>3468</v>
      </c>
      <c r="D2431" s="1">
        <v>123854</v>
      </c>
      <c r="E2431" s="1">
        <v>1512</v>
      </c>
      <c r="F2431" s="1" t="s">
        <v>3527</v>
      </c>
      <c r="G2431" s="1" t="s">
        <v>3506</v>
      </c>
      <c r="H2431" s="1" t="s">
        <v>141</v>
      </c>
      <c r="I2431" s="1" t="s">
        <v>65</v>
      </c>
      <c r="J2431" s="1">
        <v>3</v>
      </c>
      <c r="K2431" s="1" t="s">
        <v>142</v>
      </c>
      <c r="L2431" s="1" t="s">
        <v>153</v>
      </c>
      <c r="M2431" s="1" t="s">
        <v>1256</v>
      </c>
      <c r="N2431" s="1" t="str">
        <f>HYPERLINK("https://klocwork.india.ti.com:443/review/insight-review.html#issuedetails_goto:problemid=123854,project=MCU_PLUS_SDK_AM263X,searchquery=taxonomy:'C and C++' build:Build_Apr_13_2023_11_11_AM grouping:off ","KW Issue Link")</f>
        <v>KW Issue Link</v>
      </c>
      <c r="O2431" s="1" t="s">
        <v>1083</v>
      </c>
    </row>
    <row r="2432" spans="1:15" ht="75" x14ac:dyDescent="0.25">
      <c r="A2432" s="1" t="s">
        <v>1266</v>
      </c>
      <c r="B2432" s="1"/>
      <c r="C2432" s="1" t="s">
        <v>3468</v>
      </c>
      <c r="D2432" s="1">
        <v>123855</v>
      </c>
      <c r="E2432" s="1">
        <v>1567</v>
      </c>
      <c r="F2432" s="1" t="s">
        <v>3528</v>
      </c>
      <c r="G2432" s="1" t="s">
        <v>3488</v>
      </c>
      <c r="H2432" s="1" t="s">
        <v>141</v>
      </c>
      <c r="I2432" s="1" t="s">
        <v>65</v>
      </c>
      <c r="J2432" s="1">
        <v>3</v>
      </c>
      <c r="K2432" s="1" t="s">
        <v>142</v>
      </c>
      <c r="L2432" s="1" t="s">
        <v>153</v>
      </c>
      <c r="M2432" s="1" t="s">
        <v>1256</v>
      </c>
      <c r="N2432" s="1" t="str">
        <f>HYPERLINK("https://klocwork.india.ti.com:443/review/insight-review.html#issuedetails_goto:problemid=123855,project=MCU_PLUS_SDK_AM263X,searchquery=taxonomy:'C and C++' build:Build_Apr_13_2023_11_11_AM grouping:off ","KW Issue Link")</f>
        <v>KW Issue Link</v>
      </c>
      <c r="O2432" s="1" t="s">
        <v>1083</v>
      </c>
    </row>
    <row r="2433" spans="1:15" ht="75" x14ac:dyDescent="0.25">
      <c r="A2433" s="1" t="s">
        <v>1266</v>
      </c>
      <c r="B2433" s="1"/>
      <c r="C2433" s="1" t="s">
        <v>3468</v>
      </c>
      <c r="D2433" s="1">
        <v>123856</v>
      </c>
      <c r="E2433" s="1">
        <v>1617</v>
      </c>
      <c r="F2433" s="1" t="s">
        <v>3529</v>
      </c>
      <c r="G2433" s="1" t="s">
        <v>3478</v>
      </c>
      <c r="H2433" s="1" t="s">
        <v>141</v>
      </c>
      <c r="I2433" s="1" t="s">
        <v>65</v>
      </c>
      <c r="J2433" s="1">
        <v>3</v>
      </c>
      <c r="K2433" s="1" t="s">
        <v>142</v>
      </c>
      <c r="L2433" s="1" t="s">
        <v>153</v>
      </c>
      <c r="M2433" s="1" t="s">
        <v>1256</v>
      </c>
      <c r="N2433" s="1" t="str">
        <f>HYPERLINK("https://klocwork.india.ti.com:443/review/insight-review.html#issuedetails_goto:problemid=123856,project=MCU_PLUS_SDK_AM263X,searchquery=taxonomy:'C and C++' build:Build_Apr_13_2023_11_11_AM grouping:off ","KW Issue Link")</f>
        <v>KW Issue Link</v>
      </c>
      <c r="O2433" s="1" t="s">
        <v>1083</v>
      </c>
    </row>
    <row r="2434" spans="1:15" ht="75" x14ac:dyDescent="0.25">
      <c r="A2434" s="1" t="s">
        <v>1266</v>
      </c>
      <c r="B2434" s="1"/>
      <c r="C2434" s="1" t="s">
        <v>3468</v>
      </c>
      <c r="D2434" s="1">
        <v>123857</v>
      </c>
      <c r="E2434" s="1">
        <v>1729</v>
      </c>
      <c r="F2434" s="1" t="s">
        <v>3530</v>
      </c>
      <c r="G2434" s="1" t="s">
        <v>3508</v>
      </c>
      <c r="H2434" s="1" t="s">
        <v>141</v>
      </c>
      <c r="I2434" s="1" t="s">
        <v>65</v>
      </c>
      <c r="J2434" s="1">
        <v>3</v>
      </c>
      <c r="K2434" s="1" t="s">
        <v>142</v>
      </c>
      <c r="L2434" s="1" t="s">
        <v>153</v>
      </c>
      <c r="M2434" s="1" t="s">
        <v>1256</v>
      </c>
      <c r="N2434" s="1" t="str">
        <f>HYPERLINK("https://klocwork.india.ti.com:443/review/insight-review.html#issuedetails_goto:problemid=123857,project=MCU_PLUS_SDK_AM263X,searchquery=taxonomy:'C and C++' build:Build_Apr_13_2023_11_11_AM grouping:off ","KW Issue Link")</f>
        <v>KW Issue Link</v>
      </c>
      <c r="O2434" s="1" t="s">
        <v>1083</v>
      </c>
    </row>
    <row r="2435" spans="1:15" ht="75" x14ac:dyDescent="0.25">
      <c r="A2435" s="1" t="s">
        <v>1266</v>
      </c>
      <c r="B2435" s="1"/>
      <c r="C2435" s="1" t="s">
        <v>3468</v>
      </c>
      <c r="D2435" s="1">
        <v>123858</v>
      </c>
      <c r="E2435" s="1">
        <v>1778</v>
      </c>
      <c r="F2435" s="1" t="s">
        <v>3531</v>
      </c>
      <c r="G2435" s="1" t="s">
        <v>3510</v>
      </c>
      <c r="H2435" s="1" t="s">
        <v>141</v>
      </c>
      <c r="I2435" s="1" t="s">
        <v>65</v>
      </c>
      <c r="J2435" s="1">
        <v>3</v>
      </c>
      <c r="K2435" s="1" t="s">
        <v>142</v>
      </c>
      <c r="L2435" s="1" t="s">
        <v>153</v>
      </c>
      <c r="M2435" s="1" t="s">
        <v>1256</v>
      </c>
      <c r="N2435" s="1" t="str">
        <f>HYPERLINK("https://klocwork.india.ti.com:443/review/insight-review.html#issuedetails_goto:problemid=123858,project=MCU_PLUS_SDK_AM263X,searchquery=taxonomy:'C and C++' build:Build_Apr_13_2023_11_11_AM grouping:off ","KW Issue Link")</f>
        <v>KW Issue Link</v>
      </c>
      <c r="O2435" s="1" t="s">
        <v>1083</v>
      </c>
    </row>
    <row r="2436" spans="1:15" ht="75" x14ac:dyDescent="0.25">
      <c r="A2436" s="1" t="s">
        <v>1266</v>
      </c>
      <c r="B2436" s="1"/>
      <c r="C2436" s="1" t="s">
        <v>3468</v>
      </c>
      <c r="D2436" s="1">
        <v>123859</v>
      </c>
      <c r="E2436" s="1">
        <v>1926</v>
      </c>
      <c r="F2436" s="1" t="s">
        <v>3532</v>
      </c>
      <c r="G2436" s="1" t="s">
        <v>3495</v>
      </c>
      <c r="H2436" s="1" t="s">
        <v>141</v>
      </c>
      <c r="I2436" s="1" t="s">
        <v>65</v>
      </c>
      <c r="J2436" s="1">
        <v>3</v>
      </c>
      <c r="K2436" s="1" t="s">
        <v>142</v>
      </c>
      <c r="L2436" s="1" t="s">
        <v>153</v>
      </c>
      <c r="M2436" s="1" t="s">
        <v>1256</v>
      </c>
      <c r="N2436" s="1" t="str">
        <f>HYPERLINK("https://klocwork.india.ti.com:443/review/insight-review.html#issuedetails_goto:problemid=123859,project=MCU_PLUS_SDK_AM263X,searchquery=taxonomy:'C and C++' build:Build_Apr_13_2023_11_11_AM grouping:off ","KW Issue Link")</f>
        <v>KW Issue Link</v>
      </c>
      <c r="O2436" s="1" t="s">
        <v>1083</v>
      </c>
    </row>
    <row r="2437" spans="1:15" ht="75" x14ac:dyDescent="0.25">
      <c r="A2437" s="1" t="s">
        <v>157</v>
      </c>
      <c r="B2437" s="1"/>
      <c r="C2437" s="1" t="s">
        <v>3468</v>
      </c>
      <c r="D2437" s="1">
        <v>123871</v>
      </c>
      <c r="E2437" s="1">
        <v>482</v>
      </c>
      <c r="F2437" s="1" t="s">
        <v>3533</v>
      </c>
      <c r="G2437" s="1" t="s">
        <v>3480</v>
      </c>
      <c r="H2437" s="1" t="s">
        <v>141</v>
      </c>
      <c r="I2437" s="1" t="s">
        <v>65</v>
      </c>
      <c r="J2437" s="1">
        <v>3</v>
      </c>
      <c r="K2437" s="1" t="s">
        <v>142</v>
      </c>
      <c r="L2437" s="1" t="s">
        <v>153</v>
      </c>
      <c r="M2437" s="1" t="s">
        <v>28</v>
      </c>
      <c r="N2437" s="1" t="str">
        <f>HYPERLINK("https://klocwork.india.ti.com:443/review/insight-review.html#issuedetails_goto:problemid=123871,project=MCU_PLUS_SDK_AM263X,searchquery=taxonomy:'C and C++' build:Build_Apr_13_2023_11_11_AM grouping:off ","KW Issue Link")</f>
        <v>KW Issue Link</v>
      </c>
      <c r="O2437" s="1" t="s">
        <v>1083</v>
      </c>
    </row>
    <row r="2438" spans="1:15" ht="75" x14ac:dyDescent="0.25">
      <c r="A2438" s="1" t="s">
        <v>547</v>
      </c>
      <c r="B2438" s="1"/>
      <c r="C2438" s="1" t="s">
        <v>3468</v>
      </c>
      <c r="D2438" s="1">
        <v>123872</v>
      </c>
      <c r="E2438" s="1">
        <v>620</v>
      </c>
      <c r="F2438" s="1" t="s">
        <v>548</v>
      </c>
      <c r="G2438" s="1" t="s">
        <v>3534</v>
      </c>
      <c r="H2438" s="1" t="s">
        <v>141</v>
      </c>
      <c r="I2438" s="1" t="s">
        <v>66</v>
      </c>
      <c r="J2438" s="1">
        <v>4</v>
      </c>
      <c r="K2438" s="1" t="s">
        <v>142</v>
      </c>
      <c r="L2438" s="1" t="s">
        <v>153</v>
      </c>
      <c r="M2438" s="1" t="s">
        <v>28</v>
      </c>
      <c r="N2438" s="1" t="str">
        <f>HYPERLINK("https://klocwork.india.ti.com:443/review/insight-review.html#issuedetails_goto:problemid=123872,project=MCU_PLUS_SDK_AM263X,searchquery=taxonomy:'C and C++' build:Build_Apr_13_2023_11_11_AM grouping:off ","KW Issue Link")</f>
        <v>KW Issue Link</v>
      </c>
      <c r="O2438" s="1" t="s">
        <v>1083</v>
      </c>
    </row>
    <row r="2439" spans="1:15" ht="75" x14ac:dyDescent="0.25">
      <c r="A2439" s="1" t="s">
        <v>1268</v>
      </c>
      <c r="B2439" s="1"/>
      <c r="C2439" s="1" t="s">
        <v>3468</v>
      </c>
      <c r="D2439" s="1">
        <v>123888</v>
      </c>
      <c r="E2439" s="1">
        <v>746</v>
      </c>
      <c r="F2439" s="1" t="s">
        <v>3535</v>
      </c>
      <c r="G2439" s="1" t="s">
        <v>3518</v>
      </c>
      <c r="H2439" s="1" t="s">
        <v>141</v>
      </c>
      <c r="I2439" s="1" t="s">
        <v>65</v>
      </c>
      <c r="J2439" s="1">
        <v>3</v>
      </c>
      <c r="K2439" s="1" t="s">
        <v>142</v>
      </c>
      <c r="L2439" s="1" t="s">
        <v>153</v>
      </c>
      <c r="M2439" s="1" t="s">
        <v>1256</v>
      </c>
      <c r="N2439" s="1" t="str">
        <f>HYPERLINK("https://klocwork.india.ti.com:443/review/insight-review.html#issuedetails_goto:problemid=123888,project=MCU_PLUS_SDK_AM263X,searchquery=taxonomy:'C and C++' build:Build_Apr_13_2023_11_11_AM grouping:off ","KW Issue Link")</f>
        <v>KW Issue Link</v>
      </c>
      <c r="O2439" s="1" t="s">
        <v>1083</v>
      </c>
    </row>
    <row r="2440" spans="1:15" ht="75" x14ac:dyDescent="0.25">
      <c r="A2440" s="1" t="s">
        <v>1268</v>
      </c>
      <c r="B2440" s="1"/>
      <c r="C2440" s="1" t="s">
        <v>3468</v>
      </c>
      <c r="D2440" s="1">
        <v>123889</v>
      </c>
      <c r="E2440" s="1">
        <v>798</v>
      </c>
      <c r="F2440" s="1" t="s">
        <v>3536</v>
      </c>
      <c r="G2440" s="1" t="s">
        <v>3498</v>
      </c>
      <c r="H2440" s="1" t="s">
        <v>141</v>
      </c>
      <c r="I2440" s="1" t="s">
        <v>65</v>
      </c>
      <c r="J2440" s="1">
        <v>3</v>
      </c>
      <c r="K2440" s="1" t="s">
        <v>142</v>
      </c>
      <c r="L2440" s="1" t="s">
        <v>153</v>
      </c>
      <c r="M2440" s="1" t="s">
        <v>1256</v>
      </c>
      <c r="N2440" s="1" t="str">
        <f>HYPERLINK("https://klocwork.india.ti.com:443/review/insight-review.html#issuedetails_goto:problemid=123889,project=MCU_PLUS_SDK_AM263X,searchquery=taxonomy:'C and C++' build:Build_Apr_13_2023_11_11_AM grouping:off ","KW Issue Link")</f>
        <v>KW Issue Link</v>
      </c>
      <c r="O2440" s="1" t="s">
        <v>1083</v>
      </c>
    </row>
    <row r="2441" spans="1:15" ht="75" x14ac:dyDescent="0.25">
      <c r="A2441" s="1" t="s">
        <v>1268</v>
      </c>
      <c r="B2441" s="1"/>
      <c r="C2441" s="1" t="s">
        <v>3468</v>
      </c>
      <c r="D2441" s="1">
        <v>123890</v>
      </c>
      <c r="E2441" s="1">
        <v>921</v>
      </c>
      <c r="F2441" s="1" t="s">
        <v>3537</v>
      </c>
      <c r="G2441" s="1" t="s">
        <v>3500</v>
      </c>
      <c r="H2441" s="1" t="s">
        <v>141</v>
      </c>
      <c r="I2441" s="1" t="s">
        <v>65</v>
      </c>
      <c r="J2441" s="1">
        <v>3</v>
      </c>
      <c r="K2441" s="1" t="s">
        <v>142</v>
      </c>
      <c r="L2441" s="1" t="s">
        <v>153</v>
      </c>
      <c r="M2441" s="1" t="s">
        <v>1256</v>
      </c>
      <c r="N2441" s="1" t="str">
        <f>HYPERLINK("https://klocwork.india.ti.com:443/review/insight-review.html#issuedetails_goto:problemid=123890,project=MCU_PLUS_SDK_AM263X,searchquery=taxonomy:'C and C++' build:Build_Apr_13_2023_11_11_AM grouping:off ","KW Issue Link")</f>
        <v>KW Issue Link</v>
      </c>
      <c r="O2441" s="1" t="s">
        <v>1083</v>
      </c>
    </row>
    <row r="2442" spans="1:15" ht="75" x14ac:dyDescent="0.25">
      <c r="A2442" s="1" t="s">
        <v>1268</v>
      </c>
      <c r="B2442" s="1"/>
      <c r="C2442" s="1" t="s">
        <v>3468</v>
      </c>
      <c r="D2442" s="1">
        <v>123891</v>
      </c>
      <c r="E2442" s="1">
        <v>1019</v>
      </c>
      <c r="F2442" s="1" t="s">
        <v>3538</v>
      </c>
      <c r="G2442" s="1" t="s">
        <v>3522</v>
      </c>
      <c r="H2442" s="1" t="s">
        <v>141</v>
      </c>
      <c r="I2442" s="1" t="s">
        <v>65</v>
      </c>
      <c r="J2442" s="1">
        <v>3</v>
      </c>
      <c r="K2442" s="1" t="s">
        <v>142</v>
      </c>
      <c r="L2442" s="1" t="s">
        <v>153</v>
      </c>
      <c r="M2442" s="1" t="s">
        <v>1256</v>
      </c>
      <c r="N2442" s="1" t="str">
        <f>HYPERLINK("https://klocwork.india.ti.com:443/review/insight-review.html#issuedetails_goto:problemid=123891,project=MCU_PLUS_SDK_AM263X,searchquery=taxonomy:'C and C++' build:Build_Apr_13_2023_11_11_AM grouping:off ","KW Issue Link")</f>
        <v>KW Issue Link</v>
      </c>
      <c r="O2442" s="1" t="s">
        <v>1083</v>
      </c>
    </row>
    <row r="2443" spans="1:15" ht="75" x14ac:dyDescent="0.25">
      <c r="A2443" s="1" t="s">
        <v>1268</v>
      </c>
      <c r="B2443" s="1"/>
      <c r="C2443" s="1" t="s">
        <v>3468</v>
      </c>
      <c r="D2443" s="1">
        <v>123892</v>
      </c>
      <c r="E2443" s="1">
        <v>1108</v>
      </c>
      <c r="F2443" s="1" t="s">
        <v>3539</v>
      </c>
      <c r="G2443" s="1" t="s">
        <v>3502</v>
      </c>
      <c r="H2443" s="1" t="s">
        <v>141</v>
      </c>
      <c r="I2443" s="1" t="s">
        <v>65</v>
      </c>
      <c r="J2443" s="1">
        <v>3</v>
      </c>
      <c r="K2443" s="1" t="s">
        <v>142</v>
      </c>
      <c r="L2443" s="1" t="s">
        <v>153</v>
      </c>
      <c r="M2443" s="1" t="s">
        <v>1256</v>
      </c>
      <c r="N2443" s="1" t="str">
        <f>HYPERLINK("https://klocwork.india.ti.com:443/review/insight-review.html#issuedetails_goto:problemid=123892,project=MCU_PLUS_SDK_AM263X,searchquery=taxonomy:'C and C++' build:Build_Apr_13_2023_11_11_AM grouping:off ","KW Issue Link")</f>
        <v>KW Issue Link</v>
      </c>
      <c r="O2443" s="1" t="s">
        <v>1083</v>
      </c>
    </row>
    <row r="2444" spans="1:15" ht="75" x14ac:dyDescent="0.25">
      <c r="A2444" s="1" t="s">
        <v>1268</v>
      </c>
      <c r="B2444" s="1"/>
      <c r="C2444" s="1" t="s">
        <v>3468</v>
      </c>
      <c r="D2444" s="1">
        <v>123893</v>
      </c>
      <c r="E2444" s="1">
        <v>1229</v>
      </c>
      <c r="F2444" s="1" t="s">
        <v>3540</v>
      </c>
      <c r="G2444" s="1" t="s">
        <v>3504</v>
      </c>
      <c r="H2444" s="1" t="s">
        <v>141</v>
      </c>
      <c r="I2444" s="1" t="s">
        <v>65</v>
      </c>
      <c r="J2444" s="1">
        <v>3</v>
      </c>
      <c r="K2444" s="1" t="s">
        <v>142</v>
      </c>
      <c r="L2444" s="1" t="s">
        <v>153</v>
      </c>
      <c r="M2444" s="1" t="s">
        <v>1256</v>
      </c>
      <c r="N2444" s="1" t="str">
        <f>HYPERLINK("https://klocwork.india.ti.com:443/review/insight-review.html#issuedetails_goto:problemid=123893,project=MCU_PLUS_SDK_AM263X,searchquery=taxonomy:'C and C++' build:Build_Apr_13_2023_11_11_AM grouping:off ","KW Issue Link")</f>
        <v>KW Issue Link</v>
      </c>
      <c r="O2444" s="1" t="s">
        <v>1083</v>
      </c>
    </row>
    <row r="2445" spans="1:15" ht="75" x14ac:dyDescent="0.25">
      <c r="A2445" s="1" t="s">
        <v>1268</v>
      </c>
      <c r="B2445" s="1"/>
      <c r="C2445" s="1" t="s">
        <v>3468</v>
      </c>
      <c r="D2445" s="1">
        <v>123894</v>
      </c>
      <c r="E2445" s="1">
        <v>1312</v>
      </c>
      <c r="F2445" s="1" t="s">
        <v>3541</v>
      </c>
      <c r="G2445" s="1" t="s">
        <v>3484</v>
      </c>
      <c r="H2445" s="1" t="s">
        <v>141</v>
      </c>
      <c r="I2445" s="1" t="s">
        <v>65</v>
      </c>
      <c r="J2445" s="1">
        <v>3</v>
      </c>
      <c r="K2445" s="1" t="s">
        <v>142</v>
      </c>
      <c r="L2445" s="1" t="s">
        <v>153</v>
      </c>
      <c r="M2445" s="1" t="s">
        <v>1256</v>
      </c>
      <c r="N2445" s="1" t="str">
        <f>HYPERLINK("https://klocwork.india.ti.com:443/review/insight-review.html#issuedetails_goto:problemid=123894,project=MCU_PLUS_SDK_AM263X,searchquery=taxonomy:'C and C++' build:Build_Apr_13_2023_11_11_AM grouping:off ","KW Issue Link")</f>
        <v>KW Issue Link</v>
      </c>
      <c r="O2445" s="1" t="s">
        <v>1083</v>
      </c>
    </row>
    <row r="2446" spans="1:15" ht="75" x14ac:dyDescent="0.25">
      <c r="A2446" s="1" t="s">
        <v>1268</v>
      </c>
      <c r="B2446" s="1"/>
      <c r="C2446" s="1" t="s">
        <v>3468</v>
      </c>
      <c r="D2446" s="1">
        <v>123895</v>
      </c>
      <c r="E2446" s="1">
        <v>1349</v>
      </c>
      <c r="F2446" s="1" t="s">
        <v>3542</v>
      </c>
      <c r="G2446" s="1" t="s">
        <v>3486</v>
      </c>
      <c r="H2446" s="1" t="s">
        <v>141</v>
      </c>
      <c r="I2446" s="1" t="s">
        <v>65</v>
      </c>
      <c r="J2446" s="1">
        <v>3</v>
      </c>
      <c r="K2446" s="1" t="s">
        <v>142</v>
      </c>
      <c r="L2446" s="1" t="s">
        <v>153</v>
      </c>
      <c r="M2446" s="1" t="s">
        <v>1256</v>
      </c>
      <c r="N2446" s="1" t="str">
        <f>HYPERLINK("https://klocwork.india.ti.com:443/review/insight-review.html#issuedetails_goto:problemid=123895,project=MCU_PLUS_SDK_AM263X,searchquery=taxonomy:'C and C++' build:Build_Apr_13_2023_11_11_AM grouping:off ","KW Issue Link")</f>
        <v>KW Issue Link</v>
      </c>
      <c r="O2446" s="1" t="s">
        <v>1083</v>
      </c>
    </row>
    <row r="2447" spans="1:15" ht="75" x14ac:dyDescent="0.25">
      <c r="A2447" s="1" t="s">
        <v>1268</v>
      </c>
      <c r="B2447" s="1"/>
      <c r="C2447" s="1" t="s">
        <v>3468</v>
      </c>
      <c r="D2447" s="1">
        <v>123896</v>
      </c>
      <c r="E2447" s="1">
        <v>1485</v>
      </c>
      <c r="F2447" s="1" t="s">
        <v>3543</v>
      </c>
      <c r="G2447" s="1" t="s">
        <v>3544</v>
      </c>
      <c r="H2447" s="1" t="s">
        <v>141</v>
      </c>
      <c r="I2447" s="1" t="s">
        <v>65</v>
      </c>
      <c r="J2447" s="1">
        <v>3</v>
      </c>
      <c r="K2447" s="1" t="s">
        <v>142</v>
      </c>
      <c r="L2447" s="1" t="s">
        <v>153</v>
      </c>
      <c r="M2447" s="1" t="s">
        <v>1256</v>
      </c>
      <c r="N2447" s="1" t="str">
        <f>HYPERLINK("https://klocwork.india.ti.com:443/review/insight-review.html#issuedetails_goto:problemid=123896,project=MCU_PLUS_SDK_AM263X,searchquery=taxonomy:'C and C++' build:Build_Apr_13_2023_11_11_AM grouping:off ","KW Issue Link")</f>
        <v>KW Issue Link</v>
      </c>
      <c r="O2447" s="1" t="s">
        <v>1083</v>
      </c>
    </row>
    <row r="2448" spans="1:15" ht="75" x14ac:dyDescent="0.25">
      <c r="A2448" s="1" t="s">
        <v>1268</v>
      </c>
      <c r="B2448" s="1"/>
      <c r="C2448" s="1" t="s">
        <v>3468</v>
      </c>
      <c r="D2448" s="1">
        <v>123897</v>
      </c>
      <c r="E2448" s="1">
        <v>1512</v>
      </c>
      <c r="F2448" s="1" t="s">
        <v>3545</v>
      </c>
      <c r="G2448" s="1" t="s">
        <v>3506</v>
      </c>
      <c r="H2448" s="1" t="s">
        <v>141</v>
      </c>
      <c r="I2448" s="1" t="s">
        <v>65</v>
      </c>
      <c r="J2448" s="1">
        <v>3</v>
      </c>
      <c r="K2448" s="1" t="s">
        <v>142</v>
      </c>
      <c r="L2448" s="1" t="s">
        <v>153</v>
      </c>
      <c r="M2448" s="1" t="s">
        <v>1256</v>
      </c>
      <c r="N2448" s="1" t="str">
        <f>HYPERLINK("https://klocwork.india.ti.com:443/review/insight-review.html#issuedetails_goto:problemid=123897,project=MCU_PLUS_SDK_AM263X,searchquery=taxonomy:'C and C++' build:Build_Apr_13_2023_11_11_AM grouping:off ","KW Issue Link")</f>
        <v>KW Issue Link</v>
      </c>
      <c r="O2448" s="1" t="s">
        <v>1083</v>
      </c>
    </row>
    <row r="2449" spans="1:15" ht="75" x14ac:dyDescent="0.25">
      <c r="A2449" s="1" t="s">
        <v>1268</v>
      </c>
      <c r="B2449" s="1"/>
      <c r="C2449" s="1" t="s">
        <v>3468</v>
      </c>
      <c r="D2449" s="1">
        <v>123898</v>
      </c>
      <c r="E2449" s="1">
        <v>1567</v>
      </c>
      <c r="F2449" s="1" t="s">
        <v>3546</v>
      </c>
      <c r="G2449" s="1" t="s">
        <v>3488</v>
      </c>
      <c r="H2449" s="1" t="s">
        <v>141</v>
      </c>
      <c r="I2449" s="1" t="s">
        <v>65</v>
      </c>
      <c r="J2449" s="1">
        <v>3</v>
      </c>
      <c r="K2449" s="1" t="s">
        <v>142</v>
      </c>
      <c r="L2449" s="1" t="s">
        <v>153</v>
      </c>
      <c r="M2449" s="1" t="s">
        <v>1256</v>
      </c>
      <c r="N2449" s="1" t="str">
        <f>HYPERLINK("https://klocwork.india.ti.com:443/review/insight-review.html#issuedetails_goto:problemid=123898,project=MCU_PLUS_SDK_AM263X,searchquery=taxonomy:'C and C++' build:Build_Apr_13_2023_11_11_AM grouping:off ","KW Issue Link")</f>
        <v>KW Issue Link</v>
      </c>
      <c r="O2449" s="1" t="s">
        <v>1083</v>
      </c>
    </row>
    <row r="2450" spans="1:15" ht="75" x14ac:dyDescent="0.25">
      <c r="A2450" s="1" t="s">
        <v>1268</v>
      </c>
      <c r="B2450" s="1"/>
      <c r="C2450" s="1" t="s">
        <v>3468</v>
      </c>
      <c r="D2450" s="1">
        <v>123899</v>
      </c>
      <c r="E2450" s="1">
        <v>1617</v>
      </c>
      <c r="F2450" s="1" t="s">
        <v>3547</v>
      </c>
      <c r="G2450" s="1" t="s">
        <v>3478</v>
      </c>
      <c r="H2450" s="1" t="s">
        <v>141</v>
      </c>
      <c r="I2450" s="1" t="s">
        <v>65</v>
      </c>
      <c r="J2450" s="1">
        <v>3</v>
      </c>
      <c r="K2450" s="1" t="s">
        <v>142</v>
      </c>
      <c r="L2450" s="1" t="s">
        <v>153</v>
      </c>
      <c r="M2450" s="1" t="s">
        <v>1256</v>
      </c>
      <c r="N2450" s="1" t="str">
        <f>HYPERLINK("https://klocwork.india.ti.com:443/review/insight-review.html#issuedetails_goto:problemid=123899,project=MCU_PLUS_SDK_AM263X,searchquery=taxonomy:'C and C++' build:Build_Apr_13_2023_11_11_AM grouping:off ","KW Issue Link")</f>
        <v>KW Issue Link</v>
      </c>
      <c r="O2450" s="1" t="s">
        <v>1083</v>
      </c>
    </row>
    <row r="2451" spans="1:15" ht="75" x14ac:dyDescent="0.25">
      <c r="A2451" s="1" t="s">
        <v>1268</v>
      </c>
      <c r="B2451" s="1"/>
      <c r="C2451" s="1" t="s">
        <v>3468</v>
      </c>
      <c r="D2451" s="1">
        <v>123900</v>
      </c>
      <c r="E2451" s="1">
        <v>1729</v>
      </c>
      <c r="F2451" s="1" t="s">
        <v>3548</v>
      </c>
      <c r="G2451" s="1" t="s">
        <v>3508</v>
      </c>
      <c r="H2451" s="1" t="s">
        <v>141</v>
      </c>
      <c r="I2451" s="1" t="s">
        <v>65</v>
      </c>
      <c r="J2451" s="1">
        <v>3</v>
      </c>
      <c r="K2451" s="1" t="s">
        <v>142</v>
      </c>
      <c r="L2451" s="1" t="s">
        <v>153</v>
      </c>
      <c r="M2451" s="1" t="s">
        <v>1256</v>
      </c>
      <c r="N2451" s="1" t="str">
        <f>HYPERLINK("https://klocwork.india.ti.com:443/review/insight-review.html#issuedetails_goto:problemid=123900,project=MCU_PLUS_SDK_AM263X,searchquery=taxonomy:'C and C++' build:Build_Apr_13_2023_11_11_AM grouping:off ","KW Issue Link")</f>
        <v>KW Issue Link</v>
      </c>
      <c r="O2451" s="1" t="s">
        <v>1083</v>
      </c>
    </row>
    <row r="2452" spans="1:15" ht="75" x14ac:dyDescent="0.25">
      <c r="A2452" s="1" t="s">
        <v>1268</v>
      </c>
      <c r="B2452" s="1"/>
      <c r="C2452" s="1" t="s">
        <v>3468</v>
      </c>
      <c r="D2452" s="1">
        <v>123901</v>
      </c>
      <c r="E2452" s="1">
        <v>1808</v>
      </c>
      <c r="F2452" s="1" t="s">
        <v>3549</v>
      </c>
      <c r="G2452" s="1" t="s">
        <v>3493</v>
      </c>
      <c r="H2452" s="1" t="s">
        <v>141</v>
      </c>
      <c r="I2452" s="1" t="s">
        <v>65</v>
      </c>
      <c r="J2452" s="1">
        <v>3</v>
      </c>
      <c r="K2452" s="1" t="s">
        <v>142</v>
      </c>
      <c r="L2452" s="1" t="s">
        <v>153</v>
      </c>
      <c r="M2452" s="1" t="s">
        <v>1256</v>
      </c>
      <c r="N2452" s="1" t="str">
        <f>HYPERLINK("https://klocwork.india.ti.com:443/review/insight-review.html#issuedetails_goto:problemid=123901,project=MCU_PLUS_SDK_AM263X,searchquery=taxonomy:'C and C++' build:Build_Apr_13_2023_11_11_AM grouping:off ","KW Issue Link")</f>
        <v>KW Issue Link</v>
      </c>
      <c r="O2452" s="1" t="s">
        <v>1083</v>
      </c>
    </row>
    <row r="2453" spans="1:15" ht="75" x14ac:dyDescent="0.25">
      <c r="A2453" s="1" t="s">
        <v>1268</v>
      </c>
      <c r="B2453" s="1"/>
      <c r="C2453" s="1" t="s">
        <v>3468</v>
      </c>
      <c r="D2453" s="1">
        <v>123902</v>
      </c>
      <c r="E2453" s="1">
        <v>1926</v>
      </c>
      <c r="F2453" s="1" t="s">
        <v>3550</v>
      </c>
      <c r="G2453" s="1" t="s">
        <v>3495</v>
      </c>
      <c r="H2453" s="1" t="s">
        <v>141</v>
      </c>
      <c r="I2453" s="1" t="s">
        <v>65</v>
      </c>
      <c r="J2453" s="1">
        <v>3</v>
      </c>
      <c r="K2453" s="1" t="s">
        <v>142</v>
      </c>
      <c r="L2453" s="1" t="s">
        <v>153</v>
      </c>
      <c r="M2453" s="1" t="s">
        <v>1256</v>
      </c>
      <c r="N2453" s="1" t="str">
        <f>HYPERLINK("https://klocwork.india.ti.com:443/review/insight-review.html#issuedetails_goto:problemid=123902,project=MCU_PLUS_SDK_AM263X,searchquery=taxonomy:'C and C++' build:Build_Apr_13_2023_11_11_AM grouping:off ","KW Issue Link")</f>
        <v>KW Issue Link</v>
      </c>
      <c r="O2453" s="1" t="s">
        <v>1083</v>
      </c>
    </row>
    <row r="2454" spans="1:15" ht="75" x14ac:dyDescent="0.25">
      <c r="A2454" s="1" t="s">
        <v>997</v>
      </c>
      <c r="B2454" s="1"/>
      <c r="C2454" s="1" t="s">
        <v>3468</v>
      </c>
      <c r="D2454" s="1">
        <v>123904</v>
      </c>
      <c r="E2454" s="1">
        <v>767</v>
      </c>
      <c r="F2454" s="1" t="s">
        <v>3551</v>
      </c>
      <c r="G2454" s="1" t="s">
        <v>3518</v>
      </c>
      <c r="H2454" s="1" t="s">
        <v>141</v>
      </c>
      <c r="I2454" s="1" t="s">
        <v>66</v>
      </c>
      <c r="J2454" s="1">
        <v>4</v>
      </c>
      <c r="K2454" s="1" t="s">
        <v>142</v>
      </c>
      <c r="L2454" s="1" t="s">
        <v>153</v>
      </c>
      <c r="M2454" s="1" t="s">
        <v>28</v>
      </c>
      <c r="N2454" s="1" t="str">
        <f>HYPERLINK("https://klocwork.india.ti.com:443/review/insight-review.html#issuedetails_goto:problemid=123904,project=MCU_PLUS_SDK_AM263X,searchquery=taxonomy:'C and C++' build:Build_Apr_13_2023_11_11_AM grouping:off ","KW Issue Link")</f>
        <v>KW Issue Link</v>
      </c>
      <c r="O2454" s="1" t="s">
        <v>1083</v>
      </c>
    </row>
    <row r="2455" spans="1:15" ht="75" x14ac:dyDescent="0.25">
      <c r="A2455" s="1" t="s">
        <v>997</v>
      </c>
      <c r="B2455" s="1"/>
      <c r="C2455" s="1" t="s">
        <v>3468</v>
      </c>
      <c r="D2455" s="1">
        <v>123905</v>
      </c>
      <c r="E2455" s="1">
        <v>772</v>
      </c>
      <c r="F2455" s="1" t="s">
        <v>3552</v>
      </c>
      <c r="G2455" s="1" t="s">
        <v>3518</v>
      </c>
      <c r="H2455" s="1" t="s">
        <v>141</v>
      </c>
      <c r="I2455" s="1" t="s">
        <v>66</v>
      </c>
      <c r="J2455" s="1">
        <v>4</v>
      </c>
      <c r="K2455" s="1" t="s">
        <v>142</v>
      </c>
      <c r="L2455" s="1" t="s">
        <v>153</v>
      </c>
      <c r="M2455" s="1" t="s">
        <v>28</v>
      </c>
      <c r="N2455" s="1" t="str">
        <f>HYPERLINK("https://klocwork.india.ti.com:443/review/insight-review.html#issuedetails_goto:problemid=123905,project=MCU_PLUS_SDK_AM263X,searchquery=taxonomy:'C and C++' build:Build_Apr_13_2023_11_11_AM grouping:off ","KW Issue Link")</f>
        <v>KW Issue Link</v>
      </c>
      <c r="O2455" s="1" t="s">
        <v>1083</v>
      </c>
    </row>
    <row r="2456" spans="1:15" ht="75" x14ac:dyDescent="0.25">
      <c r="A2456" s="1" t="s">
        <v>997</v>
      </c>
      <c r="B2456" s="1"/>
      <c r="C2456" s="1" t="s">
        <v>3468</v>
      </c>
      <c r="D2456" s="1">
        <v>123906</v>
      </c>
      <c r="E2456" s="1">
        <v>773</v>
      </c>
      <c r="F2456" s="1" t="s">
        <v>3552</v>
      </c>
      <c r="G2456" s="1" t="s">
        <v>3518</v>
      </c>
      <c r="H2456" s="1" t="s">
        <v>141</v>
      </c>
      <c r="I2456" s="1" t="s">
        <v>66</v>
      </c>
      <c r="J2456" s="1">
        <v>4</v>
      </c>
      <c r="K2456" s="1" t="s">
        <v>142</v>
      </c>
      <c r="L2456" s="1" t="s">
        <v>153</v>
      </c>
      <c r="M2456" s="1" t="s">
        <v>28</v>
      </c>
      <c r="N2456" s="1" t="str">
        <f>HYPERLINK("https://klocwork.india.ti.com:443/review/insight-review.html#issuedetails_goto:problemid=123906,project=MCU_PLUS_SDK_AM263X,searchquery=taxonomy:'C and C++' build:Build_Apr_13_2023_11_11_AM grouping:off ","KW Issue Link")</f>
        <v>KW Issue Link</v>
      </c>
      <c r="O2456" s="1" t="s">
        <v>1083</v>
      </c>
    </row>
    <row r="2457" spans="1:15" ht="75" x14ac:dyDescent="0.25">
      <c r="A2457" s="1" t="s">
        <v>997</v>
      </c>
      <c r="B2457" s="1"/>
      <c r="C2457" s="1" t="s">
        <v>3468</v>
      </c>
      <c r="D2457" s="1">
        <v>123907</v>
      </c>
      <c r="E2457" s="1">
        <v>847</v>
      </c>
      <c r="F2457" s="1" t="s">
        <v>3553</v>
      </c>
      <c r="G2457" s="1" t="s">
        <v>3498</v>
      </c>
      <c r="H2457" s="1" t="s">
        <v>141</v>
      </c>
      <c r="I2457" s="1" t="s">
        <v>66</v>
      </c>
      <c r="J2457" s="1">
        <v>4</v>
      </c>
      <c r="K2457" s="1" t="s">
        <v>142</v>
      </c>
      <c r="L2457" s="1" t="s">
        <v>153</v>
      </c>
      <c r="M2457" s="1" t="s">
        <v>28</v>
      </c>
      <c r="N2457" s="1" t="str">
        <f>HYPERLINK("https://klocwork.india.ti.com:443/review/insight-review.html#issuedetails_goto:problemid=123907,project=MCU_PLUS_SDK_AM263X,searchquery=taxonomy:'C and C++' build:Build_Apr_13_2023_11_11_AM grouping:off ","KW Issue Link")</f>
        <v>KW Issue Link</v>
      </c>
      <c r="O2457" s="1" t="s">
        <v>1083</v>
      </c>
    </row>
    <row r="2458" spans="1:15" ht="75" x14ac:dyDescent="0.25">
      <c r="A2458" s="1" t="s">
        <v>997</v>
      </c>
      <c r="B2458" s="1"/>
      <c r="C2458" s="1" t="s">
        <v>3468</v>
      </c>
      <c r="D2458" s="1">
        <v>123908</v>
      </c>
      <c r="E2458" s="1">
        <v>945</v>
      </c>
      <c r="F2458" s="1" t="s">
        <v>3554</v>
      </c>
      <c r="G2458" s="1" t="s">
        <v>3500</v>
      </c>
      <c r="H2458" s="1" t="s">
        <v>141</v>
      </c>
      <c r="I2458" s="1" t="s">
        <v>66</v>
      </c>
      <c r="J2458" s="1">
        <v>4</v>
      </c>
      <c r="K2458" s="1" t="s">
        <v>142</v>
      </c>
      <c r="L2458" s="1" t="s">
        <v>153</v>
      </c>
      <c r="M2458" s="1" t="s">
        <v>28</v>
      </c>
      <c r="N2458" s="1" t="str">
        <f>HYPERLINK("https://klocwork.india.ti.com:443/review/insight-review.html#issuedetails_goto:problemid=123908,project=MCU_PLUS_SDK_AM263X,searchquery=taxonomy:'C and C++' build:Build_Apr_13_2023_11_11_AM grouping:off ","KW Issue Link")</f>
        <v>KW Issue Link</v>
      </c>
      <c r="O2458" s="1" t="s">
        <v>1083</v>
      </c>
    </row>
    <row r="2459" spans="1:15" ht="75" x14ac:dyDescent="0.25">
      <c r="A2459" s="1" t="s">
        <v>997</v>
      </c>
      <c r="B2459" s="1"/>
      <c r="C2459" s="1" t="s">
        <v>3468</v>
      </c>
      <c r="D2459" s="1">
        <v>123909</v>
      </c>
      <c r="E2459" s="1">
        <v>946</v>
      </c>
      <c r="F2459" s="1" t="s">
        <v>3555</v>
      </c>
      <c r="G2459" s="1" t="s">
        <v>3500</v>
      </c>
      <c r="H2459" s="1" t="s">
        <v>141</v>
      </c>
      <c r="I2459" s="1" t="s">
        <v>66</v>
      </c>
      <c r="J2459" s="1">
        <v>4</v>
      </c>
      <c r="K2459" s="1" t="s">
        <v>142</v>
      </c>
      <c r="L2459" s="1" t="s">
        <v>153</v>
      </c>
      <c r="M2459" s="1" t="s">
        <v>28</v>
      </c>
      <c r="N2459" s="1" t="str">
        <f>HYPERLINK("https://klocwork.india.ti.com:443/review/insight-review.html#issuedetails_goto:problemid=123909,project=MCU_PLUS_SDK_AM263X,searchquery=taxonomy:'C and C++' build:Build_Apr_13_2023_11_11_AM grouping:off ","KW Issue Link")</f>
        <v>KW Issue Link</v>
      </c>
      <c r="O2459" s="1" t="s">
        <v>1083</v>
      </c>
    </row>
    <row r="2460" spans="1:15" ht="75" x14ac:dyDescent="0.25">
      <c r="A2460" s="1" t="s">
        <v>997</v>
      </c>
      <c r="B2460" s="1"/>
      <c r="C2460" s="1" t="s">
        <v>3468</v>
      </c>
      <c r="D2460" s="1">
        <v>123910</v>
      </c>
      <c r="E2460" s="1">
        <v>948</v>
      </c>
      <c r="F2460" s="1" t="s">
        <v>3556</v>
      </c>
      <c r="G2460" s="1" t="s">
        <v>3500</v>
      </c>
      <c r="H2460" s="1" t="s">
        <v>141</v>
      </c>
      <c r="I2460" s="1" t="s">
        <v>66</v>
      </c>
      <c r="J2460" s="1">
        <v>4</v>
      </c>
      <c r="K2460" s="1" t="s">
        <v>142</v>
      </c>
      <c r="L2460" s="1" t="s">
        <v>153</v>
      </c>
      <c r="M2460" s="1" t="s">
        <v>28</v>
      </c>
      <c r="N2460" s="1" t="str">
        <f>HYPERLINK("https://klocwork.india.ti.com:443/review/insight-review.html#issuedetails_goto:problemid=123910,project=MCU_PLUS_SDK_AM263X,searchquery=taxonomy:'C and C++' build:Build_Apr_13_2023_11_11_AM grouping:off ","KW Issue Link")</f>
        <v>KW Issue Link</v>
      </c>
      <c r="O2460" s="1" t="s">
        <v>1083</v>
      </c>
    </row>
    <row r="2461" spans="1:15" ht="75" x14ac:dyDescent="0.25">
      <c r="A2461" s="1" t="s">
        <v>997</v>
      </c>
      <c r="B2461" s="1"/>
      <c r="C2461" s="1" t="s">
        <v>3468</v>
      </c>
      <c r="D2461" s="1">
        <v>123911</v>
      </c>
      <c r="E2461" s="1">
        <v>954</v>
      </c>
      <c r="F2461" s="1" t="s">
        <v>3556</v>
      </c>
      <c r="G2461" s="1" t="s">
        <v>3500</v>
      </c>
      <c r="H2461" s="1" t="s">
        <v>141</v>
      </c>
      <c r="I2461" s="1" t="s">
        <v>66</v>
      </c>
      <c r="J2461" s="1">
        <v>4</v>
      </c>
      <c r="K2461" s="1" t="s">
        <v>142</v>
      </c>
      <c r="L2461" s="1" t="s">
        <v>153</v>
      </c>
      <c r="M2461" s="1" t="s">
        <v>28</v>
      </c>
      <c r="N2461" s="1" t="str">
        <f>HYPERLINK("https://klocwork.india.ti.com:443/review/insight-review.html#issuedetails_goto:problemid=123911,project=MCU_PLUS_SDK_AM263X,searchquery=taxonomy:'C and C++' build:Build_Apr_13_2023_11_11_AM grouping:off ","KW Issue Link")</f>
        <v>KW Issue Link</v>
      </c>
      <c r="O2461" s="1" t="s">
        <v>1083</v>
      </c>
    </row>
    <row r="2462" spans="1:15" ht="75" x14ac:dyDescent="0.25">
      <c r="A2462" s="1" t="s">
        <v>997</v>
      </c>
      <c r="B2462" s="1"/>
      <c r="C2462" s="1" t="s">
        <v>3468</v>
      </c>
      <c r="D2462" s="1">
        <v>123912</v>
      </c>
      <c r="E2462" s="1">
        <v>963</v>
      </c>
      <c r="F2462" s="1" t="s">
        <v>3556</v>
      </c>
      <c r="G2462" s="1" t="s">
        <v>3500</v>
      </c>
      <c r="H2462" s="1" t="s">
        <v>141</v>
      </c>
      <c r="I2462" s="1" t="s">
        <v>66</v>
      </c>
      <c r="J2462" s="1">
        <v>4</v>
      </c>
      <c r="K2462" s="1" t="s">
        <v>142</v>
      </c>
      <c r="L2462" s="1" t="s">
        <v>153</v>
      </c>
      <c r="M2462" s="1" t="s">
        <v>28</v>
      </c>
      <c r="N2462" s="1" t="str">
        <f>HYPERLINK("https://klocwork.india.ti.com:443/review/insight-review.html#issuedetails_goto:problemid=123912,project=MCU_PLUS_SDK_AM263X,searchquery=taxonomy:'C and C++' build:Build_Apr_13_2023_11_11_AM grouping:off ","KW Issue Link")</f>
        <v>KW Issue Link</v>
      </c>
      <c r="O2462" s="1" t="s">
        <v>1083</v>
      </c>
    </row>
    <row r="2463" spans="1:15" ht="75" x14ac:dyDescent="0.25">
      <c r="A2463" s="1" t="s">
        <v>997</v>
      </c>
      <c r="B2463" s="1"/>
      <c r="C2463" s="1" t="s">
        <v>3468</v>
      </c>
      <c r="D2463" s="1">
        <v>123913</v>
      </c>
      <c r="E2463" s="1">
        <v>963</v>
      </c>
      <c r="F2463" s="1" t="s">
        <v>3556</v>
      </c>
      <c r="G2463" s="1" t="s">
        <v>3500</v>
      </c>
      <c r="H2463" s="1" t="s">
        <v>141</v>
      </c>
      <c r="I2463" s="1" t="s">
        <v>66</v>
      </c>
      <c r="J2463" s="1">
        <v>4</v>
      </c>
      <c r="K2463" s="1" t="s">
        <v>142</v>
      </c>
      <c r="L2463" s="1" t="s">
        <v>153</v>
      </c>
      <c r="M2463" s="1" t="s">
        <v>28</v>
      </c>
      <c r="N2463" s="1" t="str">
        <f>HYPERLINK("https://klocwork.india.ti.com:443/review/insight-review.html#issuedetails_goto:problemid=123913,project=MCU_PLUS_SDK_AM263X,searchquery=taxonomy:'C and C++' build:Build_Apr_13_2023_11_11_AM grouping:off ","KW Issue Link")</f>
        <v>KW Issue Link</v>
      </c>
      <c r="O2463" s="1" t="s">
        <v>1083</v>
      </c>
    </row>
    <row r="2464" spans="1:15" ht="75" x14ac:dyDescent="0.25">
      <c r="A2464" s="1" t="s">
        <v>997</v>
      </c>
      <c r="B2464" s="1"/>
      <c r="C2464" s="1" t="s">
        <v>3468</v>
      </c>
      <c r="D2464" s="1">
        <v>123914</v>
      </c>
      <c r="E2464" s="1">
        <v>969</v>
      </c>
      <c r="F2464" s="1" t="s">
        <v>3554</v>
      </c>
      <c r="G2464" s="1" t="s">
        <v>3500</v>
      </c>
      <c r="H2464" s="1" t="s">
        <v>141</v>
      </c>
      <c r="I2464" s="1" t="s">
        <v>66</v>
      </c>
      <c r="J2464" s="1">
        <v>4</v>
      </c>
      <c r="K2464" s="1" t="s">
        <v>142</v>
      </c>
      <c r="L2464" s="1" t="s">
        <v>153</v>
      </c>
      <c r="M2464" s="1" t="s">
        <v>28</v>
      </c>
      <c r="N2464" s="1" t="str">
        <f>HYPERLINK("https://klocwork.india.ti.com:443/review/insight-review.html#issuedetails_goto:problemid=123914,project=MCU_PLUS_SDK_AM263X,searchquery=taxonomy:'C and C++' build:Build_Apr_13_2023_11_11_AM grouping:off ","KW Issue Link")</f>
        <v>KW Issue Link</v>
      </c>
      <c r="O2464" s="1" t="s">
        <v>1083</v>
      </c>
    </row>
    <row r="2465" spans="1:15" ht="75" x14ac:dyDescent="0.25">
      <c r="A2465" s="1" t="s">
        <v>997</v>
      </c>
      <c r="B2465" s="1"/>
      <c r="C2465" s="1" t="s">
        <v>3468</v>
      </c>
      <c r="D2465" s="1">
        <v>123915</v>
      </c>
      <c r="E2465" s="1">
        <v>971</v>
      </c>
      <c r="F2465" s="1" t="s">
        <v>3557</v>
      </c>
      <c r="G2465" s="1" t="s">
        <v>3500</v>
      </c>
      <c r="H2465" s="1" t="s">
        <v>141</v>
      </c>
      <c r="I2465" s="1" t="s">
        <v>66</v>
      </c>
      <c r="J2465" s="1">
        <v>4</v>
      </c>
      <c r="K2465" s="1" t="s">
        <v>142</v>
      </c>
      <c r="L2465" s="1" t="s">
        <v>153</v>
      </c>
      <c r="M2465" s="1" t="s">
        <v>28</v>
      </c>
      <c r="N2465" s="1" t="str">
        <f>HYPERLINK("https://klocwork.india.ti.com:443/review/insight-review.html#issuedetails_goto:problemid=123915,project=MCU_PLUS_SDK_AM263X,searchquery=taxonomy:'C and C++' build:Build_Apr_13_2023_11_11_AM grouping:off ","KW Issue Link")</f>
        <v>KW Issue Link</v>
      </c>
      <c r="O2465" s="1" t="s">
        <v>1083</v>
      </c>
    </row>
    <row r="2466" spans="1:15" ht="75" x14ac:dyDescent="0.25">
      <c r="A2466" s="1" t="s">
        <v>997</v>
      </c>
      <c r="B2466" s="1"/>
      <c r="C2466" s="1" t="s">
        <v>3468</v>
      </c>
      <c r="D2466" s="1">
        <v>123916</v>
      </c>
      <c r="E2466" s="1">
        <v>975</v>
      </c>
      <c r="F2466" s="1" t="s">
        <v>3555</v>
      </c>
      <c r="G2466" s="1" t="s">
        <v>3500</v>
      </c>
      <c r="H2466" s="1" t="s">
        <v>141</v>
      </c>
      <c r="I2466" s="1" t="s">
        <v>66</v>
      </c>
      <c r="J2466" s="1">
        <v>4</v>
      </c>
      <c r="K2466" s="1" t="s">
        <v>142</v>
      </c>
      <c r="L2466" s="1" t="s">
        <v>153</v>
      </c>
      <c r="M2466" s="1" t="s">
        <v>28</v>
      </c>
      <c r="N2466" s="1" t="str">
        <f>HYPERLINK("https://klocwork.india.ti.com:443/review/insight-review.html#issuedetails_goto:problemid=123916,project=MCU_PLUS_SDK_AM263X,searchquery=taxonomy:'C and C++' build:Build_Apr_13_2023_11_11_AM grouping:off ","KW Issue Link")</f>
        <v>KW Issue Link</v>
      </c>
      <c r="O2466" s="1" t="s">
        <v>1083</v>
      </c>
    </row>
    <row r="2467" spans="1:15" ht="75" x14ac:dyDescent="0.25">
      <c r="A2467" s="1" t="s">
        <v>997</v>
      </c>
      <c r="B2467" s="1"/>
      <c r="C2467" s="1" t="s">
        <v>3468</v>
      </c>
      <c r="D2467" s="1">
        <v>123917</v>
      </c>
      <c r="E2467" s="1">
        <v>979</v>
      </c>
      <c r="F2467" s="1" t="s">
        <v>3554</v>
      </c>
      <c r="G2467" s="1" t="s">
        <v>3500</v>
      </c>
      <c r="H2467" s="1" t="s">
        <v>141</v>
      </c>
      <c r="I2467" s="1" t="s">
        <v>66</v>
      </c>
      <c r="J2467" s="1">
        <v>4</v>
      </c>
      <c r="K2467" s="1" t="s">
        <v>142</v>
      </c>
      <c r="L2467" s="1" t="s">
        <v>153</v>
      </c>
      <c r="M2467" s="1" t="s">
        <v>28</v>
      </c>
      <c r="N2467" s="1" t="str">
        <f>HYPERLINK("https://klocwork.india.ti.com:443/review/insight-review.html#issuedetails_goto:problemid=123917,project=MCU_PLUS_SDK_AM263X,searchquery=taxonomy:'C and C++' build:Build_Apr_13_2023_11_11_AM grouping:off ","KW Issue Link")</f>
        <v>KW Issue Link</v>
      </c>
      <c r="O2467" s="1" t="s">
        <v>1083</v>
      </c>
    </row>
    <row r="2468" spans="1:15" ht="75" x14ac:dyDescent="0.25">
      <c r="A2468" s="1" t="s">
        <v>997</v>
      </c>
      <c r="B2468" s="1"/>
      <c r="C2468" s="1" t="s">
        <v>3468</v>
      </c>
      <c r="D2468" s="1">
        <v>123918</v>
      </c>
      <c r="E2468" s="1">
        <v>979</v>
      </c>
      <c r="F2468" s="1" t="s">
        <v>3554</v>
      </c>
      <c r="G2468" s="1" t="s">
        <v>3500</v>
      </c>
      <c r="H2468" s="1" t="s">
        <v>141</v>
      </c>
      <c r="I2468" s="1" t="s">
        <v>66</v>
      </c>
      <c r="J2468" s="1">
        <v>4</v>
      </c>
      <c r="K2468" s="1" t="s">
        <v>142</v>
      </c>
      <c r="L2468" s="1" t="s">
        <v>153</v>
      </c>
      <c r="M2468" s="1" t="s">
        <v>28</v>
      </c>
      <c r="N2468" s="1" t="str">
        <f>HYPERLINK("https://klocwork.india.ti.com:443/review/insight-review.html#issuedetails_goto:problemid=123918,project=MCU_PLUS_SDK_AM263X,searchquery=taxonomy:'C and C++' build:Build_Apr_13_2023_11_11_AM grouping:off ","KW Issue Link")</f>
        <v>KW Issue Link</v>
      </c>
      <c r="O2468" s="1" t="s">
        <v>1083</v>
      </c>
    </row>
    <row r="2469" spans="1:15" ht="75" x14ac:dyDescent="0.25">
      <c r="A2469" s="1" t="s">
        <v>997</v>
      </c>
      <c r="B2469" s="1"/>
      <c r="C2469" s="1" t="s">
        <v>3468</v>
      </c>
      <c r="D2469" s="1">
        <v>123919</v>
      </c>
      <c r="E2469" s="1">
        <v>980</v>
      </c>
      <c r="F2469" s="1" t="s">
        <v>3554</v>
      </c>
      <c r="G2469" s="1" t="s">
        <v>3500</v>
      </c>
      <c r="H2469" s="1" t="s">
        <v>141</v>
      </c>
      <c r="I2469" s="1" t="s">
        <v>66</v>
      </c>
      <c r="J2469" s="1">
        <v>4</v>
      </c>
      <c r="K2469" s="1" t="s">
        <v>142</v>
      </c>
      <c r="L2469" s="1" t="s">
        <v>153</v>
      </c>
      <c r="M2469" s="1" t="s">
        <v>28</v>
      </c>
      <c r="N2469" s="1" t="str">
        <f>HYPERLINK("https://klocwork.india.ti.com:443/review/insight-review.html#issuedetails_goto:problemid=123919,project=MCU_PLUS_SDK_AM263X,searchquery=taxonomy:'C and C++' build:Build_Apr_13_2023_11_11_AM grouping:off ","KW Issue Link")</f>
        <v>KW Issue Link</v>
      </c>
      <c r="O2469" s="1" t="s">
        <v>1083</v>
      </c>
    </row>
    <row r="2470" spans="1:15" ht="75" x14ac:dyDescent="0.25">
      <c r="A2470" s="1" t="s">
        <v>997</v>
      </c>
      <c r="B2470" s="1"/>
      <c r="C2470" s="1" t="s">
        <v>3468</v>
      </c>
      <c r="D2470" s="1">
        <v>123920</v>
      </c>
      <c r="E2470" s="1">
        <v>980</v>
      </c>
      <c r="F2470" s="1" t="s">
        <v>3554</v>
      </c>
      <c r="G2470" s="1" t="s">
        <v>3500</v>
      </c>
      <c r="H2470" s="1" t="s">
        <v>141</v>
      </c>
      <c r="I2470" s="1" t="s">
        <v>66</v>
      </c>
      <c r="J2470" s="1">
        <v>4</v>
      </c>
      <c r="K2470" s="1" t="s">
        <v>142</v>
      </c>
      <c r="L2470" s="1" t="s">
        <v>153</v>
      </c>
      <c r="M2470" s="1" t="s">
        <v>28</v>
      </c>
      <c r="N2470" s="1" t="str">
        <f>HYPERLINK("https://klocwork.india.ti.com:443/review/insight-review.html#issuedetails_goto:problemid=123920,project=MCU_PLUS_SDK_AM263X,searchquery=taxonomy:'C and C++' build:Build_Apr_13_2023_11_11_AM grouping:off ","KW Issue Link")</f>
        <v>KW Issue Link</v>
      </c>
      <c r="O2470" s="1" t="s">
        <v>1083</v>
      </c>
    </row>
    <row r="2471" spans="1:15" ht="75" x14ac:dyDescent="0.25">
      <c r="A2471" s="1" t="s">
        <v>997</v>
      </c>
      <c r="B2471" s="1"/>
      <c r="C2471" s="1" t="s">
        <v>3468</v>
      </c>
      <c r="D2471" s="1">
        <v>123921</v>
      </c>
      <c r="E2471" s="1">
        <v>983</v>
      </c>
      <c r="F2471" s="1" t="s">
        <v>3557</v>
      </c>
      <c r="G2471" s="1" t="s">
        <v>3500</v>
      </c>
      <c r="H2471" s="1" t="s">
        <v>141</v>
      </c>
      <c r="I2471" s="1" t="s">
        <v>66</v>
      </c>
      <c r="J2471" s="1">
        <v>4</v>
      </c>
      <c r="K2471" s="1" t="s">
        <v>142</v>
      </c>
      <c r="L2471" s="1" t="s">
        <v>153</v>
      </c>
      <c r="M2471" s="1" t="s">
        <v>28</v>
      </c>
      <c r="N2471" s="1" t="str">
        <f>HYPERLINK("https://klocwork.india.ti.com:443/review/insight-review.html#issuedetails_goto:problemid=123921,project=MCU_PLUS_SDK_AM263X,searchquery=taxonomy:'C and C++' build:Build_Apr_13_2023_11_11_AM grouping:off ","KW Issue Link")</f>
        <v>KW Issue Link</v>
      </c>
      <c r="O2471" s="1" t="s">
        <v>1083</v>
      </c>
    </row>
    <row r="2472" spans="1:15" ht="75" x14ac:dyDescent="0.25">
      <c r="A2472" s="1" t="s">
        <v>997</v>
      </c>
      <c r="B2472" s="1"/>
      <c r="C2472" s="1" t="s">
        <v>3468</v>
      </c>
      <c r="D2472" s="1">
        <v>123922</v>
      </c>
      <c r="E2472" s="1">
        <v>983</v>
      </c>
      <c r="F2472" s="1" t="s">
        <v>3557</v>
      </c>
      <c r="G2472" s="1" t="s">
        <v>3500</v>
      </c>
      <c r="H2472" s="1" t="s">
        <v>141</v>
      </c>
      <c r="I2472" s="1" t="s">
        <v>66</v>
      </c>
      <c r="J2472" s="1">
        <v>4</v>
      </c>
      <c r="K2472" s="1" t="s">
        <v>142</v>
      </c>
      <c r="L2472" s="1" t="s">
        <v>153</v>
      </c>
      <c r="M2472" s="1" t="s">
        <v>28</v>
      </c>
      <c r="N2472" s="1" t="str">
        <f>HYPERLINK("https://klocwork.india.ti.com:443/review/insight-review.html#issuedetails_goto:problemid=123922,project=MCU_PLUS_SDK_AM263X,searchquery=taxonomy:'C and C++' build:Build_Apr_13_2023_11_11_AM grouping:off ","KW Issue Link")</f>
        <v>KW Issue Link</v>
      </c>
      <c r="O2472" s="1" t="s">
        <v>1083</v>
      </c>
    </row>
    <row r="2473" spans="1:15" ht="75" x14ac:dyDescent="0.25">
      <c r="A2473" s="1" t="s">
        <v>997</v>
      </c>
      <c r="B2473" s="1"/>
      <c r="C2473" s="1" t="s">
        <v>3468</v>
      </c>
      <c r="D2473" s="1">
        <v>123923</v>
      </c>
      <c r="E2473" s="1">
        <v>984</v>
      </c>
      <c r="F2473" s="1" t="s">
        <v>3557</v>
      </c>
      <c r="G2473" s="1" t="s">
        <v>3500</v>
      </c>
      <c r="H2473" s="1" t="s">
        <v>141</v>
      </c>
      <c r="I2473" s="1" t="s">
        <v>66</v>
      </c>
      <c r="J2473" s="1">
        <v>4</v>
      </c>
      <c r="K2473" s="1" t="s">
        <v>142</v>
      </c>
      <c r="L2473" s="1" t="s">
        <v>153</v>
      </c>
      <c r="M2473" s="1" t="s">
        <v>28</v>
      </c>
      <c r="N2473" s="1" t="str">
        <f>HYPERLINK("https://klocwork.india.ti.com:443/review/insight-review.html#issuedetails_goto:problemid=123923,project=MCU_PLUS_SDK_AM263X,searchquery=taxonomy:'C and C++' build:Build_Apr_13_2023_11_11_AM grouping:off ","KW Issue Link")</f>
        <v>KW Issue Link</v>
      </c>
      <c r="O2473" s="1" t="s">
        <v>1083</v>
      </c>
    </row>
    <row r="2474" spans="1:15" ht="75" x14ac:dyDescent="0.25">
      <c r="A2474" s="1" t="s">
        <v>997</v>
      </c>
      <c r="B2474" s="1"/>
      <c r="C2474" s="1" t="s">
        <v>3468</v>
      </c>
      <c r="D2474" s="1">
        <v>123924</v>
      </c>
      <c r="E2474" s="1">
        <v>985</v>
      </c>
      <c r="F2474" s="1" t="s">
        <v>3557</v>
      </c>
      <c r="G2474" s="1" t="s">
        <v>3500</v>
      </c>
      <c r="H2474" s="1" t="s">
        <v>141</v>
      </c>
      <c r="I2474" s="1" t="s">
        <v>66</v>
      </c>
      <c r="J2474" s="1">
        <v>4</v>
      </c>
      <c r="K2474" s="1" t="s">
        <v>142</v>
      </c>
      <c r="L2474" s="1" t="s">
        <v>153</v>
      </c>
      <c r="M2474" s="1" t="s">
        <v>28</v>
      </c>
      <c r="N2474" s="1" t="str">
        <f>HYPERLINK("https://klocwork.india.ti.com:443/review/insight-review.html#issuedetails_goto:problemid=123924,project=MCU_PLUS_SDK_AM263X,searchquery=taxonomy:'C and C++' build:Build_Apr_13_2023_11_11_AM grouping:off ","KW Issue Link")</f>
        <v>KW Issue Link</v>
      </c>
      <c r="O2474" s="1" t="s">
        <v>1083</v>
      </c>
    </row>
    <row r="2475" spans="1:15" ht="75" x14ac:dyDescent="0.25">
      <c r="A2475" s="1" t="s">
        <v>997</v>
      </c>
      <c r="B2475" s="1"/>
      <c r="C2475" s="1" t="s">
        <v>3468</v>
      </c>
      <c r="D2475" s="1">
        <v>123925</v>
      </c>
      <c r="E2475" s="1">
        <v>985</v>
      </c>
      <c r="F2475" s="1" t="s">
        <v>3557</v>
      </c>
      <c r="G2475" s="1" t="s">
        <v>3500</v>
      </c>
      <c r="H2475" s="1" t="s">
        <v>141</v>
      </c>
      <c r="I2475" s="1" t="s">
        <v>66</v>
      </c>
      <c r="J2475" s="1">
        <v>4</v>
      </c>
      <c r="K2475" s="1" t="s">
        <v>142</v>
      </c>
      <c r="L2475" s="1" t="s">
        <v>153</v>
      </c>
      <c r="M2475" s="1" t="s">
        <v>28</v>
      </c>
      <c r="N2475" s="1" t="str">
        <f>HYPERLINK("https://klocwork.india.ti.com:443/review/insight-review.html#issuedetails_goto:problemid=123925,project=MCU_PLUS_SDK_AM263X,searchquery=taxonomy:'C and C++' build:Build_Apr_13_2023_11_11_AM grouping:off ","KW Issue Link")</f>
        <v>KW Issue Link</v>
      </c>
      <c r="O2475" s="1" t="s">
        <v>1083</v>
      </c>
    </row>
    <row r="2476" spans="1:15" ht="75" x14ac:dyDescent="0.25">
      <c r="A2476" s="1" t="s">
        <v>997</v>
      </c>
      <c r="B2476" s="1"/>
      <c r="C2476" s="1" t="s">
        <v>3468</v>
      </c>
      <c r="D2476" s="1">
        <v>123926</v>
      </c>
      <c r="E2476" s="1">
        <v>989</v>
      </c>
      <c r="F2476" s="1" t="s">
        <v>3555</v>
      </c>
      <c r="G2476" s="1" t="s">
        <v>3500</v>
      </c>
      <c r="H2476" s="1" t="s">
        <v>141</v>
      </c>
      <c r="I2476" s="1" t="s">
        <v>66</v>
      </c>
      <c r="J2476" s="1">
        <v>4</v>
      </c>
      <c r="K2476" s="1" t="s">
        <v>142</v>
      </c>
      <c r="L2476" s="1" t="s">
        <v>153</v>
      </c>
      <c r="M2476" s="1" t="s">
        <v>28</v>
      </c>
      <c r="N2476" s="1" t="str">
        <f>HYPERLINK("https://klocwork.india.ti.com:443/review/insight-review.html#issuedetails_goto:problemid=123926,project=MCU_PLUS_SDK_AM263X,searchquery=taxonomy:'C and C++' build:Build_Apr_13_2023_11_11_AM grouping:off ","KW Issue Link")</f>
        <v>KW Issue Link</v>
      </c>
      <c r="O2476" s="1" t="s">
        <v>1083</v>
      </c>
    </row>
    <row r="2477" spans="1:15" ht="75" x14ac:dyDescent="0.25">
      <c r="A2477" s="1" t="s">
        <v>997</v>
      </c>
      <c r="B2477" s="1"/>
      <c r="C2477" s="1" t="s">
        <v>3468</v>
      </c>
      <c r="D2477" s="1">
        <v>123927</v>
      </c>
      <c r="E2477" s="1">
        <v>1056</v>
      </c>
      <c r="F2477" s="1" t="s">
        <v>3558</v>
      </c>
      <c r="G2477" s="1" t="s">
        <v>3522</v>
      </c>
      <c r="H2477" s="1" t="s">
        <v>141</v>
      </c>
      <c r="I2477" s="1" t="s">
        <v>66</v>
      </c>
      <c r="J2477" s="1">
        <v>4</v>
      </c>
      <c r="K2477" s="1" t="s">
        <v>142</v>
      </c>
      <c r="L2477" s="1" t="s">
        <v>153</v>
      </c>
      <c r="M2477" s="1" t="s">
        <v>28</v>
      </c>
      <c r="N2477" s="1" t="str">
        <f>HYPERLINK("https://klocwork.india.ti.com:443/review/insight-review.html#issuedetails_goto:problemid=123927,project=MCU_PLUS_SDK_AM263X,searchquery=taxonomy:'C and C++' build:Build_Apr_13_2023_11_11_AM grouping:off ","KW Issue Link")</f>
        <v>KW Issue Link</v>
      </c>
      <c r="O2477" s="1" t="s">
        <v>1083</v>
      </c>
    </row>
    <row r="2478" spans="1:15" ht="75" x14ac:dyDescent="0.25">
      <c r="A2478" s="1" t="s">
        <v>997</v>
      </c>
      <c r="B2478" s="1"/>
      <c r="C2478" s="1" t="s">
        <v>3468</v>
      </c>
      <c r="D2478" s="1">
        <v>123928</v>
      </c>
      <c r="E2478" s="1">
        <v>1057</v>
      </c>
      <c r="F2478" s="1" t="s">
        <v>3559</v>
      </c>
      <c r="G2478" s="1" t="s">
        <v>3522</v>
      </c>
      <c r="H2478" s="1" t="s">
        <v>141</v>
      </c>
      <c r="I2478" s="1" t="s">
        <v>66</v>
      </c>
      <c r="J2478" s="1">
        <v>4</v>
      </c>
      <c r="K2478" s="1" t="s">
        <v>142</v>
      </c>
      <c r="L2478" s="1" t="s">
        <v>153</v>
      </c>
      <c r="M2478" s="1" t="s">
        <v>28</v>
      </c>
      <c r="N2478" s="1" t="str">
        <f>HYPERLINK("https://klocwork.india.ti.com:443/review/insight-review.html#issuedetails_goto:problemid=123928,project=MCU_PLUS_SDK_AM263X,searchquery=taxonomy:'C and C++' build:Build_Apr_13_2023_11_11_AM grouping:off ","KW Issue Link")</f>
        <v>KW Issue Link</v>
      </c>
      <c r="O2478" s="1" t="s">
        <v>1083</v>
      </c>
    </row>
    <row r="2479" spans="1:15" ht="75" x14ac:dyDescent="0.25">
      <c r="A2479" s="1" t="s">
        <v>997</v>
      </c>
      <c r="B2479" s="1"/>
      <c r="C2479" s="1" t="s">
        <v>3468</v>
      </c>
      <c r="D2479" s="1">
        <v>123929</v>
      </c>
      <c r="E2479" s="1">
        <v>1058</v>
      </c>
      <c r="F2479" s="1" t="s">
        <v>3558</v>
      </c>
      <c r="G2479" s="1" t="s">
        <v>3522</v>
      </c>
      <c r="H2479" s="1" t="s">
        <v>141</v>
      </c>
      <c r="I2479" s="1" t="s">
        <v>66</v>
      </c>
      <c r="J2479" s="1">
        <v>4</v>
      </c>
      <c r="K2479" s="1" t="s">
        <v>142</v>
      </c>
      <c r="L2479" s="1" t="s">
        <v>153</v>
      </c>
      <c r="M2479" s="1" t="s">
        <v>28</v>
      </c>
      <c r="N2479" s="1" t="str">
        <f>HYPERLINK("https://klocwork.india.ti.com:443/review/insight-review.html#issuedetails_goto:problemid=123929,project=MCU_PLUS_SDK_AM263X,searchquery=taxonomy:'C and C++' build:Build_Apr_13_2023_11_11_AM grouping:off ","KW Issue Link")</f>
        <v>KW Issue Link</v>
      </c>
      <c r="O2479" s="1" t="s">
        <v>1083</v>
      </c>
    </row>
    <row r="2480" spans="1:15" ht="75" x14ac:dyDescent="0.25">
      <c r="A2480" s="1" t="s">
        <v>997</v>
      </c>
      <c r="B2480" s="1"/>
      <c r="C2480" s="1" t="s">
        <v>3468</v>
      </c>
      <c r="D2480" s="1">
        <v>123930</v>
      </c>
      <c r="E2480" s="1">
        <v>1058</v>
      </c>
      <c r="F2480" s="1" t="s">
        <v>3558</v>
      </c>
      <c r="G2480" s="1" t="s">
        <v>3522</v>
      </c>
      <c r="H2480" s="1" t="s">
        <v>141</v>
      </c>
      <c r="I2480" s="1" t="s">
        <v>66</v>
      </c>
      <c r="J2480" s="1">
        <v>4</v>
      </c>
      <c r="K2480" s="1" t="s">
        <v>142</v>
      </c>
      <c r="L2480" s="1" t="s">
        <v>153</v>
      </c>
      <c r="M2480" s="1" t="s">
        <v>28</v>
      </c>
      <c r="N2480" s="1" t="str">
        <f>HYPERLINK("https://klocwork.india.ti.com:443/review/insight-review.html#issuedetails_goto:problemid=123930,project=MCU_PLUS_SDK_AM263X,searchquery=taxonomy:'C and C++' build:Build_Apr_13_2023_11_11_AM grouping:off ","KW Issue Link")</f>
        <v>KW Issue Link</v>
      </c>
      <c r="O2480" s="1" t="s">
        <v>1083</v>
      </c>
    </row>
    <row r="2481" spans="1:15" ht="75" x14ac:dyDescent="0.25">
      <c r="A2481" s="1" t="s">
        <v>997</v>
      </c>
      <c r="B2481" s="1"/>
      <c r="C2481" s="1" t="s">
        <v>3468</v>
      </c>
      <c r="D2481" s="1">
        <v>123931</v>
      </c>
      <c r="E2481" s="1">
        <v>1059</v>
      </c>
      <c r="F2481" s="1" t="s">
        <v>3559</v>
      </c>
      <c r="G2481" s="1" t="s">
        <v>3522</v>
      </c>
      <c r="H2481" s="1" t="s">
        <v>141</v>
      </c>
      <c r="I2481" s="1" t="s">
        <v>66</v>
      </c>
      <c r="J2481" s="1">
        <v>4</v>
      </c>
      <c r="K2481" s="1" t="s">
        <v>142</v>
      </c>
      <c r="L2481" s="1" t="s">
        <v>153</v>
      </c>
      <c r="M2481" s="1" t="s">
        <v>28</v>
      </c>
      <c r="N2481" s="1" t="str">
        <f>HYPERLINK("https://klocwork.india.ti.com:443/review/insight-review.html#issuedetails_goto:problemid=123931,project=MCU_PLUS_SDK_AM263X,searchquery=taxonomy:'C and C++' build:Build_Apr_13_2023_11_11_AM grouping:off ","KW Issue Link")</f>
        <v>KW Issue Link</v>
      </c>
      <c r="O2481" s="1" t="s">
        <v>1083</v>
      </c>
    </row>
    <row r="2482" spans="1:15" ht="75" x14ac:dyDescent="0.25">
      <c r="A2482" s="1" t="s">
        <v>997</v>
      </c>
      <c r="B2482" s="1"/>
      <c r="C2482" s="1" t="s">
        <v>3468</v>
      </c>
      <c r="D2482" s="1">
        <v>123932</v>
      </c>
      <c r="E2482" s="1">
        <v>1059</v>
      </c>
      <c r="F2482" s="1" t="s">
        <v>3559</v>
      </c>
      <c r="G2482" s="1" t="s">
        <v>3522</v>
      </c>
      <c r="H2482" s="1" t="s">
        <v>141</v>
      </c>
      <c r="I2482" s="1" t="s">
        <v>66</v>
      </c>
      <c r="J2482" s="1">
        <v>4</v>
      </c>
      <c r="K2482" s="1" t="s">
        <v>142</v>
      </c>
      <c r="L2482" s="1" t="s">
        <v>153</v>
      </c>
      <c r="M2482" s="1" t="s">
        <v>28</v>
      </c>
      <c r="N2482" s="1" t="str">
        <f>HYPERLINK("https://klocwork.india.ti.com:443/review/insight-review.html#issuedetails_goto:problemid=123932,project=MCU_PLUS_SDK_AM263X,searchquery=taxonomy:'C and C++' build:Build_Apr_13_2023_11_11_AM grouping:off ","KW Issue Link")</f>
        <v>KW Issue Link</v>
      </c>
      <c r="O2482" s="1" t="s">
        <v>1083</v>
      </c>
    </row>
    <row r="2483" spans="1:15" ht="75" x14ac:dyDescent="0.25">
      <c r="A2483" s="1" t="s">
        <v>997</v>
      </c>
      <c r="B2483" s="1"/>
      <c r="C2483" s="1" t="s">
        <v>3468</v>
      </c>
      <c r="D2483" s="1">
        <v>123933</v>
      </c>
      <c r="E2483" s="1">
        <v>1079</v>
      </c>
      <c r="F2483" s="1" t="s">
        <v>3560</v>
      </c>
      <c r="G2483" s="1" t="s">
        <v>3522</v>
      </c>
      <c r="H2483" s="1" t="s">
        <v>141</v>
      </c>
      <c r="I2483" s="1" t="s">
        <v>66</v>
      </c>
      <c r="J2483" s="1">
        <v>4</v>
      </c>
      <c r="K2483" s="1" t="s">
        <v>142</v>
      </c>
      <c r="L2483" s="1" t="s">
        <v>153</v>
      </c>
      <c r="M2483" s="1" t="s">
        <v>28</v>
      </c>
      <c r="N2483" s="1" t="str">
        <f>HYPERLINK("https://klocwork.india.ti.com:443/review/insight-review.html#issuedetails_goto:problemid=123933,project=MCU_PLUS_SDK_AM263X,searchquery=taxonomy:'C and C++' build:Build_Apr_13_2023_11_11_AM grouping:off ","KW Issue Link")</f>
        <v>KW Issue Link</v>
      </c>
      <c r="O2483" s="1" t="s">
        <v>1083</v>
      </c>
    </row>
    <row r="2484" spans="1:15" ht="75" x14ac:dyDescent="0.25">
      <c r="A2484" s="1" t="s">
        <v>997</v>
      </c>
      <c r="B2484" s="1"/>
      <c r="C2484" s="1" t="s">
        <v>3468</v>
      </c>
      <c r="D2484" s="1">
        <v>123934</v>
      </c>
      <c r="E2484" s="1">
        <v>1080</v>
      </c>
      <c r="F2484" s="1" t="s">
        <v>3558</v>
      </c>
      <c r="G2484" s="1" t="s">
        <v>3522</v>
      </c>
      <c r="H2484" s="1" t="s">
        <v>141</v>
      </c>
      <c r="I2484" s="1" t="s">
        <v>66</v>
      </c>
      <c r="J2484" s="1">
        <v>4</v>
      </c>
      <c r="K2484" s="1" t="s">
        <v>142</v>
      </c>
      <c r="L2484" s="1" t="s">
        <v>153</v>
      </c>
      <c r="M2484" s="1" t="s">
        <v>28</v>
      </c>
      <c r="N2484" s="1" t="str">
        <f>HYPERLINK("https://klocwork.india.ti.com:443/review/insight-review.html#issuedetails_goto:problemid=123934,project=MCU_PLUS_SDK_AM263X,searchquery=taxonomy:'C and C++' build:Build_Apr_13_2023_11_11_AM grouping:off ","KW Issue Link")</f>
        <v>KW Issue Link</v>
      </c>
      <c r="O2484" s="1" t="s">
        <v>1083</v>
      </c>
    </row>
    <row r="2485" spans="1:15" ht="75" x14ac:dyDescent="0.25">
      <c r="A2485" s="1" t="s">
        <v>997</v>
      </c>
      <c r="B2485" s="1"/>
      <c r="C2485" s="1" t="s">
        <v>3468</v>
      </c>
      <c r="D2485" s="1">
        <v>123935</v>
      </c>
      <c r="E2485" s="1">
        <v>1082</v>
      </c>
      <c r="F2485" s="1" t="s">
        <v>3561</v>
      </c>
      <c r="G2485" s="1" t="s">
        <v>3522</v>
      </c>
      <c r="H2485" s="1" t="s">
        <v>141</v>
      </c>
      <c r="I2485" s="1" t="s">
        <v>66</v>
      </c>
      <c r="J2485" s="1">
        <v>4</v>
      </c>
      <c r="K2485" s="1" t="s">
        <v>142</v>
      </c>
      <c r="L2485" s="1" t="s">
        <v>153</v>
      </c>
      <c r="M2485" s="1" t="s">
        <v>28</v>
      </c>
      <c r="N2485" s="1" t="str">
        <f>HYPERLINK("https://klocwork.india.ti.com:443/review/insight-review.html#issuedetails_goto:problemid=123935,project=MCU_PLUS_SDK_AM263X,searchquery=taxonomy:'C and C++' build:Build_Apr_13_2023_11_11_AM grouping:off ","KW Issue Link")</f>
        <v>KW Issue Link</v>
      </c>
      <c r="O2485" s="1" t="s">
        <v>1083</v>
      </c>
    </row>
    <row r="2486" spans="1:15" ht="75" x14ac:dyDescent="0.25">
      <c r="A2486" s="1" t="s">
        <v>997</v>
      </c>
      <c r="B2486" s="1"/>
      <c r="C2486" s="1" t="s">
        <v>3468</v>
      </c>
      <c r="D2486" s="1">
        <v>123936</v>
      </c>
      <c r="E2486" s="1">
        <v>1082</v>
      </c>
      <c r="F2486" s="1" t="s">
        <v>3561</v>
      </c>
      <c r="G2486" s="1" t="s">
        <v>3522</v>
      </c>
      <c r="H2486" s="1" t="s">
        <v>141</v>
      </c>
      <c r="I2486" s="1" t="s">
        <v>66</v>
      </c>
      <c r="J2486" s="1">
        <v>4</v>
      </c>
      <c r="K2486" s="1" t="s">
        <v>142</v>
      </c>
      <c r="L2486" s="1" t="s">
        <v>153</v>
      </c>
      <c r="M2486" s="1" t="s">
        <v>28</v>
      </c>
      <c r="N2486" s="1" t="str">
        <f>HYPERLINK("https://klocwork.india.ti.com:443/review/insight-review.html#issuedetails_goto:problemid=123936,project=MCU_PLUS_SDK_AM263X,searchquery=taxonomy:'C and C++' build:Build_Apr_13_2023_11_11_AM grouping:off ","KW Issue Link")</f>
        <v>KW Issue Link</v>
      </c>
      <c r="O2486" s="1" t="s">
        <v>1083</v>
      </c>
    </row>
    <row r="2487" spans="1:15" ht="75" x14ac:dyDescent="0.25">
      <c r="A2487" s="1" t="s">
        <v>997</v>
      </c>
      <c r="B2487" s="1"/>
      <c r="C2487" s="1" t="s">
        <v>3468</v>
      </c>
      <c r="D2487" s="1">
        <v>123937</v>
      </c>
      <c r="E2487" s="1">
        <v>1083</v>
      </c>
      <c r="F2487" s="1" t="s">
        <v>3561</v>
      </c>
      <c r="G2487" s="1" t="s">
        <v>3522</v>
      </c>
      <c r="H2487" s="1" t="s">
        <v>141</v>
      </c>
      <c r="I2487" s="1" t="s">
        <v>66</v>
      </c>
      <c r="J2487" s="1">
        <v>4</v>
      </c>
      <c r="K2487" s="1" t="s">
        <v>142</v>
      </c>
      <c r="L2487" s="1" t="s">
        <v>153</v>
      </c>
      <c r="M2487" s="1" t="s">
        <v>28</v>
      </c>
      <c r="N2487" s="1" t="str">
        <f>HYPERLINK("https://klocwork.india.ti.com:443/review/insight-review.html#issuedetails_goto:problemid=123937,project=MCU_PLUS_SDK_AM263X,searchquery=taxonomy:'C and C++' build:Build_Apr_13_2023_11_11_AM grouping:off ","KW Issue Link")</f>
        <v>KW Issue Link</v>
      </c>
      <c r="O2487" s="1" t="s">
        <v>1083</v>
      </c>
    </row>
    <row r="2488" spans="1:15" ht="75" x14ac:dyDescent="0.25">
      <c r="A2488" s="1" t="s">
        <v>997</v>
      </c>
      <c r="B2488" s="1"/>
      <c r="C2488" s="1" t="s">
        <v>3468</v>
      </c>
      <c r="D2488" s="1">
        <v>123938</v>
      </c>
      <c r="E2488" s="1">
        <v>1083</v>
      </c>
      <c r="F2488" s="1" t="s">
        <v>3561</v>
      </c>
      <c r="G2488" s="1" t="s">
        <v>3522</v>
      </c>
      <c r="H2488" s="1" t="s">
        <v>141</v>
      </c>
      <c r="I2488" s="1" t="s">
        <v>66</v>
      </c>
      <c r="J2488" s="1">
        <v>4</v>
      </c>
      <c r="K2488" s="1" t="s">
        <v>142</v>
      </c>
      <c r="L2488" s="1" t="s">
        <v>153</v>
      </c>
      <c r="M2488" s="1" t="s">
        <v>28</v>
      </c>
      <c r="N2488" s="1" t="str">
        <f>HYPERLINK("https://klocwork.india.ti.com:443/review/insight-review.html#issuedetails_goto:problemid=123938,project=MCU_PLUS_SDK_AM263X,searchquery=taxonomy:'C and C++' build:Build_Apr_13_2023_11_11_AM grouping:off ","KW Issue Link")</f>
        <v>KW Issue Link</v>
      </c>
      <c r="O2488" s="1" t="s">
        <v>1083</v>
      </c>
    </row>
    <row r="2489" spans="1:15" ht="75" x14ac:dyDescent="0.25">
      <c r="A2489" s="1" t="s">
        <v>997</v>
      </c>
      <c r="B2489" s="1"/>
      <c r="C2489" s="1" t="s">
        <v>3468</v>
      </c>
      <c r="D2489" s="1">
        <v>123939</v>
      </c>
      <c r="E2489" s="1">
        <v>1084</v>
      </c>
      <c r="F2489" s="1" t="s">
        <v>3560</v>
      </c>
      <c r="G2489" s="1" t="s">
        <v>3522</v>
      </c>
      <c r="H2489" s="1" t="s">
        <v>141</v>
      </c>
      <c r="I2489" s="1" t="s">
        <v>66</v>
      </c>
      <c r="J2489" s="1">
        <v>4</v>
      </c>
      <c r="K2489" s="1" t="s">
        <v>142</v>
      </c>
      <c r="L2489" s="1" t="s">
        <v>153</v>
      </c>
      <c r="M2489" s="1" t="s">
        <v>28</v>
      </c>
      <c r="N2489" s="1" t="str">
        <f>HYPERLINK("https://klocwork.india.ti.com:443/review/insight-review.html#issuedetails_goto:problemid=123939,project=MCU_PLUS_SDK_AM263X,searchquery=taxonomy:'C and C++' build:Build_Apr_13_2023_11_11_AM grouping:off ","KW Issue Link")</f>
        <v>KW Issue Link</v>
      </c>
      <c r="O2489" s="1" t="s">
        <v>1083</v>
      </c>
    </row>
    <row r="2490" spans="1:15" ht="75" x14ac:dyDescent="0.25">
      <c r="A2490" s="1" t="s">
        <v>997</v>
      </c>
      <c r="B2490" s="1"/>
      <c r="C2490" s="1" t="s">
        <v>3468</v>
      </c>
      <c r="D2490" s="1">
        <v>123940</v>
      </c>
      <c r="E2490" s="1">
        <v>1084</v>
      </c>
      <c r="F2490" s="1" t="s">
        <v>3560</v>
      </c>
      <c r="G2490" s="1" t="s">
        <v>3522</v>
      </c>
      <c r="H2490" s="1" t="s">
        <v>141</v>
      </c>
      <c r="I2490" s="1" t="s">
        <v>66</v>
      </c>
      <c r="J2490" s="1">
        <v>4</v>
      </c>
      <c r="K2490" s="1" t="s">
        <v>142</v>
      </c>
      <c r="L2490" s="1" t="s">
        <v>153</v>
      </c>
      <c r="M2490" s="1" t="s">
        <v>28</v>
      </c>
      <c r="N2490" s="1" t="str">
        <f>HYPERLINK("https://klocwork.india.ti.com:443/review/insight-review.html#issuedetails_goto:problemid=123940,project=MCU_PLUS_SDK_AM263X,searchquery=taxonomy:'C and C++' build:Build_Apr_13_2023_11_11_AM grouping:off ","KW Issue Link")</f>
        <v>KW Issue Link</v>
      </c>
      <c r="O2490" s="1" t="s">
        <v>1083</v>
      </c>
    </row>
    <row r="2491" spans="1:15" ht="75" x14ac:dyDescent="0.25">
      <c r="A2491" s="1" t="s">
        <v>997</v>
      </c>
      <c r="B2491" s="1"/>
      <c r="C2491" s="1" t="s">
        <v>3468</v>
      </c>
      <c r="D2491" s="1">
        <v>123941</v>
      </c>
      <c r="E2491" s="1">
        <v>1085</v>
      </c>
      <c r="F2491" s="1" t="s">
        <v>3560</v>
      </c>
      <c r="G2491" s="1" t="s">
        <v>3522</v>
      </c>
      <c r="H2491" s="1" t="s">
        <v>141</v>
      </c>
      <c r="I2491" s="1" t="s">
        <v>66</v>
      </c>
      <c r="J2491" s="1">
        <v>4</v>
      </c>
      <c r="K2491" s="1" t="s">
        <v>142</v>
      </c>
      <c r="L2491" s="1" t="s">
        <v>153</v>
      </c>
      <c r="M2491" s="1" t="s">
        <v>28</v>
      </c>
      <c r="N2491" s="1" t="str">
        <f>HYPERLINK("https://klocwork.india.ti.com:443/review/insight-review.html#issuedetails_goto:problemid=123941,project=MCU_PLUS_SDK_AM263X,searchquery=taxonomy:'C and C++' build:Build_Apr_13_2023_11_11_AM grouping:off ","KW Issue Link")</f>
        <v>KW Issue Link</v>
      </c>
      <c r="O2491" s="1" t="s">
        <v>1083</v>
      </c>
    </row>
    <row r="2492" spans="1:15" ht="75" x14ac:dyDescent="0.25">
      <c r="A2492" s="1" t="s">
        <v>997</v>
      </c>
      <c r="B2492" s="1"/>
      <c r="C2492" s="1" t="s">
        <v>3468</v>
      </c>
      <c r="D2492" s="1">
        <v>123942</v>
      </c>
      <c r="E2492" s="1">
        <v>1086</v>
      </c>
      <c r="F2492" s="1" t="s">
        <v>3562</v>
      </c>
      <c r="G2492" s="1" t="s">
        <v>3522</v>
      </c>
      <c r="H2492" s="1" t="s">
        <v>141</v>
      </c>
      <c r="I2492" s="1" t="s">
        <v>66</v>
      </c>
      <c r="J2492" s="1">
        <v>4</v>
      </c>
      <c r="K2492" s="1" t="s">
        <v>142</v>
      </c>
      <c r="L2492" s="1" t="s">
        <v>153</v>
      </c>
      <c r="M2492" s="1" t="s">
        <v>28</v>
      </c>
      <c r="N2492" s="1" t="str">
        <f>HYPERLINK("https://klocwork.india.ti.com:443/review/insight-review.html#issuedetails_goto:problemid=123942,project=MCU_PLUS_SDK_AM263X,searchquery=taxonomy:'C and C++' build:Build_Apr_13_2023_11_11_AM grouping:off ","KW Issue Link")</f>
        <v>KW Issue Link</v>
      </c>
      <c r="O2492" s="1" t="s">
        <v>1083</v>
      </c>
    </row>
    <row r="2493" spans="1:15" ht="75" x14ac:dyDescent="0.25">
      <c r="A2493" s="1" t="s">
        <v>997</v>
      </c>
      <c r="B2493" s="1"/>
      <c r="C2493" s="1" t="s">
        <v>3468</v>
      </c>
      <c r="D2493" s="1">
        <v>123943</v>
      </c>
      <c r="E2493" s="1">
        <v>1087</v>
      </c>
      <c r="F2493" s="1" t="s">
        <v>3563</v>
      </c>
      <c r="G2493" s="1" t="s">
        <v>3522</v>
      </c>
      <c r="H2493" s="1" t="s">
        <v>141</v>
      </c>
      <c r="I2493" s="1" t="s">
        <v>66</v>
      </c>
      <c r="J2493" s="1">
        <v>4</v>
      </c>
      <c r="K2493" s="1" t="s">
        <v>142</v>
      </c>
      <c r="L2493" s="1" t="s">
        <v>153</v>
      </c>
      <c r="M2493" s="1" t="s">
        <v>28</v>
      </c>
      <c r="N2493" s="1" t="str">
        <f>HYPERLINK("https://klocwork.india.ti.com:443/review/insight-review.html#issuedetails_goto:problemid=123943,project=MCU_PLUS_SDK_AM263X,searchquery=taxonomy:'C and C++' build:Build_Apr_13_2023_11_11_AM grouping:off ","KW Issue Link")</f>
        <v>KW Issue Link</v>
      </c>
      <c r="O2493" s="1" t="s">
        <v>1083</v>
      </c>
    </row>
    <row r="2494" spans="1:15" ht="75" x14ac:dyDescent="0.25">
      <c r="A2494" s="1" t="s">
        <v>997</v>
      </c>
      <c r="B2494" s="1"/>
      <c r="C2494" s="1" t="s">
        <v>3468</v>
      </c>
      <c r="D2494" s="1">
        <v>123944</v>
      </c>
      <c r="E2494" s="1">
        <v>1140</v>
      </c>
      <c r="F2494" s="1" t="s">
        <v>3564</v>
      </c>
      <c r="G2494" s="1" t="s">
        <v>3502</v>
      </c>
      <c r="H2494" s="1" t="s">
        <v>141</v>
      </c>
      <c r="I2494" s="1" t="s">
        <v>66</v>
      </c>
      <c r="J2494" s="1">
        <v>4</v>
      </c>
      <c r="K2494" s="1" t="s">
        <v>142</v>
      </c>
      <c r="L2494" s="1" t="s">
        <v>153</v>
      </c>
      <c r="M2494" s="1" t="s">
        <v>28</v>
      </c>
      <c r="N2494" s="1" t="str">
        <f>HYPERLINK("https://klocwork.india.ti.com:443/review/insight-review.html#issuedetails_goto:problemid=123944,project=MCU_PLUS_SDK_AM263X,searchquery=taxonomy:'C and C++' build:Build_Apr_13_2023_11_11_AM grouping:off ","KW Issue Link")</f>
        <v>KW Issue Link</v>
      </c>
      <c r="O2494" s="1" t="s">
        <v>1083</v>
      </c>
    </row>
    <row r="2495" spans="1:15" ht="75" x14ac:dyDescent="0.25">
      <c r="A2495" s="1" t="s">
        <v>997</v>
      </c>
      <c r="B2495" s="1"/>
      <c r="C2495" s="1" t="s">
        <v>3468</v>
      </c>
      <c r="D2495" s="1">
        <v>123945</v>
      </c>
      <c r="E2495" s="1">
        <v>1144</v>
      </c>
      <c r="F2495" s="1" t="s">
        <v>3551</v>
      </c>
      <c r="G2495" s="1" t="s">
        <v>3502</v>
      </c>
      <c r="H2495" s="1" t="s">
        <v>141</v>
      </c>
      <c r="I2495" s="1" t="s">
        <v>66</v>
      </c>
      <c r="J2495" s="1">
        <v>4</v>
      </c>
      <c r="K2495" s="1" t="s">
        <v>142</v>
      </c>
      <c r="L2495" s="1" t="s">
        <v>153</v>
      </c>
      <c r="M2495" s="1" t="s">
        <v>28</v>
      </c>
      <c r="N2495" s="1" t="str">
        <f>HYPERLINK("https://klocwork.india.ti.com:443/review/insight-review.html#issuedetails_goto:problemid=123945,project=MCU_PLUS_SDK_AM263X,searchquery=taxonomy:'C and C++' build:Build_Apr_13_2023_11_11_AM grouping:off ","KW Issue Link")</f>
        <v>KW Issue Link</v>
      </c>
      <c r="O2495" s="1" t="s">
        <v>1083</v>
      </c>
    </row>
    <row r="2496" spans="1:15" ht="75" x14ac:dyDescent="0.25">
      <c r="A2496" s="1" t="s">
        <v>997</v>
      </c>
      <c r="B2496" s="1"/>
      <c r="C2496" s="1" t="s">
        <v>3468</v>
      </c>
      <c r="D2496" s="1">
        <v>123946</v>
      </c>
      <c r="E2496" s="1">
        <v>1147</v>
      </c>
      <c r="F2496" s="1" t="s">
        <v>3565</v>
      </c>
      <c r="G2496" s="1" t="s">
        <v>3502</v>
      </c>
      <c r="H2496" s="1" t="s">
        <v>141</v>
      </c>
      <c r="I2496" s="1" t="s">
        <v>66</v>
      </c>
      <c r="J2496" s="1">
        <v>4</v>
      </c>
      <c r="K2496" s="1" t="s">
        <v>142</v>
      </c>
      <c r="L2496" s="1" t="s">
        <v>153</v>
      </c>
      <c r="M2496" s="1" t="s">
        <v>28</v>
      </c>
      <c r="N2496" s="1" t="str">
        <f>HYPERLINK("https://klocwork.india.ti.com:443/review/insight-review.html#issuedetails_goto:problemid=123946,project=MCU_PLUS_SDK_AM263X,searchquery=taxonomy:'C and C++' build:Build_Apr_13_2023_11_11_AM grouping:off ","KW Issue Link")</f>
        <v>KW Issue Link</v>
      </c>
      <c r="O2496" s="1" t="s">
        <v>1083</v>
      </c>
    </row>
    <row r="2497" spans="1:15" ht="75" x14ac:dyDescent="0.25">
      <c r="A2497" s="1" t="s">
        <v>997</v>
      </c>
      <c r="B2497" s="1"/>
      <c r="C2497" s="1" t="s">
        <v>3468</v>
      </c>
      <c r="D2497" s="1">
        <v>123947</v>
      </c>
      <c r="E2497" s="1">
        <v>1148</v>
      </c>
      <c r="F2497" s="1" t="s">
        <v>3552</v>
      </c>
      <c r="G2497" s="1" t="s">
        <v>3502</v>
      </c>
      <c r="H2497" s="1" t="s">
        <v>141</v>
      </c>
      <c r="I2497" s="1" t="s">
        <v>66</v>
      </c>
      <c r="J2497" s="1">
        <v>4</v>
      </c>
      <c r="K2497" s="1" t="s">
        <v>142</v>
      </c>
      <c r="L2497" s="1" t="s">
        <v>153</v>
      </c>
      <c r="M2497" s="1" t="s">
        <v>28</v>
      </c>
      <c r="N2497" s="1" t="str">
        <f>HYPERLINK("https://klocwork.india.ti.com:443/review/insight-review.html#issuedetails_goto:problemid=123947,project=MCU_PLUS_SDK_AM263X,searchquery=taxonomy:'C and C++' build:Build_Apr_13_2023_11_11_AM grouping:off ","KW Issue Link")</f>
        <v>KW Issue Link</v>
      </c>
      <c r="O2497" s="1" t="s">
        <v>1083</v>
      </c>
    </row>
    <row r="2498" spans="1:15" ht="75" x14ac:dyDescent="0.25">
      <c r="A2498" s="1" t="s">
        <v>997</v>
      </c>
      <c r="B2498" s="1"/>
      <c r="C2498" s="1" t="s">
        <v>3468</v>
      </c>
      <c r="D2498" s="1">
        <v>123948</v>
      </c>
      <c r="E2498" s="1">
        <v>1496</v>
      </c>
      <c r="F2498" s="1" t="s">
        <v>3566</v>
      </c>
      <c r="G2498" s="1" t="s">
        <v>3544</v>
      </c>
      <c r="H2498" s="1" t="s">
        <v>141</v>
      </c>
      <c r="I2498" s="1" t="s">
        <v>66</v>
      </c>
      <c r="J2498" s="1">
        <v>4</v>
      </c>
      <c r="K2498" s="1" t="s">
        <v>142</v>
      </c>
      <c r="L2498" s="1" t="s">
        <v>153</v>
      </c>
      <c r="M2498" s="1" t="s">
        <v>28</v>
      </c>
      <c r="N2498" s="1" t="str">
        <f>HYPERLINK("https://klocwork.india.ti.com:443/review/insight-review.html#issuedetails_goto:problemid=123948,project=MCU_PLUS_SDK_AM263X,searchquery=taxonomy:'C and C++' build:Build_Apr_13_2023_11_11_AM grouping:off ","KW Issue Link")</f>
        <v>KW Issue Link</v>
      </c>
      <c r="O2498" s="1" t="s">
        <v>1083</v>
      </c>
    </row>
    <row r="2499" spans="1:15" ht="75" x14ac:dyDescent="0.25">
      <c r="A2499" s="1" t="s">
        <v>997</v>
      </c>
      <c r="B2499" s="1"/>
      <c r="C2499" s="1" t="s">
        <v>3468</v>
      </c>
      <c r="D2499" s="1">
        <v>123949</v>
      </c>
      <c r="E2499" s="1">
        <v>1497</v>
      </c>
      <c r="F2499" s="1" t="s">
        <v>3567</v>
      </c>
      <c r="G2499" s="1" t="s">
        <v>3544</v>
      </c>
      <c r="H2499" s="1" t="s">
        <v>141</v>
      </c>
      <c r="I2499" s="1" t="s">
        <v>66</v>
      </c>
      <c r="J2499" s="1">
        <v>4</v>
      </c>
      <c r="K2499" s="1" t="s">
        <v>142</v>
      </c>
      <c r="L2499" s="1" t="s">
        <v>153</v>
      </c>
      <c r="M2499" s="1" t="s">
        <v>28</v>
      </c>
      <c r="N2499" s="1" t="str">
        <f>HYPERLINK("https://klocwork.india.ti.com:443/review/insight-review.html#issuedetails_goto:problemid=123949,project=MCU_PLUS_SDK_AM263X,searchquery=taxonomy:'C and C++' build:Build_Apr_13_2023_11_11_AM grouping:off ","KW Issue Link")</f>
        <v>KW Issue Link</v>
      </c>
      <c r="O2499" s="1" t="s">
        <v>1083</v>
      </c>
    </row>
    <row r="2500" spans="1:15" ht="75" x14ac:dyDescent="0.25">
      <c r="A2500" s="1" t="s">
        <v>997</v>
      </c>
      <c r="B2500" s="1"/>
      <c r="C2500" s="1" t="s">
        <v>3468</v>
      </c>
      <c r="D2500" s="1">
        <v>123950</v>
      </c>
      <c r="E2500" s="1">
        <v>1543</v>
      </c>
      <c r="F2500" s="1" t="s">
        <v>3567</v>
      </c>
      <c r="G2500" s="1" t="s">
        <v>3506</v>
      </c>
      <c r="H2500" s="1" t="s">
        <v>141</v>
      </c>
      <c r="I2500" s="1" t="s">
        <v>66</v>
      </c>
      <c r="J2500" s="1">
        <v>4</v>
      </c>
      <c r="K2500" s="1" t="s">
        <v>142</v>
      </c>
      <c r="L2500" s="1" t="s">
        <v>153</v>
      </c>
      <c r="M2500" s="1" t="s">
        <v>28</v>
      </c>
      <c r="N2500" s="1" t="str">
        <f>HYPERLINK("https://klocwork.india.ti.com:443/review/insight-review.html#issuedetails_goto:problemid=123950,project=MCU_PLUS_SDK_AM263X,searchquery=taxonomy:'C and C++' build:Build_Apr_13_2023_11_11_AM grouping:off ","KW Issue Link")</f>
        <v>KW Issue Link</v>
      </c>
      <c r="O2500" s="1" t="s">
        <v>1083</v>
      </c>
    </row>
    <row r="2501" spans="1:15" ht="75" x14ac:dyDescent="0.25">
      <c r="A2501" s="1" t="s">
        <v>997</v>
      </c>
      <c r="B2501" s="1"/>
      <c r="C2501" s="1" t="s">
        <v>3468</v>
      </c>
      <c r="D2501" s="1">
        <v>123951</v>
      </c>
      <c r="E2501" s="1">
        <v>1544</v>
      </c>
      <c r="F2501" s="1" t="s">
        <v>3566</v>
      </c>
      <c r="G2501" s="1" t="s">
        <v>3506</v>
      </c>
      <c r="H2501" s="1" t="s">
        <v>141</v>
      </c>
      <c r="I2501" s="1" t="s">
        <v>66</v>
      </c>
      <c r="J2501" s="1">
        <v>4</v>
      </c>
      <c r="K2501" s="1" t="s">
        <v>142</v>
      </c>
      <c r="L2501" s="1" t="s">
        <v>153</v>
      </c>
      <c r="M2501" s="1" t="s">
        <v>28</v>
      </c>
      <c r="N2501" s="1" t="str">
        <f>HYPERLINK("https://klocwork.india.ti.com:443/review/insight-review.html#issuedetails_goto:problemid=123951,project=MCU_PLUS_SDK_AM263X,searchquery=taxonomy:'C and C++' build:Build_Apr_13_2023_11_11_AM grouping:off ","KW Issue Link")</f>
        <v>KW Issue Link</v>
      </c>
      <c r="O2501" s="1" t="s">
        <v>1083</v>
      </c>
    </row>
    <row r="2502" spans="1:15" ht="75" x14ac:dyDescent="0.25">
      <c r="A2502" s="1" t="s">
        <v>997</v>
      </c>
      <c r="B2502" s="1"/>
      <c r="C2502" s="1" t="s">
        <v>3468</v>
      </c>
      <c r="D2502" s="1">
        <v>123952</v>
      </c>
      <c r="E2502" s="1">
        <v>1586</v>
      </c>
      <c r="F2502" s="1" t="s">
        <v>3568</v>
      </c>
      <c r="G2502" s="1" t="s">
        <v>3488</v>
      </c>
      <c r="H2502" s="1" t="s">
        <v>141</v>
      </c>
      <c r="I2502" s="1" t="s">
        <v>66</v>
      </c>
      <c r="J2502" s="1">
        <v>4</v>
      </c>
      <c r="K2502" s="1" t="s">
        <v>142</v>
      </c>
      <c r="L2502" s="1" t="s">
        <v>153</v>
      </c>
      <c r="M2502" s="1" t="s">
        <v>28</v>
      </c>
      <c r="N2502" s="1" t="str">
        <f>HYPERLINK("https://klocwork.india.ti.com:443/review/insight-review.html#issuedetails_goto:problemid=123952,project=MCU_PLUS_SDK_AM263X,searchquery=taxonomy:'C and C++' build:Build_Apr_13_2023_11_11_AM grouping:off ","KW Issue Link")</f>
        <v>KW Issue Link</v>
      </c>
      <c r="O2502" s="1" t="s">
        <v>1083</v>
      </c>
    </row>
    <row r="2503" spans="1:15" ht="75" x14ac:dyDescent="0.25">
      <c r="A2503" s="1" t="s">
        <v>997</v>
      </c>
      <c r="B2503" s="1"/>
      <c r="C2503" s="1" t="s">
        <v>3468</v>
      </c>
      <c r="D2503" s="1">
        <v>123953</v>
      </c>
      <c r="E2503" s="1">
        <v>1588</v>
      </c>
      <c r="F2503" s="1" t="s">
        <v>3569</v>
      </c>
      <c r="G2503" s="1" t="s">
        <v>3488</v>
      </c>
      <c r="H2503" s="1" t="s">
        <v>141</v>
      </c>
      <c r="I2503" s="1" t="s">
        <v>66</v>
      </c>
      <c r="J2503" s="1">
        <v>4</v>
      </c>
      <c r="K2503" s="1" t="s">
        <v>142</v>
      </c>
      <c r="L2503" s="1" t="s">
        <v>153</v>
      </c>
      <c r="M2503" s="1" t="s">
        <v>28</v>
      </c>
      <c r="N2503" s="1" t="str">
        <f>HYPERLINK("https://klocwork.india.ti.com:443/review/insight-review.html#issuedetails_goto:problemid=123953,project=MCU_PLUS_SDK_AM263X,searchquery=taxonomy:'C and C++' build:Build_Apr_13_2023_11_11_AM grouping:off ","KW Issue Link")</f>
        <v>KW Issue Link</v>
      </c>
      <c r="O2503" s="1" t="s">
        <v>1083</v>
      </c>
    </row>
    <row r="2504" spans="1:15" ht="75" x14ac:dyDescent="0.25">
      <c r="A2504" s="1" t="s">
        <v>997</v>
      </c>
      <c r="B2504" s="1"/>
      <c r="C2504" s="1" t="s">
        <v>3468</v>
      </c>
      <c r="D2504" s="1">
        <v>123954</v>
      </c>
      <c r="E2504" s="1">
        <v>1590</v>
      </c>
      <c r="F2504" s="1" t="s">
        <v>3570</v>
      </c>
      <c r="G2504" s="1" t="s">
        <v>3488</v>
      </c>
      <c r="H2504" s="1" t="s">
        <v>141</v>
      </c>
      <c r="I2504" s="1" t="s">
        <v>66</v>
      </c>
      <c r="J2504" s="1">
        <v>4</v>
      </c>
      <c r="K2504" s="1" t="s">
        <v>142</v>
      </c>
      <c r="L2504" s="1" t="s">
        <v>153</v>
      </c>
      <c r="M2504" s="1" t="s">
        <v>28</v>
      </c>
      <c r="N2504" s="1" t="str">
        <f>HYPERLINK("https://klocwork.india.ti.com:443/review/insight-review.html#issuedetails_goto:problemid=123954,project=MCU_PLUS_SDK_AM263X,searchquery=taxonomy:'C and C++' build:Build_Apr_13_2023_11_11_AM grouping:off ","KW Issue Link")</f>
        <v>KW Issue Link</v>
      </c>
      <c r="O2504" s="1" t="s">
        <v>1083</v>
      </c>
    </row>
    <row r="2505" spans="1:15" ht="75" x14ac:dyDescent="0.25">
      <c r="A2505" s="1" t="s">
        <v>997</v>
      </c>
      <c r="B2505" s="1"/>
      <c r="C2505" s="1" t="s">
        <v>3468</v>
      </c>
      <c r="D2505" s="1">
        <v>123955</v>
      </c>
      <c r="E2505" s="1">
        <v>1591</v>
      </c>
      <c r="F2505" s="1" t="s">
        <v>3571</v>
      </c>
      <c r="G2505" s="1" t="s">
        <v>3488</v>
      </c>
      <c r="H2505" s="1" t="s">
        <v>141</v>
      </c>
      <c r="I2505" s="1" t="s">
        <v>66</v>
      </c>
      <c r="J2505" s="1">
        <v>4</v>
      </c>
      <c r="K2505" s="1" t="s">
        <v>142</v>
      </c>
      <c r="L2505" s="1" t="s">
        <v>153</v>
      </c>
      <c r="M2505" s="1" t="s">
        <v>28</v>
      </c>
      <c r="N2505" s="1" t="str">
        <f>HYPERLINK("https://klocwork.india.ti.com:443/review/insight-review.html#issuedetails_goto:problemid=123955,project=MCU_PLUS_SDK_AM263X,searchquery=taxonomy:'C and C++' build:Build_Apr_13_2023_11_11_AM grouping:off ","KW Issue Link")</f>
        <v>KW Issue Link</v>
      </c>
      <c r="O2505" s="1" t="s">
        <v>1083</v>
      </c>
    </row>
    <row r="2506" spans="1:15" ht="75" x14ac:dyDescent="0.25">
      <c r="A2506" s="1" t="s">
        <v>997</v>
      </c>
      <c r="B2506" s="1"/>
      <c r="C2506" s="1" t="s">
        <v>3468</v>
      </c>
      <c r="D2506" s="1">
        <v>123956</v>
      </c>
      <c r="E2506" s="1">
        <v>1592</v>
      </c>
      <c r="F2506" s="1" t="s">
        <v>3572</v>
      </c>
      <c r="G2506" s="1" t="s">
        <v>3488</v>
      </c>
      <c r="H2506" s="1" t="s">
        <v>141</v>
      </c>
      <c r="I2506" s="1" t="s">
        <v>66</v>
      </c>
      <c r="J2506" s="1">
        <v>4</v>
      </c>
      <c r="K2506" s="1" t="s">
        <v>142</v>
      </c>
      <c r="L2506" s="1" t="s">
        <v>153</v>
      </c>
      <c r="M2506" s="1" t="s">
        <v>28</v>
      </c>
      <c r="N2506" s="1" t="str">
        <f>HYPERLINK("https://klocwork.india.ti.com:443/review/insight-review.html#issuedetails_goto:problemid=123956,project=MCU_PLUS_SDK_AM263X,searchquery=taxonomy:'C and C++' build:Build_Apr_13_2023_11_11_AM grouping:off ","KW Issue Link")</f>
        <v>KW Issue Link</v>
      </c>
      <c r="O2506" s="1" t="s">
        <v>1083</v>
      </c>
    </row>
    <row r="2507" spans="1:15" ht="75" x14ac:dyDescent="0.25">
      <c r="A2507" s="1" t="s">
        <v>997</v>
      </c>
      <c r="B2507" s="1"/>
      <c r="C2507" s="1" t="s">
        <v>3468</v>
      </c>
      <c r="D2507" s="1">
        <v>123957</v>
      </c>
      <c r="E2507" s="1">
        <v>1596</v>
      </c>
      <c r="F2507" s="1" t="s">
        <v>3573</v>
      </c>
      <c r="G2507" s="1" t="s">
        <v>3488</v>
      </c>
      <c r="H2507" s="1" t="s">
        <v>141</v>
      </c>
      <c r="I2507" s="1" t="s">
        <v>66</v>
      </c>
      <c r="J2507" s="1">
        <v>4</v>
      </c>
      <c r="K2507" s="1" t="s">
        <v>142</v>
      </c>
      <c r="L2507" s="1" t="s">
        <v>153</v>
      </c>
      <c r="M2507" s="1" t="s">
        <v>28</v>
      </c>
      <c r="N2507" s="1" t="str">
        <f>HYPERLINK("https://klocwork.india.ti.com:443/review/insight-review.html#issuedetails_goto:problemid=123957,project=MCU_PLUS_SDK_AM263X,searchquery=taxonomy:'C and C++' build:Build_Apr_13_2023_11_11_AM grouping:off ","KW Issue Link")</f>
        <v>KW Issue Link</v>
      </c>
      <c r="O2507" s="1" t="s">
        <v>1083</v>
      </c>
    </row>
    <row r="2508" spans="1:15" ht="75" x14ac:dyDescent="0.25">
      <c r="A2508" s="1" t="s">
        <v>997</v>
      </c>
      <c r="B2508" s="1"/>
      <c r="C2508" s="1" t="s">
        <v>3468</v>
      </c>
      <c r="D2508" s="1">
        <v>123958</v>
      </c>
      <c r="E2508" s="1">
        <v>1597</v>
      </c>
      <c r="F2508" s="1" t="s">
        <v>3574</v>
      </c>
      <c r="G2508" s="1" t="s">
        <v>3488</v>
      </c>
      <c r="H2508" s="1" t="s">
        <v>141</v>
      </c>
      <c r="I2508" s="1" t="s">
        <v>66</v>
      </c>
      <c r="J2508" s="1">
        <v>4</v>
      </c>
      <c r="K2508" s="1" t="s">
        <v>142</v>
      </c>
      <c r="L2508" s="1" t="s">
        <v>153</v>
      </c>
      <c r="M2508" s="1" t="s">
        <v>28</v>
      </c>
      <c r="N2508" s="1" t="str">
        <f>HYPERLINK("https://klocwork.india.ti.com:443/review/insight-review.html#issuedetails_goto:problemid=123958,project=MCU_PLUS_SDK_AM263X,searchquery=taxonomy:'C and C++' build:Build_Apr_13_2023_11_11_AM grouping:off ","KW Issue Link")</f>
        <v>KW Issue Link</v>
      </c>
      <c r="O2508" s="1" t="s">
        <v>1083</v>
      </c>
    </row>
    <row r="2509" spans="1:15" ht="75" x14ac:dyDescent="0.25">
      <c r="A2509" s="1" t="s">
        <v>997</v>
      </c>
      <c r="B2509" s="1"/>
      <c r="C2509" s="1" t="s">
        <v>3468</v>
      </c>
      <c r="D2509" s="1">
        <v>123959</v>
      </c>
      <c r="E2509" s="1">
        <v>1598</v>
      </c>
      <c r="F2509" s="1" t="s">
        <v>3574</v>
      </c>
      <c r="G2509" s="1" t="s">
        <v>3488</v>
      </c>
      <c r="H2509" s="1" t="s">
        <v>141</v>
      </c>
      <c r="I2509" s="1" t="s">
        <v>66</v>
      </c>
      <c r="J2509" s="1">
        <v>4</v>
      </c>
      <c r="K2509" s="1" t="s">
        <v>142</v>
      </c>
      <c r="L2509" s="1" t="s">
        <v>153</v>
      </c>
      <c r="M2509" s="1" t="s">
        <v>28</v>
      </c>
      <c r="N2509" s="1" t="str">
        <f>HYPERLINK("https://klocwork.india.ti.com:443/review/insight-review.html#issuedetails_goto:problemid=123959,project=MCU_PLUS_SDK_AM263X,searchquery=taxonomy:'C and C++' build:Build_Apr_13_2023_11_11_AM grouping:off ","KW Issue Link")</f>
        <v>KW Issue Link</v>
      </c>
      <c r="O2509" s="1" t="s">
        <v>1083</v>
      </c>
    </row>
    <row r="2510" spans="1:15" ht="75" x14ac:dyDescent="0.25">
      <c r="A2510" s="1" t="s">
        <v>997</v>
      </c>
      <c r="B2510" s="1"/>
      <c r="C2510" s="1" t="s">
        <v>3468</v>
      </c>
      <c r="D2510" s="1">
        <v>123960</v>
      </c>
      <c r="E2510" s="1">
        <v>1599</v>
      </c>
      <c r="F2510" s="1" t="s">
        <v>3574</v>
      </c>
      <c r="G2510" s="1" t="s">
        <v>3488</v>
      </c>
      <c r="H2510" s="1" t="s">
        <v>141</v>
      </c>
      <c r="I2510" s="1" t="s">
        <v>66</v>
      </c>
      <c r="J2510" s="1">
        <v>4</v>
      </c>
      <c r="K2510" s="1" t="s">
        <v>142</v>
      </c>
      <c r="L2510" s="1" t="s">
        <v>153</v>
      </c>
      <c r="M2510" s="1" t="s">
        <v>28</v>
      </c>
      <c r="N2510" s="1" t="str">
        <f>HYPERLINK("https://klocwork.india.ti.com:443/review/insight-review.html#issuedetails_goto:problemid=123960,project=MCU_PLUS_SDK_AM263X,searchquery=taxonomy:'C and C++' build:Build_Apr_13_2023_11_11_AM grouping:off ","KW Issue Link")</f>
        <v>KW Issue Link</v>
      </c>
      <c r="O2510" s="1" t="s">
        <v>1083</v>
      </c>
    </row>
    <row r="2511" spans="1:15" ht="75" x14ac:dyDescent="0.25">
      <c r="A2511" s="1" t="s">
        <v>997</v>
      </c>
      <c r="B2511" s="1"/>
      <c r="C2511" s="1" t="s">
        <v>3468</v>
      </c>
      <c r="D2511" s="1">
        <v>123961</v>
      </c>
      <c r="E2511" s="1">
        <v>1602</v>
      </c>
      <c r="F2511" s="1" t="s">
        <v>3575</v>
      </c>
      <c r="G2511" s="1" t="s">
        <v>3488</v>
      </c>
      <c r="H2511" s="1" t="s">
        <v>141</v>
      </c>
      <c r="I2511" s="1" t="s">
        <v>66</v>
      </c>
      <c r="J2511" s="1">
        <v>4</v>
      </c>
      <c r="K2511" s="1" t="s">
        <v>142</v>
      </c>
      <c r="L2511" s="1" t="s">
        <v>153</v>
      </c>
      <c r="M2511" s="1" t="s">
        <v>28</v>
      </c>
      <c r="N2511" s="1" t="str">
        <f>HYPERLINK("https://klocwork.india.ti.com:443/review/insight-review.html#issuedetails_goto:problemid=123961,project=MCU_PLUS_SDK_AM263X,searchquery=taxonomy:'C and C++' build:Build_Apr_13_2023_11_11_AM grouping:off ","KW Issue Link")</f>
        <v>KW Issue Link</v>
      </c>
      <c r="O2511" s="1" t="s">
        <v>1083</v>
      </c>
    </row>
    <row r="2512" spans="1:15" ht="75" x14ac:dyDescent="0.25">
      <c r="A2512" s="1" t="s">
        <v>997</v>
      </c>
      <c r="B2512" s="1"/>
      <c r="C2512" s="1" t="s">
        <v>3468</v>
      </c>
      <c r="D2512" s="1">
        <v>123962</v>
      </c>
      <c r="E2512" s="1">
        <v>1602</v>
      </c>
      <c r="F2512" s="1" t="s">
        <v>3575</v>
      </c>
      <c r="G2512" s="1" t="s">
        <v>3488</v>
      </c>
      <c r="H2512" s="1" t="s">
        <v>141</v>
      </c>
      <c r="I2512" s="1" t="s">
        <v>66</v>
      </c>
      <c r="J2512" s="1">
        <v>4</v>
      </c>
      <c r="K2512" s="1" t="s">
        <v>142</v>
      </c>
      <c r="L2512" s="1" t="s">
        <v>153</v>
      </c>
      <c r="M2512" s="1" t="s">
        <v>28</v>
      </c>
      <c r="N2512" s="1" t="str">
        <f>HYPERLINK("https://klocwork.india.ti.com:443/review/insight-review.html#issuedetails_goto:problemid=123962,project=MCU_PLUS_SDK_AM263X,searchquery=taxonomy:'C and C++' build:Build_Apr_13_2023_11_11_AM grouping:off ","KW Issue Link")</f>
        <v>KW Issue Link</v>
      </c>
      <c r="O2512" s="1" t="s">
        <v>1083</v>
      </c>
    </row>
    <row r="2513" spans="1:15" ht="75" x14ac:dyDescent="0.25">
      <c r="A2513" s="1" t="s">
        <v>997</v>
      </c>
      <c r="B2513" s="1"/>
      <c r="C2513" s="1" t="s">
        <v>3468</v>
      </c>
      <c r="D2513" s="1">
        <v>123963</v>
      </c>
      <c r="E2513" s="1">
        <v>1603</v>
      </c>
      <c r="F2513" s="1" t="s">
        <v>3575</v>
      </c>
      <c r="G2513" s="1" t="s">
        <v>3488</v>
      </c>
      <c r="H2513" s="1" t="s">
        <v>141</v>
      </c>
      <c r="I2513" s="1" t="s">
        <v>66</v>
      </c>
      <c r="J2513" s="1">
        <v>4</v>
      </c>
      <c r="K2513" s="1" t="s">
        <v>142</v>
      </c>
      <c r="L2513" s="1" t="s">
        <v>153</v>
      </c>
      <c r="M2513" s="1" t="s">
        <v>28</v>
      </c>
      <c r="N2513" s="1" t="str">
        <f>HYPERLINK("https://klocwork.india.ti.com:443/review/insight-review.html#issuedetails_goto:problemid=123963,project=MCU_PLUS_SDK_AM263X,searchquery=taxonomy:'C and C++' build:Build_Apr_13_2023_11_11_AM grouping:off ","KW Issue Link")</f>
        <v>KW Issue Link</v>
      </c>
      <c r="O2513" s="1" t="s">
        <v>1083</v>
      </c>
    </row>
    <row r="2514" spans="1:15" ht="75" x14ac:dyDescent="0.25">
      <c r="A2514" s="1" t="s">
        <v>997</v>
      </c>
      <c r="B2514" s="1"/>
      <c r="C2514" s="1" t="s">
        <v>3468</v>
      </c>
      <c r="D2514" s="1">
        <v>123964</v>
      </c>
      <c r="E2514" s="1">
        <v>1640</v>
      </c>
      <c r="F2514" s="1" t="s">
        <v>3576</v>
      </c>
      <c r="G2514" s="1" t="s">
        <v>3478</v>
      </c>
      <c r="H2514" s="1" t="s">
        <v>141</v>
      </c>
      <c r="I2514" s="1" t="s">
        <v>66</v>
      </c>
      <c r="J2514" s="1">
        <v>4</v>
      </c>
      <c r="K2514" s="1" t="s">
        <v>142</v>
      </c>
      <c r="L2514" s="1" t="s">
        <v>153</v>
      </c>
      <c r="M2514" s="1" t="s">
        <v>28</v>
      </c>
      <c r="N2514" s="1" t="str">
        <f>HYPERLINK("https://klocwork.india.ti.com:443/review/insight-review.html#issuedetails_goto:problemid=123964,project=MCU_PLUS_SDK_AM263X,searchquery=taxonomy:'C and C++' build:Build_Apr_13_2023_11_11_AM grouping:off ","KW Issue Link")</f>
        <v>KW Issue Link</v>
      </c>
      <c r="O2514" s="1" t="s">
        <v>1083</v>
      </c>
    </row>
    <row r="2515" spans="1:15" ht="75" x14ac:dyDescent="0.25">
      <c r="A2515" s="1" t="s">
        <v>997</v>
      </c>
      <c r="B2515" s="1"/>
      <c r="C2515" s="1" t="s">
        <v>3468</v>
      </c>
      <c r="D2515" s="1">
        <v>123965</v>
      </c>
      <c r="E2515" s="1">
        <v>1660</v>
      </c>
      <c r="F2515" s="1" t="s">
        <v>3577</v>
      </c>
      <c r="G2515" s="1" t="s">
        <v>3478</v>
      </c>
      <c r="H2515" s="1" t="s">
        <v>141</v>
      </c>
      <c r="I2515" s="1" t="s">
        <v>66</v>
      </c>
      <c r="J2515" s="1">
        <v>4</v>
      </c>
      <c r="K2515" s="1" t="s">
        <v>142</v>
      </c>
      <c r="L2515" s="1" t="s">
        <v>153</v>
      </c>
      <c r="M2515" s="1" t="s">
        <v>28</v>
      </c>
      <c r="N2515" s="1" t="str">
        <f>HYPERLINK("https://klocwork.india.ti.com:443/review/insight-review.html#issuedetails_goto:problemid=123965,project=MCU_PLUS_SDK_AM263X,searchquery=taxonomy:'C and C++' build:Build_Apr_13_2023_11_11_AM grouping:off ","KW Issue Link")</f>
        <v>KW Issue Link</v>
      </c>
      <c r="O2515" s="1" t="s">
        <v>1083</v>
      </c>
    </row>
    <row r="2516" spans="1:15" ht="75" x14ac:dyDescent="0.25">
      <c r="A2516" s="1" t="s">
        <v>997</v>
      </c>
      <c r="B2516" s="1"/>
      <c r="C2516" s="1" t="s">
        <v>3468</v>
      </c>
      <c r="D2516" s="1">
        <v>123966</v>
      </c>
      <c r="E2516" s="1">
        <v>1753</v>
      </c>
      <c r="F2516" s="1" t="s">
        <v>3578</v>
      </c>
      <c r="G2516" s="1" t="s">
        <v>3508</v>
      </c>
      <c r="H2516" s="1" t="s">
        <v>141</v>
      </c>
      <c r="I2516" s="1" t="s">
        <v>66</v>
      </c>
      <c r="J2516" s="1">
        <v>4</v>
      </c>
      <c r="K2516" s="1" t="s">
        <v>142</v>
      </c>
      <c r="L2516" s="1" t="s">
        <v>153</v>
      </c>
      <c r="M2516" s="1" t="s">
        <v>28</v>
      </c>
      <c r="N2516" s="1" t="str">
        <f>HYPERLINK("https://klocwork.india.ti.com:443/review/insight-review.html#issuedetails_goto:problemid=123966,project=MCU_PLUS_SDK_AM263X,searchquery=taxonomy:'C and C++' build:Build_Apr_13_2023_11_11_AM grouping:off ","KW Issue Link")</f>
        <v>KW Issue Link</v>
      </c>
      <c r="O2516" s="1" t="s">
        <v>1083</v>
      </c>
    </row>
    <row r="2517" spans="1:15" ht="75" x14ac:dyDescent="0.25">
      <c r="A2517" s="1" t="s">
        <v>997</v>
      </c>
      <c r="B2517" s="1"/>
      <c r="C2517" s="1" t="s">
        <v>3468</v>
      </c>
      <c r="D2517" s="1">
        <v>123967</v>
      </c>
      <c r="E2517" s="1">
        <v>1753</v>
      </c>
      <c r="F2517" s="1" t="s">
        <v>3578</v>
      </c>
      <c r="G2517" s="1" t="s">
        <v>3508</v>
      </c>
      <c r="H2517" s="1" t="s">
        <v>141</v>
      </c>
      <c r="I2517" s="1" t="s">
        <v>66</v>
      </c>
      <c r="J2517" s="1">
        <v>4</v>
      </c>
      <c r="K2517" s="1" t="s">
        <v>142</v>
      </c>
      <c r="L2517" s="1" t="s">
        <v>153</v>
      </c>
      <c r="M2517" s="1" t="s">
        <v>28</v>
      </c>
      <c r="N2517" s="1" t="str">
        <f>HYPERLINK("https://klocwork.india.ti.com:443/review/insight-review.html#issuedetails_goto:problemid=123967,project=MCU_PLUS_SDK_AM263X,searchquery=taxonomy:'C and C++' build:Build_Apr_13_2023_11_11_AM grouping:off ","KW Issue Link")</f>
        <v>KW Issue Link</v>
      </c>
      <c r="O2517" s="1" t="s">
        <v>1083</v>
      </c>
    </row>
    <row r="2518" spans="1:15" ht="75" x14ac:dyDescent="0.25">
      <c r="A2518" s="1" t="s">
        <v>997</v>
      </c>
      <c r="B2518" s="1"/>
      <c r="C2518" s="1" t="s">
        <v>3468</v>
      </c>
      <c r="D2518" s="1">
        <v>123968</v>
      </c>
      <c r="E2518" s="1">
        <v>1757</v>
      </c>
      <c r="F2518" s="1" t="s">
        <v>3578</v>
      </c>
      <c r="G2518" s="1" t="s">
        <v>3508</v>
      </c>
      <c r="H2518" s="1" t="s">
        <v>141</v>
      </c>
      <c r="I2518" s="1" t="s">
        <v>66</v>
      </c>
      <c r="J2518" s="1">
        <v>4</v>
      </c>
      <c r="K2518" s="1" t="s">
        <v>142</v>
      </c>
      <c r="L2518" s="1" t="s">
        <v>153</v>
      </c>
      <c r="M2518" s="1" t="s">
        <v>28</v>
      </c>
      <c r="N2518" s="1" t="str">
        <f>HYPERLINK("https://klocwork.india.ti.com:443/review/insight-review.html#issuedetails_goto:problemid=123968,project=MCU_PLUS_SDK_AM263X,searchquery=taxonomy:'C and C++' build:Build_Apr_13_2023_11_11_AM grouping:off ","KW Issue Link")</f>
        <v>KW Issue Link</v>
      </c>
      <c r="O2518" s="1" t="s">
        <v>1083</v>
      </c>
    </row>
    <row r="2519" spans="1:15" ht="75" x14ac:dyDescent="0.25">
      <c r="A2519" s="1" t="s">
        <v>997</v>
      </c>
      <c r="B2519" s="1"/>
      <c r="C2519" s="1" t="s">
        <v>3468</v>
      </c>
      <c r="D2519" s="1">
        <v>123969</v>
      </c>
      <c r="E2519" s="1">
        <v>1757</v>
      </c>
      <c r="F2519" s="1" t="s">
        <v>3578</v>
      </c>
      <c r="G2519" s="1" t="s">
        <v>3508</v>
      </c>
      <c r="H2519" s="1" t="s">
        <v>141</v>
      </c>
      <c r="I2519" s="1" t="s">
        <v>66</v>
      </c>
      <c r="J2519" s="1">
        <v>4</v>
      </c>
      <c r="K2519" s="1" t="s">
        <v>142</v>
      </c>
      <c r="L2519" s="1" t="s">
        <v>153</v>
      </c>
      <c r="M2519" s="1" t="s">
        <v>28</v>
      </c>
      <c r="N2519" s="1" t="str">
        <f>HYPERLINK("https://klocwork.india.ti.com:443/review/insight-review.html#issuedetails_goto:problemid=123969,project=MCU_PLUS_SDK_AM263X,searchquery=taxonomy:'C and C++' build:Build_Apr_13_2023_11_11_AM grouping:off ","KW Issue Link")</f>
        <v>KW Issue Link</v>
      </c>
      <c r="O2519" s="1" t="s">
        <v>1083</v>
      </c>
    </row>
    <row r="2520" spans="1:15" ht="75" x14ac:dyDescent="0.25">
      <c r="A2520" s="1" t="s">
        <v>997</v>
      </c>
      <c r="B2520" s="1"/>
      <c r="C2520" s="1" t="s">
        <v>3468</v>
      </c>
      <c r="D2520" s="1">
        <v>123970</v>
      </c>
      <c r="E2520" s="1">
        <v>1760</v>
      </c>
      <c r="F2520" s="1" t="s">
        <v>3578</v>
      </c>
      <c r="G2520" s="1" t="s">
        <v>3508</v>
      </c>
      <c r="H2520" s="1" t="s">
        <v>141</v>
      </c>
      <c r="I2520" s="1" t="s">
        <v>66</v>
      </c>
      <c r="J2520" s="1">
        <v>4</v>
      </c>
      <c r="K2520" s="1" t="s">
        <v>142</v>
      </c>
      <c r="L2520" s="1" t="s">
        <v>153</v>
      </c>
      <c r="M2520" s="1" t="s">
        <v>28</v>
      </c>
      <c r="N2520" s="1" t="str">
        <f>HYPERLINK("https://klocwork.india.ti.com:443/review/insight-review.html#issuedetails_goto:problemid=123970,project=MCU_PLUS_SDK_AM263X,searchquery=taxonomy:'C and C++' build:Build_Apr_13_2023_11_11_AM grouping:off ","KW Issue Link")</f>
        <v>KW Issue Link</v>
      </c>
      <c r="O2520" s="1" t="s">
        <v>1083</v>
      </c>
    </row>
    <row r="2521" spans="1:15" ht="75" x14ac:dyDescent="0.25">
      <c r="A2521" s="1" t="s">
        <v>997</v>
      </c>
      <c r="B2521" s="1"/>
      <c r="C2521" s="1" t="s">
        <v>3468</v>
      </c>
      <c r="D2521" s="1">
        <v>123971</v>
      </c>
      <c r="E2521" s="1">
        <v>1761</v>
      </c>
      <c r="F2521" s="1" t="s">
        <v>3578</v>
      </c>
      <c r="G2521" s="1" t="s">
        <v>3508</v>
      </c>
      <c r="H2521" s="1" t="s">
        <v>141</v>
      </c>
      <c r="I2521" s="1" t="s">
        <v>66</v>
      </c>
      <c r="J2521" s="1">
        <v>4</v>
      </c>
      <c r="K2521" s="1" t="s">
        <v>142</v>
      </c>
      <c r="L2521" s="1" t="s">
        <v>153</v>
      </c>
      <c r="M2521" s="1" t="s">
        <v>28</v>
      </c>
      <c r="N2521" s="1" t="str">
        <f>HYPERLINK("https://klocwork.india.ti.com:443/review/insight-review.html#issuedetails_goto:problemid=123971,project=MCU_PLUS_SDK_AM263X,searchquery=taxonomy:'C and C++' build:Build_Apr_13_2023_11_11_AM grouping:off ","KW Issue Link")</f>
        <v>KW Issue Link</v>
      </c>
      <c r="O2521" s="1" t="s">
        <v>1083</v>
      </c>
    </row>
    <row r="2522" spans="1:15" ht="75" x14ac:dyDescent="0.25">
      <c r="A2522" s="1" t="s">
        <v>997</v>
      </c>
      <c r="B2522" s="1"/>
      <c r="C2522" s="1" t="s">
        <v>3468</v>
      </c>
      <c r="D2522" s="1">
        <v>123972</v>
      </c>
      <c r="E2522" s="1">
        <v>1761</v>
      </c>
      <c r="F2522" s="1" t="s">
        <v>3578</v>
      </c>
      <c r="G2522" s="1" t="s">
        <v>3508</v>
      </c>
      <c r="H2522" s="1" t="s">
        <v>141</v>
      </c>
      <c r="I2522" s="1" t="s">
        <v>66</v>
      </c>
      <c r="J2522" s="1">
        <v>4</v>
      </c>
      <c r="K2522" s="1" t="s">
        <v>142</v>
      </c>
      <c r="L2522" s="1" t="s">
        <v>153</v>
      </c>
      <c r="M2522" s="1" t="s">
        <v>28</v>
      </c>
      <c r="N2522" s="1" t="str">
        <f>HYPERLINK("https://klocwork.india.ti.com:443/review/insight-review.html#issuedetails_goto:problemid=123972,project=MCU_PLUS_SDK_AM263X,searchquery=taxonomy:'C and C++' build:Build_Apr_13_2023_11_11_AM grouping:off ","KW Issue Link")</f>
        <v>KW Issue Link</v>
      </c>
      <c r="O2522" s="1" t="s">
        <v>1083</v>
      </c>
    </row>
    <row r="2523" spans="1:15" ht="75" x14ac:dyDescent="0.25">
      <c r="A2523" s="1" t="s">
        <v>997</v>
      </c>
      <c r="B2523" s="1"/>
      <c r="C2523" s="1" t="s">
        <v>3468</v>
      </c>
      <c r="D2523" s="1">
        <v>123973</v>
      </c>
      <c r="E2523" s="1">
        <v>1793</v>
      </c>
      <c r="F2523" s="1" t="s">
        <v>3579</v>
      </c>
      <c r="G2523" s="1" t="s">
        <v>3510</v>
      </c>
      <c r="H2523" s="1" t="s">
        <v>141</v>
      </c>
      <c r="I2523" s="1" t="s">
        <v>66</v>
      </c>
      <c r="J2523" s="1">
        <v>4</v>
      </c>
      <c r="K2523" s="1" t="s">
        <v>142</v>
      </c>
      <c r="L2523" s="1" t="s">
        <v>153</v>
      </c>
      <c r="M2523" s="1" t="s">
        <v>28</v>
      </c>
      <c r="N2523" s="1" t="str">
        <f>HYPERLINK("https://klocwork.india.ti.com:443/review/insight-review.html#issuedetails_goto:problemid=123973,project=MCU_PLUS_SDK_AM263X,searchquery=taxonomy:'C and C++' build:Build_Apr_13_2023_11_11_AM grouping:off ","KW Issue Link")</f>
        <v>KW Issue Link</v>
      </c>
      <c r="O2523" s="1" t="s">
        <v>1083</v>
      </c>
    </row>
    <row r="2524" spans="1:15" ht="75" x14ac:dyDescent="0.25">
      <c r="A2524" s="1" t="s">
        <v>149</v>
      </c>
      <c r="B2524" s="1"/>
      <c r="C2524" s="1" t="s">
        <v>3468</v>
      </c>
      <c r="D2524" s="1">
        <v>123988</v>
      </c>
      <c r="E2524" s="1">
        <v>1393</v>
      </c>
      <c r="F2524" s="1" t="s">
        <v>3580</v>
      </c>
      <c r="G2524" s="1" t="s">
        <v>3486</v>
      </c>
      <c r="H2524" s="1" t="s">
        <v>141</v>
      </c>
      <c r="I2524" s="1" t="s">
        <v>65</v>
      </c>
      <c r="J2524" s="1">
        <v>3</v>
      </c>
      <c r="K2524" s="1" t="s">
        <v>142</v>
      </c>
      <c r="L2524" s="1" t="s">
        <v>153</v>
      </c>
      <c r="M2524" s="1" t="s">
        <v>28</v>
      </c>
      <c r="N2524" s="1" t="str">
        <f>HYPERLINK("https://klocwork.india.ti.com:443/review/insight-review.html#issuedetails_goto:problemid=123988,project=MCU_PLUS_SDK_AM263X,searchquery=taxonomy:'C and C++' build:Build_Apr_13_2023_11_11_AM grouping:off ","KW Issue Link")</f>
        <v>KW Issue Link</v>
      </c>
      <c r="O2524" s="1" t="s">
        <v>1083</v>
      </c>
    </row>
    <row r="2525" spans="1:15" ht="75" x14ac:dyDescent="0.25">
      <c r="A2525" s="1" t="s">
        <v>155</v>
      </c>
      <c r="B2525" s="1"/>
      <c r="C2525" s="1" t="s">
        <v>3468</v>
      </c>
      <c r="D2525" s="1">
        <v>123995</v>
      </c>
      <c r="E2525" s="1">
        <v>1394</v>
      </c>
      <c r="F2525" s="1" t="s">
        <v>156</v>
      </c>
      <c r="G2525" s="1" t="s">
        <v>3486</v>
      </c>
      <c r="H2525" s="1" t="s">
        <v>141</v>
      </c>
      <c r="I2525" s="1" t="s">
        <v>65</v>
      </c>
      <c r="J2525" s="1">
        <v>3</v>
      </c>
      <c r="K2525" s="1" t="s">
        <v>142</v>
      </c>
      <c r="L2525" s="1" t="s">
        <v>153</v>
      </c>
      <c r="M2525" s="1" t="s">
        <v>28</v>
      </c>
      <c r="N2525" s="1" t="str">
        <f>HYPERLINK("https://klocwork.india.ti.com:443/review/insight-review.html#issuedetails_goto:problemid=123995,project=MCU_PLUS_SDK_AM263X,searchquery=taxonomy:'C and C++' build:Build_Apr_13_2023_11_11_AM grouping:off ","KW Issue Link")</f>
        <v>KW Issue Link</v>
      </c>
      <c r="O2525" s="1" t="s">
        <v>1083</v>
      </c>
    </row>
    <row r="2526" spans="1:15" ht="75" x14ac:dyDescent="0.25">
      <c r="A2526" s="1" t="s">
        <v>149</v>
      </c>
      <c r="B2526" s="1"/>
      <c r="C2526" s="1" t="s">
        <v>3581</v>
      </c>
      <c r="D2526" s="1">
        <v>124246</v>
      </c>
      <c r="E2526" s="1">
        <v>278</v>
      </c>
      <c r="F2526" s="1" t="s">
        <v>3582</v>
      </c>
      <c r="G2526" s="1" t="s">
        <v>3583</v>
      </c>
      <c r="H2526" s="1" t="s">
        <v>141</v>
      </c>
      <c r="I2526" s="1" t="s">
        <v>65</v>
      </c>
      <c r="J2526" s="1">
        <v>3</v>
      </c>
      <c r="K2526" s="1" t="s">
        <v>142</v>
      </c>
      <c r="L2526" s="1" t="s">
        <v>153</v>
      </c>
      <c r="M2526" s="1" t="s">
        <v>28</v>
      </c>
      <c r="N2526" s="1" t="str">
        <f>HYPERLINK("https://klocwork.india.ti.com:443/review/insight-review.html#issuedetails_goto:problemid=124246,project=MCU_PLUS_SDK_AM263X,searchquery=taxonomy:'C and C++' build:Build_Apr_13_2023_11_11_AM grouping:off ","KW Issue Link")</f>
        <v>KW Issue Link</v>
      </c>
      <c r="O2526" s="1" t="s">
        <v>1083</v>
      </c>
    </row>
    <row r="2527" spans="1:15" ht="75" x14ac:dyDescent="0.25">
      <c r="A2527" s="1" t="s">
        <v>149</v>
      </c>
      <c r="B2527" s="1"/>
      <c r="C2527" s="1" t="s">
        <v>3581</v>
      </c>
      <c r="D2527" s="1">
        <v>124247</v>
      </c>
      <c r="E2527" s="1">
        <v>288</v>
      </c>
      <c r="F2527" s="1" t="s">
        <v>3582</v>
      </c>
      <c r="G2527" s="1" t="s">
        <v>3583</v>
      </c>
      <c r="H2527" s="1" t="s">
        <v>141</v>
      </c>
      <c r="I2527" s="1" t="s">
        <v>65</v>
      </c>
      <c r="J2527" s="1">
        <v>3</v>
      </c>
      <c r="K2527" s="1" t="s">
        <v>142</v>
      </c>
      <c r="L2527" s="1" t="s">
        <v>153</v>
      </c>
      <c r="M2527" s="1" t="s">
        <v>28</v>
      </c>
      <c r="N2527" s="1" t="str">
        <f>HYPERLINK("https://klocwork.india.ti.com:443/review/insight-review.html#issuedetails_goto:problemid=124247,project=MCU_PLUS_SDK_AM263X,searchquery=taxonomy:'C and C++' build:Build_Apr_13_2023_11_11_AM grouping:off ","KW Issue Link")</f>
        <v>KW Issue Link</v>
      </c>
      <c r="O2527" s="1" t="s">
        <v>1083</v>
      </c>
    </row>
    <row r="2528" spans="1:15" ht="75" x14ac:dyDescent="0.25">
      <c r="A2528" s="1" t="s">
        <v>149</v>
      </c>
      <c r="B2528" s="1"/>
      <c r="C2528" s="1" t="s">
        <v>3581</v>
      </c>
      <c r="D2528" s="1">
        <v>124248</v>
      </c>
      <c r="E2528" s="1">
        <v>339</v>
      </c>
      <c r="F2528" s="1" t="s">
        <v>3582</v>
      </c>
      <c r="G2528" s="1" t="s">
        <v>3584</v>
      </c>
      <c r="H2528" s="1" t="s">
        <v>141</v>
      </c>
      <c r="I2528" s="1" t="s">
        <v>65</v>
      </c>
      <c r="J2528" s="1">
        <v>3</v>
      </c>
      <c r="K2528" s="1" t="s">
        <v>142</v>
      </c>
      <c r="L2528" s="1" t="s">
        <v>153</v>
      </c>
      <c r="M2528" s="1" t="s">
        <v>28</v>
      </c>
      <c r="N2528" s="1" t="str">
        <f>HYPERLINK("https://klocwork.india.ti.com:443/review/insight-review.html#issuedetails_goto:problemid=124248,project=MCU_PLUS_SDK_AM263X,searchquery=taxonomy:'C and C++' build:Build_Apr_13_2023_11_11_AM grouping:off ","KW Issue Link")</f>
        <v>KW Issue Link</v>
      </c>
      <c r="O2528" s="1" t="s">
        <v>1083</v>
      </c>
    </row>
    <row r="2529" spans="1:15" ht="75" x14ac:dyDescent="0.25">
      <c r="A2529" s="1" t="s">
        <v>149</v>
      </c>
      <c r="B2529" s="1"/>
      <c r="C2529" s="1" t="s">
        <v>3581</v>
      </c>
      <c r="D2529" s="1">
        <v>124249</v>
      </c>
      <c r="E2529" s="1">
        <v>355</v>
      </c>
      <c r="F2529" s="1" t="s">
        <v>3582</v>
      </c>
      <c r="G2529" s="1" t="s">
        <v>3584</v>
      </c>
      <c r="H2529" s="1" t="s">
        <v>141</v>
      </c>
      <c r="I2529" s="1" t="s">
        <v>65</v>
      </c>
      <c r="J2529" s="1">
        <v>3</v>
      </c>
      <c r="K2529" s="1" t="s">
        <v>142</v>
      </c>
      <c r="L2529" s="1" t="s">
        <v>153</v>
      </c>
      <c r="M2529" s="1" t="s">
        <v>28</v>
      </c>
      <c r="N2529" s="1" t="str">
        <f>HYPERLINK("https://klocwork.india.ti.com:443/review/insight-review.html#issuedetails_goto:problemid=124249,project=MCU_PLUS_SDK_AM263X,searchquery=taxonomy:'C and C++' build:Build_Apr_13_2023_11_11_AM grouping:off ","KW Issue Link")</f>
        <v>KW Issue Link</v>
      </c>
      <c r="O2529" s="1" t="s">
        <v>1083</v>
      </c>
    </row>
    <row r="2530" spans="1:15" ht="105" x14ac:dyDescent="0.25">
      <c r="A2530" s="1" t="s">
        <v>149</v>
      </c>
      <c r="B2530" s="1"/>
      <c r="C2530" s="1" t="s">
        <v>3581</v>
      </c>
      <c r="D2530" s="1">
        <v>124250</v>
      </c>
      <c r="E2530" s="1">
        <v>391</v>
      </c>
      <c r="F2530" s="1" t="s">
        <v>3585</v>
      </c>
      <c r="G2530" s="1" t="s">
        <v>3586</v>
      </c>
      <c r="H2530" s="1" t="s">
        <v>141</v>
      </c>
      <c r="I2530" s="1" t="s">
        <v>65</v>
      </c>
      <c r="J2530" s="1">
        <v>3</v>
      </c>
      <c r="K2530" s="1" t="s">
        <v>142</v>
      </c>
      <c r="L2530" s="1" t="s">
        <v>153</v>
      </c>
      <c r="M2530" s="1" t="s">
        <v>28</v>
      </c>
      <c r="N2530" s="1" t="str">
        <f>HYPERLINK("https://klocwork.india.ti.com:443/review/insight-review.html#issuedetails_goto:problemid=124250,project=MCU_PLUS_SDK_AM263X,searchquery=taxonomy:'C and C++' build:Build_Apr_13_2023_11_11_AM grouping:off ","KW Issue Link")</f>
        <v>KW Issue Link</v>
      </c>
      <c r="O2530" s="1" t="s">
        <v>1083</v>
      </c>
    </row>
    <row r="2531" spans="1:15" ht="105" x14ac:dyDescent="0.25">
      <c r="A2531" s="1" t="s">
        <v>149</v>
      </c>
      <c r="B2531" s="1"/>
      <c r="C2531" s="1" t="s">
        <v>3581</v>
      </c>
      <c r="D2531" s="1">
        <v>124251</v>
      </c>
      <c r="E2531" s="1">
        <v>394</v>
      </c>
      <c r="F2531" s="1" t="s">
        <v>3587</v>
      </c>
      <c r="G2531" s="1" t="s">
        <v>3586</v>
      </c>
      <c r="H2531" s="1" t="s">
        <v>141</v>
      </c>
      <c r="I2531" s="1" t="s">
        <v>65</v>
      </c>
      <c r="J2531" s="1">
        <v>3</v>
      </c>
      <c r="K2531" s="1" t="s">
        <v>142</v>
      </c>
      <c r="L2531" s="1" t="s">
        <v>153</v>
      </c>
      <c r="M2531" s="1" t="s">
        <v>28</v>
      </c>
      <c r="N2531" s="1" t="str">
        <f>HYPERLINK("https://klocwork.india.ti.com:443/review/insight-review.html#issuedetails_goto:problemid=124251,project=MCU_PLUS_SDK_AM263X,searchquery=taxonomy:'C and C++' build:Build_Apr_13_2023_11_11_AM grouping:off ","KW Issue Link")</f>
        <v>KW Issue Link</v>
      </c>
      <c r="O2531" s="1" t="s">
        <v>1083</v>
      </c>
    </row>
    <row r="2532" spans="1:15" ht="105" x14ac:dyDescent="0.25">
      <c r="A2532" s="1" t="s">
        <v>149</v>
      </c>
      <c r="B2532" s="1"/>
      <c r="C2532" s="1" t="s">
        <v>3581</v>
      </c>
      <c r="D2532" s="1">
        <v>124252</v>
      </c>
      <c r="E2532" s="1">
        <v>397</v>
      </c>
      <c r="F2532" s="1" t="s">
        <v>3588</v>
      </c>
      <c r="G2532" s="1" t="s">
        <v>3586</v>
      </c>
      <c r="H2532" s="1" t="s">
        <v>141</v>
      </c>
      <c r="I2532" s="1" t="s">
        <v>65</v>
      </c>
      <c r="J2532" s="1">
        <v>3</v>
      </c>
      <c r="K2532" s="1" t="s">
        <v>142</v>
      </c>
      <c r="L2532" s="1" t="s">
        <v>153</v>
      </c>
      <c r="M2532" s="1" t="s">
        <v>28</v>
      </c>
      <c r="N2532" s="1" t="str">
        <f>HYPERLINK("https://klocwork.india.ti.com:443/review/insight-review.html#issuedetails_goto:problemid=124252,project=MCU_PLUS_SDK_AM263X,searchquery=taxonomy:'C and C++' build:Build_Apr_13_2023_11_11_AM grouping:off ","KW Issue Link")</f>
        <v>KW Issue Link</v>
      </c>
      <c r="O2532" s="1" t="s">
        <v>1083</v>
      </c>
    </row>
    <row r="2533" spans="1:15" ht="75" x14ac:dyDescent="0.25">
      <c r="A2533" s="1" t="s">
        <v>155</v>
      </c>
      <c r="B2533" s="1"/>
      <c r="C2533" s="1" t="s">
        <v>3581</v>
      </c>
      <c r="D2533" s="1">
        <v>124271</v>
      </c>
      <c r="E2533" s="1">
        <v>392</v>
      </c>
      <c r="F2533" s="1" t="s">
        <v>156</v>
      </c>
      <c r="G2533" s="1" t="s">
        <v>3586</v>
      </c>
      <c r="H2533" s="1" t="s">
        <v>141</v>
      </c>
      <c r="I2533" s="1" t="s">
        <v>65</v>
      </c>
      <c r="J2533" s="1">
        <v>3</v>
      </c>
      <c r="K2533" s="1" t="s">
        <v>142</v>
      </c>
      <c r="L2533" s="1" t="s">
        <v>153</v>
      </c>
      <c r="M2533" s="1" t="s">
        <v>28</v>
      </c>
      <c r="N2533" s="1" t="str">
        <f>HYPERLINK("https://klocwork.india.ti.com:443/review/insight-review.html#issuedetails_goto:problemid=124271,project=MCU_PLUS_SDK_AM263X,searchquery=taxonomy:'C and C++' build:Build_Apr_13_2023_11_11_AM grouping:off ","KW Issue Link")</f>
        <v>KW Issue Link</v>
      </c>
      <c r="O2533" s="1" t="s">
        <v>1083</v>
      </c>
    </row>
    <row r="2534" spans="1:15" ht="75" x14ac:dyDescent="0.25">
      <c r="A2534" s="1" t="s">
        <v>155</v>
      </c>
      <c r="B2534" s="1"/>
      <c r="C2534" s="1" t="s">
        <v>3581</v>
      </c>
      <c r="D2534" s="1">
        <v>124272</v>
      </c>
      <c r="E2534" s="1">
        <v>395</v>
      </c>
      <c r="F2534" s="1" t="s">
        <v>156</v>
      </c>
      <c r="G2534" s="1" t="s">
        <v>3586</v>
      </c>
      <c r="H2534" s="1" t="s">
        <v>141</v>
      </c>
      <c r="I2534" s="1" t="s">
        <v>65</v>
      </c>
      <c r="J2534" s="1">
        <v>3</v>
      </c>
      <c r="K2534" s="1" t="s">
        <v>142</v>
      </c>
      <c r="L2534" s="1" t="s">
        <v>153</v>
      </c>
      <c r="M2534" s="1" t="s">
        <v>28</v>
      </c>
      <c r="N2534" s="1" t="str">
        <f>HYPERLINK("https://klocwork.india.ti.com:443/review/insight-review.html#issuedetails_goto:problemid=124272,project=MCU_PLUS_SDK_AM263X,searchquery=taxonomy:'C and C++' build:Build_Apr_13_2023_11_11_AM grouping:off ","KW Issue Link")</f>
        <v>KW Issue Link</v>
      </c>
      <c r="O2534" s="1" t="s">
        <v>1083</v>
      </c>
    </row>
    <row r="2535" spans="1:15" ht="75" x14ac:dyDescent="0.25">
      <c r="A2535" s="1" t="s">
        <v>155</v>
      </c>
      <c r="B2535" s="1"/>
      <c r="C2535" s="1" t="s">
        <v>3581</v>
      </c>
      <c r="D2535" s="1">
        <v>124273</v>
      </c>
      <c r="E2535" s="1">
        <v>398</v>
      </c>
      <c r="F2535" s="1" t="s">
        <v>156</v>
      </c>
      <c r="G2535" s="1" t="s">
        <v>3586</v>
      </c>
      <c r="H2535" s="1" t="s">
        <v>141</v>
      </c>
      <c r="I2535" s="1" t="s">
        <v>65</v>
      </c>
      <c r="J2535" s="1">
        <v>3</v>
      </c>
      <c r="K2535" s="1" t="s">
        <v>142</v>
      </c>
      <c r="L2535" s="1" t="s">
        <v>153</v>
      </c>
      <c r="M2535" s="1" t="s">
        <v>28</v>
      </c>
      <c r="N2535" s="1" t="str">
        <f>HYPERLINK("https://klocwork.india.ti.com:443/review/insight-review.html#issuedetails_goto:problemid=124273,project=MCU_PLUS_SDK_AM263X,searchquery=taxonomy:'C and C++' build:Build_Apr_13_2023_11_11_AM grouping:off ","KW Issue Link")</f>
        <v>KW Issue Link</v>
      </c>
      <c r="O2535" s="1" t="s">
        <v>1083</v>
      </c>
    </row>
    <row r="2536" spans="1:15" ht="105" x14ac:dyDescent="0.25">
      <c r="A2536" s="1" t="s">
        <v>149</v>
      </c>
      <c r="B2536" s="1"/>
      <c r="C2536" s="1" t="s">
        <v>3589</v>
      </c>
      <c r="D2536" s="1">
        <v>124831</v>
      </c>
      <c r="E2536" s="1">
        <v>425</v>
      </c>
      <c r="F2536" s="1" t="s">
        <v>3590</v>
      </c>
      <c r="G2536" s="1" t="s">
        <v>3591</v>
      </c>
      <c r="H2536" s="1" t="s">
        <v>141</v>
      </c>
      <c r="I2536" s="1" t="s">
        <v>65</v>
      </c>
      <c r="J2536" s="1">
        <v>3</v>
      </c>
      <c r="K2536" s="1" t="s">
        <v>142</v>
      </c>
      <c r="L2536" s="1" t="s">
        <v>153</v>
      </c>
      <c r="M2536" s="1" t="s">
        <v>28</v>
      </c>
      <c r="N2536" s="1" t="str">
        <f>HYPERLINK("https://klocwork.india.ti.com:443/review/insight-review.html#issuedetails_goto:problemid=124831,project=MCU_PLUS_SDK_AM263X,searchquery=taxonomy:'C and C++' build:Build_Apr_13_2023_11_11_AM grouping:off ","KW Issue Link")</f>
        <v>KW Issue Link</v>
      </c>
      <c r="O2536" s="1" t="s">
        <v>1083</v>
      </c>
    </row>
    <row r="2537" spans="1:15" ht="75" x14ac:dyDescent="0.25">
      <c r="A2537" s="1" t="s">
        <v>155</v>
      </c>
      <c r="B2537" s="1"/>
      <c r="C2537" s="1" t="s">
        <v>3589</v>
      </c>
      <c r="D2537" s="1">
        <v>124842</v>
      </c>
      <c r="E2537" s="1">
        <v>426</v>
      </c>
      <c r="F2537" s="1" t="s">
        <v>156</v>
      </c>
      <c r="G2537" s="1" t="s">
        <v>3591</v>
      </c>
      <c r="H2537" s="1" t="s">
        <v>141</v>
      </c>
      <c r="I2537" s="1" t="s">
        <v>65</v>
      </c>
      <c r="J2537" s="1">
        <v>3</v>
      </c>
      <c r="K2537" s="1" t="s">
        <v>142</v>
      </c>
      <c r="L2537" s="1" t="s">
        <v>153</v>
      </c>
      <c r="M2537" s="1" t="s">
        <v>28</v>
      </c>
      <c r="N2537" s="1" t="str">
        <f>HYPERLINK("https://klocwork.india.ti.com:443/review/insight-review.html#issuedetails_goto:problemid=124842,project=MCU_PLUS_SDK_AM263X,searchquery=taxonomy:'C and C++' build:Build_Apr_13_2023_11_11_AM grouping:off ","KW Issue Link")</f>
        <v>KW Issue Link</v>
      </c>
      <c r="O2537" s="1" t="s">
        <v>1083</v>
      </c>
    </row>
    <row r="2538" spans="1:15" ht="75" x14ac:dyDescent="0.25">
      <c r="A2538" s="1" t="s">
        <v>1266</v>
      </c>
      <c r="B2538" s="1"/>
      <c r="C2538" s="1" t="s">
        <v>3592</v>
      </c>
      <c r="D2538" s="1">
        <v>125087</v>
      </c>
      <c r="E2538" s="1">
        <v>397</v>
      </c>
      <c r="F2538" s="1" t="s">
        <v>3593</v>
      </c>
      <c r="G2538" s="1" t="s">
        <v>3594</v>
      </c>
      <c r="H2538" s="1" t="s">
        <v>141</v>
      </c>
      <c r="I2538" s="1" t="s">
        <v>65</v>
      </c>
      <c r="J2538" s="1">
        <v>3</v>
      </c>
      <c r="K2538" s="1" t="s">
        <v>142</v>
      </c>
      <c r="L2538" s="1" t="s">
        <v>153</v>
      </c>
      <c r="M2538" s="1" t="s">
        <v>1256</v>
      </c>
      <c r="N2538" s="1" t="str">
        <f>HYPERLINK("https://klocwork.india.ti.com:443/review/insight-review.html#issuedetails_goto:problemid=125087,project=MCU_PLUS_SDK_AM263X,searchquery=taxonomy:'C and C++' build:Build_Apr_13_2023_11_11_AM grouping:off ","KW Issue Link")</f>
        <v>KW Issue Link</v>
      </c>
      <c r="O2538" s="1" t="s">
        <v>1083</v>
      </c>
    </row>
    <row r="2539" spans="1:15" ht="75" x14ac:dyDescent="0.25">
      <c r="A2539" s="1" t="s">
        <v>1266</v>
      </c>
      <c r="B2539" s="1"/>
      <c r="C2539" s="1" t="s">
        <v>3592</v>
      </c>
      <c r="D2539" s="1">
        <v>125088</v>
      </c>
      <c r="E2539" s="1">
        <v>542</v>
      </c>
      <c r="F2539" s="1" t="s">
        <v>3595</v>
      </c>
      <c r="G2539" s="1" t="s">
        <v>3596</v>
      </c>
      <c r="H2539" s="1" t="s">
        <v>141</v>
      </c>
      <c r="I2539" s="1" t="s">
        <v>65</v>
      </c>
      <c r="J2539" s="1">
        <v>3</v>
      </c>
      <c r="K2539" s="1" t="s">
        <v>142</v>
      </c>
      <c r="L2539" s="1" t="s">
        <v>153</v>
      </c>
      <c r="M2539" s="1" t="s">
        <v>1256</v>
      </c>
      <c r="N2539" s="1" t="str">
        <f>HYPERLINK("https://klocwork.india.ti.com:443/review/insight-review.html#issuedetails_goto:problemid=125088,project=MCU_PLUS_SDK_AM263X,searchquery=taxonomy:'C and C++' build:Build_Apr_13_2023_11_11_AM grouping:off ","KW Issue Link")</f>
        <v>KW Issue Link</v>
      </c>
      <c r="O2539" s="1" t="s">
        <v>1083</v>
      </c>
    </row>
    <row r="2540" spans="1:15" ht="75" x14ac:dyDescent="0.25">
      <c r="A2540" s="1" t="s">
        <v>1266</v>
      </c>
      <c r="B2540" s="1"/>
      <c r="C2540" s="1" t="s">
        <v>3592</v>
      </c>
      <c r="D2540" s="1">
        <v>125089</v>
      </c>
      <c r="E2540" s="1">
        <v>1131</v>
      </c>
      <c r="F2540" s="1" t="s">
        <v>3597</v>
      </c>
      <c r="G2540" s="1" t="s">
        <v>3598</v>
      </c>
      <c r="H2540" s="1" t="s">
        <v>141</v>
      </c>
      <c r="I2540" s="1" t="s">
        <v>65</v>
      </c>
      <c r="J2540" s="1">
        <v>3</v>
      </c>
      <c r="K2540" s="1" t="s">
        <v>142</v>
      </c>
      <c r="L2540" s="1" t="s">
        <v>153</v>
      </c>
      <c r="M2540" s="1" t="s">
        <v>1256</v>
      </c>
      <c r="N2540" s="1" t="str">
        <f>HYPERLINK("https://klocwork.india.ti.com:443/review/insight-review.html#issuedetails_goto:problemid=125089,project=MCU_PLUS_SDK_AM263X,searchquery=taxonomy:'C and C++' build:Build_Apr_13_2023_11_11_AM grouping:off ","KW Issue Link")</f>
        <v>KW Issue Link</v>
      </c>
      <c r="O2540" s="1" t="s">
        <v>1083</v>
      </c>
    </row>
    <row r="2541" spans="1:15" ht="75" x14ac:dyDescent="0.25">
      <c r="A2541" s="1" t="s">
        <v>1268</v>
      </c>
      <c r="B2541" s="1"/>
      <c r="C2541" s="1" t="s">
        <v>3592</v>
      </c>
      <c r="D2541" s="1">
        <v>125387</v>
      </c>
      <c r="E2541" s="1">
        <v>542</v>
      </c>
      <c r="F2541" s="1" t="s">
        <v>3599</v>
      </c>
      <c r="G2541" s="1" t="s">
        <v>3596</v>
      </c>
      <c r="H2541" s="1" t="s">
        <v>141</v>
      </c>
      <c r="I2541" s="1" t="s">
        <v>65</v>
      </c>
      <c r="J2541" s="1">
        <v>3</v>
      </c>
      <c r="K2541" s="1" t="s">
        <v>142</v>
      </c>
      <c r="L2541" s="1" t="s">
        <v>153</v>
      </c>
      <c r="M2541" s="1" t="s">
        <v>1256</v>
      </c>
      <c r="N2541" s="1" t="str">
        <f>HYPERLINK("https://klocwork.india.ti.com:443/review/insight-review.html#issuedetails_goto:problemid=125387,project=MCU_PLUS_SDK_AM263X,searchquery=taxonomy:'C and C++' build:Build_Apr_13_2023_11_11_AM grouping:off ","KW Issue Link")</f>
        <v>KW Issue Link</v>
      </c>
      <c r="O2541" s="1" t="s">
        <v>1083</v>
      </c>
    </row>
    <row r="2542" spans="1:15" ht="75" x14ac:dyDescent="0.25">
      <c r="A2542" s="1" t="s">
        <v>1268</v>
      </c>
      <c r="B2542" s="1"/>
      <c r="C2542" s="1" t="s">
        <v>3592</v>
      </c>
      <c r="D2542" s="1">
        <v>125388</v>
      </c>
      <c r="E2542" s="1">
        <v>1131</v>
      </c>
      <c r="F2542" s="1" t="s">
        <v>3600</v>
      </c>
      <c r="G2542" s="1" t="s">
        <v>3598</v>
      </c>
      <c r="H2542" s="1" t="s">
        <v>141</v>
      </c>
      <c r="I2542" s="1" t="s">
        <v>65</v>
      </c>
      <c r="J2542" s="1">
        <v>3</v>
      </c>
      <c r="K2542" s="1" t="s">
        <v>142</v>
      </c>
      <c r="L2542" s="1" t="s">
        <v>153</v>
      </c>
      <c r="M2542" s="1" t="s">
        <v>1256</v>
      </c>
      <c r="N2542" s="1" t="str">
        <f>HYPERLINK("https://klocwork.india.ti.com:443/review/insight-review.html#issuedetails_goto:problemid=125388,project=MCU_PLUS_SDK_AM263X,searchquery=taxonomy:'C and C++' build:Build_Apr_13_2023_11_11_AM grouping:off ","KW Issue Link")</f>
        <v>KW Issue Link</v>
      </c>
      <c r="O2542" s="1" t="s">
        <v>1083</v>
      </c>
    </row>
    <row r="2543" spans="1:15" ht="75" x14ac:dyDescent="0.25">
      <c r="A2543" s="1" t="s">
        <v>136</v>
      </c>
      <c r="B2543" s="1"/>
      <c r="C2543" s="1" t="s">
        <v>3592</v>
      </c>
      <c r="D2543" s="1">
        <v>125628</v>
      </c>
      <c r="E2543" s="1">
        <v>712</v>
      </c>
      <c r="F2543" s="1" t="s">
        <v>3601</v>
      </c>
      <c r="G2543" s="1" t="s">
        <v>3602</v>
      </c>
      <c r="H2543" s="1" t="s">
        <v>141</v>
      </c>
      <c r="I2543" s="1" t="s">
        <v>66</v>
      </c>
      <c r="J2543" s="1">
        <v>4</v>
      </c>
      <c r="K2543" s="1" t="s">
        <v>142</v>
      </c>
      <c r="L2543" s="1" t="s">
        <v>153</v>
      </c>
      <c r="M2543" s="1" t="s">
        <v>28</v>
      </c>
      <c r="N2543" s="1" t="str">
        <f>HYPERLINK("https://klocwork.india.ti.com:443/review/insight-review.html#issuedetails_goto:problemid=125628,project=MCU_PLUS_SDK_AM263X,searchquery=taxonomy:'C and C++' build:Build_Apr_13_2023_11_11_AM grouping:off ","KW Issue Link")</f>
        <v>KW Issue Link</v>
      </c>
      <c r="O2543" s="1" t="s">
        <v>1083</v>
      </c>
    </row>
    <row r="2544" spans="1:15" ht="75" x14ac:dyDescent="0.25">
      <c r="A2544" s="1" t="s">
        <v>136</v>
      </c>
      <c r="B2544" s="1"/>
      <c r="C2544" s="1" t="s">
        <v>3592</v>
      </c>
      <c r="D2544" s="1">
        <v>125629</v>
      </c>
      <c r="E2544" s="1">
        <v>712</v>
      </c>
      <c r="F2544" s="1" t="s">
        <v>3603</v>
      </c>
      <c r="G2544" s="1" t="s">
        <v>3602</v>
      </c>
      <c r="H2544" s="1" t="s">
        <v>141</v>
      </c>
      <c r="I2544" s="1" t="s">
        <v>66</v>
      </c>
      <c r="J2544" s="1">
        <v>4</v>
      </c>
      <c r="K2544" s="1" t="s">
        <v>142</v>
      </c>
      <c r="L2544" s="1" t="s">
        <v>153</v>
      </c>
      <c r="M2544" s="1" t="s">
        <v>28</v>
      </c>
      <c r="N2544" s="1" t="str">
        <f>HYPERLINK("https://klocwork.india.ti.com:443/review/insight-review.html#issuedetails_goto:problemid=125629,project=MCU_PLUS_SDK_AM263X,searchquery=taxonomy:'C and C++' build:Build_Apr_13_2023_11_11_AM grouping:off ","KW Issue Link")</f>
        <v>KW Issue Link</v>
      </c>
      <c r="O2544" s="1" t="s">
        <v>1083</v>
      </c>
    </row>
    <row r="2545" spans="1:15" ht="75" x14ac:dyDescent="0.25">
      <c r="A2545" s="1" t="s">
        <v>136</v>
      </c>
      <c r="B2545" s="1"/>
      <c r="C2545" s="1" t="s">
        <v>3592</v>
      </c>
      <c r="D2545" s="1">
        <v>125630</v>
      </c>
      <c r="E2545" s="1">
        <v>883</v>
      </c>
      <c r="F2545" s="1" t="s">
        <v>3601</v>
      </c>
      <c r="G2545" s="1" t="s">
        <v>3604</v>
      </c>
      <c r="H2545" s="1" t="s">
        <v>141</v>
      </c>
      <c r="I2545" s="1" t="s">
        <v>66</v>
      </c>
      <c r="J2545" s="1">
        <v>4</v>
      </c>
      <c r="K2545" s="1" t="s">
        <v>142</v>
      </c>
      <c r="L2545" s="1" t="s">
        <v>153</v>
      </c>
      <c r="M2545" s="1" t="s">
        <v>28</v>
      </c>
      <c r="N2545" s="1" t="str">
        <f>HYPERLINK("https://klocwork.india.ti.com:443/review/insight-review.html#issuedetails_goto:problemid=125630,project=MCU_PLUS_SDK_AM263X,searchquery=taxonomy:'C and C++' build:Build_Apr_13_2023_11_11_AM grouping:off ","KW Issue Link")</f>
        <v>KW Issue Link</v>
      </c>
      <c r="O2545" s="1" t="s">
        <v>1083</v>
      </c>
    </row>
    <row r="2546" spans="1:15" ht="75" x14ac:dyDescent="0.25">
      <c r="A2546" s="1" t="s">
        <v>136</v>
      </c>
      <c r="B2546" s="1"/>
      <c r="C2546" s="1" t="s">
        <v>3592</v>
      </c>
      <c r="D2546" s="1">
        <v>125631</v>
      </c>
      <c r="E2546" s="1">
        <v>951</v>
      </c>
      <c r="F2546" s="1" t="s">
        <v>3601</v>
      </c>
      <c r="G2546" s="1" t="s">
        <v>3605</v>
      </c>
      <c r="H2546" s="1" t="s">
        <v>141</v>
      </c>
      <c r="I2546" s="1" t="s">
        <v>66</v>
      </c>
      <c r="J2546" s="1">
        <v>4</v>
      </c>
      <c r="K2546" s="1" t="s">
        <v>142</v>
      </c>
      <c r="L2546" s="1" t="s">
        <v>153</v>
      </c>
      <c r="M2546" s="1" t="s">
        <v>28</v>
      </c>
      <c r="N2546" s="1" t="str">
        <f>HYPERLINK("https://klocwork.india.ti.com:443/review/insight-review.html#issuedetails_goto:problemid=125631,project=MCU_PLUS_SDK_AM263X,searchquery=taxonomy:'C and C++' build:Build_Apr_13_2023_11_11_AM grouping:off ","KW Issue Link")</f>
        <v>KW Issue Link</v>
      </c>
      <c r="O2546" s="1" t="s">
        <v>1083</v>
      </c>
    </row>
    <row r="2547" spans="1:15" ht="75" x14ac:dyDescent="0.25">
      <c r="A2547" s="1" t="s">
        <v>1252</v>
      </c>
      <c r="B2547" s="1"/>
      <c r="C2547" s="1" t="s">
        <v>3592</v>
      </c>
      <c r="D2547" s="1">
        <v>125632</v>
      </c>
      <c r="E2547" s="1">
        <v>721</v>
      </c>
      <c r="F2547" s="1" t="s">
        <v>3606</v>
      </c>
      <c r="G2547" s="1" t="s">
        <v>3607</v>
      </c>
      <c r="H2547" s="1" t="s">
        <v>141</v>
      </c>
      <c r="I2547" s="1" t="s">
        <v>65</v>
      </c>
      <c r="J2547" s="1">
        <v>3</v>
      </c>
      <c r="K2547" s="1" t="s">
        <v>142</v>
      </c>
      <c r="L2547" s="1" t="s">
        <v>153</v>
      </c>
      <c r="M2547" s="1" t="s">
        <v>1256</v>
      </c>
      <c r="N2547" s="1" t="str">
        <f>HYPERLINK("https://klocwork.india.ti.com:443/review/insight-review.html#issuedetails_goto:problemid=125632,project=MCU_PLUS_SDK_AM263X,searchquery=taxonomy:'C and C++' build:Build_Apr_13_2023_11_11_AM grouping:off ","KW Issue Link")</f>
        <v>KW Issue Link</v>
      </c>
      <c r="O2547" s="1" t="s">
        <v>1083</v>
      </c>
    </row>
    <row r="2548" spans="1:15" ht="75" x14ac:dyDescent="0.25">
      <c r="A2548" s="1" t="s">
        <v>1252</v>
      </c>
      <c r="B2548" s="1"/>
      <c r="C2548" s="1" t="s">
        <v>3592</v>
      </c>
      <c r="D2548" s="1">
        <v>125633</v>
      </c>
      <c r="E2548" s="1">
        <v>1010</v>
      </c>
      <c r="F2548" s="1" t="s">
        <v>3608</v>
      </c>
      <c r="G2548" s="1" t="s">
        <v>3609</v>
      </c>
      <c r="H2548" s="1" t="s">
        <v>141</v>
      </c>
      <c r="I2548" s="1" t="s">
        <v>65</v>
      </c>
      <c r="J2548" s="1">
        <v>3</v>
      </c>
      <c r="K2548" s="1" t="s">
        <v>142</v>
      </c>
      <c r="L2548" s="1" t="s">
        <v>153</v>
      </c>
      <c r="M2548" s="1" t="s">
        <v>1256</v>
      </c>
      <c r="N2548" s="1" t="str">
        <f>HYPERLINK("https://klocwork.india.ti.com:443/review/insight-review.html#issuedetails_goto:problemid=125633,project=MCU_PLUS_SDK_AM263X,searchquery=taxonomy:'C and C++' build:Build_Apr_13_2023_11_11_AM grouping:off ","KW Issue Link")</f>
        <v>KW Issue Link</v>
      </c>
      <c r="O2548" s="1" t="s">
        <v>1083</v>
      </c>
    </row>
    <row r="2549" spans="1:15" ht="75" x14ac:dyDescent="0.25">
      <c r="A2549" s="1" t="s">
        <v>1252</v>
      </c>
      <c r="B2549" s="1"/>
      <c r="C2549" s="1" t="s">
        <v>3592</v>
      </c>
      <c r="D2549" s="1">
        <v>125634</v>
      </c>
      <c r="E2549" s="1">
        <v>1131</v>
      </c>
      <c r="F2549" s="1" t="s">
        <v>3610</v>
      </c>
      <c r="G2549" s="1" t="s">
        <v>3598</v>
      </c>
      <c r="H2549" s="1" t="s">
        <v>141</v>
      </c>
      <c r="I2549" s="1" t="s">
        <v>65</v>
      </c>
      <c r="J2549" s="1">
        <v>3</v>
      </c>
      <c r="K2549" s="1" t="s">
        <v>142</v>
      </c>
      <c r="L2549" s="1" t="s">
        <v>153</v>
      </c>
      <c r="M2549" s="1" t="s">
        <v>1256</v>
      </c>
      <c r="N2549" s="1" t="str">
        <f>HYPERLINK("https://klocwork.india.ti.com:443/review/insight-review.html#issuedetails_goto:problemid=125634,project=MCU_PLUS_SDK_AM263X,searchquery=taxonomy:'C and C++' build:Build_Apr_13_2023_11_11_AM grouping:off ","KW Issue Link")</f>
        <v>KW Issue Link</v>
      </c>
      <c r="O2549" s="1" t="s">
        <v>1083</v>
      </c>
    </row>
    <row r="2550" spans="1:15" ht="75" x14ac:dyDescent="0.25">
      <c r="A2550" s="1" t="s">
        <v>1252</v>
      </c>
      <c r="B2550" s="1"/>
      <c r="C2550" s="1" t="s">
        <v>3592</v>
      </c>
      <c r="D2550" s="1">
        <v>125635</v>
      </c>
      <c r="E2550" s="1">
        <v>1235</v>
      </c>
      <c r="F2550" s="1" t="s">
        <v>3611</v>
      </c>
      <c r="G2550" s="1" t="s">
        <v>3612</v>
      </c>
      <c r="H2550" s="1" t="s">
        <v>141</v>
      </c>
      <c r="I2550" s="1" t="s">
        <v>65</v>
      </c>
      <c r="J2550" s="1">
        <v>3</v>
      </c>
      <c r="K2550" s="1" t="s">
        <v>142</v>
      </c>
      <c r="L2550" s="1" t="s">
        <v>153</v>
      </c>
      <c r="M2550" s="1" t="s">
        <v>1256</v>
      </c>
      <c r="N2550" s="1" t="str">
        <f>HYPERLINK("https://klocwork.india.ti.com:443/review/insight-review.html#issuedetails_goto:problemid=125635,project=MCU_PLUS_SDK_AM263X,searchquery=taxonomy:'C and C++' build:Build_Apr_13_2023_11_11_AM grouping:off ","KW Issue Link")</f>
        <v>KW Issue Link</v>
      </c>
      <c r="O2550" s="1" t="s">
        <v>1083</v>
      </c>
    </row>
    <row r="2551" spans="1:15" ht="75" x14ac:dyDescent="0.25">
      <c r="A2551" s="1" t="s">
        <v>1252</v>
      </c>
      <c r="B2551" s="1"/>
      <c r="C2551" s="1" t="s">
        <v>3592</v>
      </c>
      <c r="D2551" s="1">
        <v>125636</v>
      </c>
      <c r="E2551" s="1">
        <v>1281</v>
      </c>
      <c r="F2551" s="1" t="s">
        <v>3613</v>
      </c>
      <c r="G2551" s="1" t="s">
        <v>3614</v>
      </c>
      <c r="H2551" s="1" t="s">
        <v>141</v>
      </c>
      <c r="I2551" s="1" t="s">
        <v>65</v>
      </c>
      <c r="J2551" s="1">
        <v>3</v>
      </c>
      <c r="K2551" s="1" t="s">
        <v>142</v>
      </c>
      <c r="L2551" s="1" t="s">
        <v>153</v>
      </c>
      <c r="M2551" s="1" t="s">
        <v>1256</v>
      </c>
      <c r="N2551" s="1" t="str">
        <f>HYPERLINK("https://klocwork.india.ti.com:443/review/insight-review.html#issuedetails_goto:problemid=125636,project=MCU_PLUS_SDK_AM263X,searchquery=taxonomy:'C and C++' build:Build_Apr_13_2023_11_11_AM grouping:off ","KW Issue Link")</f>
        <v>KW Issue Link</v>
      </c>
      <c r="O2551" s="1" t="s">
        <v>1083</v>
      </c>
    </row>
    <row r="2552" spans="1:15" ht="75" x14ac:dyDescent="0.25">
      <c r="A2552" s="1" t="s">
        <v>1252</v>
      </c>
      <c r="B2552" s="1"/>
      <c r="C2552" s="1" t="s">
        <v>3592</v>
      </c>
      <c r="D2552" s="1">
        <v>125637</v>
      </c>
      <c r="E2552" s="1">
        <v>1315</v>
      </c>
      <c r="F2552" s="1" t="s">
        <v>3615</v>
      </c>
      <c r="G2552" s="1" t="s">
        <v>3616</v>
      </c>
      <c r="H2552" s="1" t="s">
        <v>141</v>
      </c>
      <c r="I2552" s="1" t="s">
        <v>65</v>
      </c>
      <c r="J2552" s="1">
        <v>3</v>
      </c>
      <c r="K2552" s="1" t="s">
        <v>142</v>
      </c>
      <c r="L2552" s="1" t="s">
        <v>153</v>
      </c>
      <c r="M2552" s="1" t="s">
        <v>1256</v>
      </c>
      <c r="N2552" s="1" t="str">
        <f>HYPERLINK("https://klocwork.india.ti.com:443/review/insight-review.html#issuedetails_goto:problemid=125637,project=MCU_PLUS_SDK_AM263X,searchquery=taxonomy:'C and C++' build:Build_Apr_13_2023_11_11_AM grouping:off ","KW Issue Link")</f>
        <v>KW Issue Link</v>
      </c>
      <c r="O2552" s="1" t="s">
        <v>1083</v>
      </c>
    </row>
    <row r="2553" spans="1:15" ht="75" x14ac:dyDescent="0.25">
      <c r="A2553" s="1" t="s">
        <v>1252</v>
      </c>
      <c r="B2553" s="1"/>
      <c r="C2553" s="1" t="s">
        <v>3592</v>
      </c>
      <c r="D2553" s="1">
        <v>125638</v>
      </c>
      <c r="E2553" s="1">
        <v>1349</v>
      </c>
      <c r="F2553" s="1" t="s">
        <v>3617</v>
      </c>
      <c r="G2553" s="1" t="s">
        <v>3618</v>
      </c>
      <c r="H2553" s="1" t="s">
        <v>141</v>
      </c>
      <c r="I2553" s="1" t="s">
        <v>65</v>
      </c>
      <c r="J2553" s="1">
        <v>3</v>
      </c>
      <c r="K2553" s="1" t="s">
        <v>142</v>
      </c>
      <c r="L2553" s="1" t="s">
        <v>153</v>
      </c>
      <c r="M2553" s="1" t="s">
        <v>1256</v>
      </c>
      <c r="N2553" s="1" t="str">
        <f>HYPERLINK("https://klocwork.india.ti.com:443/review/insight-review.html#issuedetails_goto:problemid=125638,project=MCU_PLUS_SDK_AM263X,searchquery=taxonomy:'C and C++' build:Build_Apr_13_2023_11_11_AM grouping:off ","KW Issue Link")</f>
        <v>KW Issue Link</v>
      </c>
      <c r="O2553" s="1" t="s">
        <v>1083</v>
      </c>
    </row>
    <row r="2554" spans="1:15" ht="75" x14ac:dyDescent="0.25">
      <c r="A2554" s="1" t="s">
        <v>149</v>
      </c>
      <c r="B2554" s="1"/>
      <c r="C2554" s="1" t="s">
        <v>3592</v>
      </c>
      <c r="D2554" s="1">
        <v>125680</v>
      </c>
      <c r="E2554" s="1">
        <v>1156</v>
      </c>
      <c r="F2554" s="1" t="s">
        <v>3619</v>
      </c>
      <c r="G2554" s="1" t="s">
        <v>3598</v>
      </c>
      <c r="H2554" s="1" t="s">
        <v>141</v>
      </c>
      <c r="I2554" s="1" t="s">
        <v>65</v>
      </c>
      <c r="J2554" s="1">
        <v>3</v>
      </c>
      <c r="K2554" s="1" t="s">
        <v>142</v>
      </c>
      <c r="L2554" s="1" t="s">
        <v>153</v>
      </c>
      <c r="M2554" s="1" t="s">
        <v>28</v>
      </c>
      <c r="N2554" s="1" t="str">
        <f>HYPERLINK("https://klocwork.india.ti.com:443/review/insight-review.html#issuedetails_goto:problemid=125680,project=MCU_PLUS_SDK_AM263X,searchquery=taxonomy:'C and C++' build:Build_Apr_13_2023_11_11_AM grouping:off ","KW Issue Link")</f>
        <v>KW Issue Link</v>
      </c>
      <c r="O2554" s="1" t="s">
        <v>1083</v>
      </c>
    </row>
    <row r="2555" spans="1:15" ht="75" x14ac:dyDescent="0.25">
      <c r="A2555" s="1" t="s">
        <v>149</v>
      </c>
      <c r="B2555" s="1"/>
      <c r="C2555" s="1" t="s">
        <v>3592</v>
      </c>
      <c r="D2555" s="1">
        <v>125681</v>
      </c>
      <c r="E2555" s="1">
        <v>1178</v>
      </c>
      <c r="F2555" s="1" t="s">
        <v>3619</v>
      </c>
      <c r="G2555" s="1" t="s">
        <v>3598</v>
      </c>
      <c r="H2555" s="1" t="s">
        <v>141</v>
      </c>
      <c r="I2555" s="1" t="s">
        <v>65</v>
      </c>
      <c r="J2555" s="1">
        <v>3</v>
      </c>
      <c r="K2555" s="1" t="s">
        <v>142</v>
      </c>
      <c r="L2555" s="1" t="s">
        <v>153</v>
      </c>
      <c r="M2555" s="1" t="s">
        <v>28</v>
      </c>
      <c r="N2555" s="1" t="str">
        <f>HYPERLINK("https://klocwork.india.ti.com:443/review/insight-review.html#issuedetails_goto:problemid=125681,project=MCU_PLUS_SDK_AM263X,searchquery=taxonomy:'C and C++' build:Build_Apr_13_2023_11_11_AM grouping:off ","KW Issue Link")</f>
        <v>KW Issue Link</v>
      </c>
      <c r="O2555" s="1" t="s">
        <v>1083</v>
      </c>
    </row>
    <row r="2556" spans="1:15" ht="75" x14ac:dyDescent="0.25">
      <c r="A2556" s="1" t="s">
        <v>149</v>
      </c>
      <c r="B2556" s="1"/>
      <c r="C2556" s="1" t="s">
        <v>3592</v>
      </c>
      <c r="D2556" s="1">
        <v>125682</v>
      </c>
      <c r="E2556" s="1">
        <v>1218</v>
      </c>
      <c r="F2556" s="1" t="s">
        <v>3619</v>
      </c>
      <c r="G2556" s="1" t="s">
        <v>3598</v>
      </c>
      <c r="H2556" s="1" t="s">
        <v>141</v>
      </c>
      <c r="I2556" s="1" t="s">
        <v>65</v>
      </c>
      <c r="J2556" s="1">
        <v>3</v>
      </c>
      <c r="K2556" s="1" t="s">
        <v>142</v>
      </c>
      <c r="L2556" s="1" t="s">
        <v>153</v>
      </c>
      <c r="M2556" s="1" t="s">
        <v>28</v>
      </c>
      <c r="N2556" s="1" t="str">
        <f>HYPERLINK("https://klocwork.india.ti.com:443/review/insight-review.html#issuedetails_goto:problemid=125682,project=MCU_PLUS_SDK_AM263X,searchquery=taxonomy:'C and C++' build:Build_Apr_13_2023_11_11_AM grouping:off ","KW Issue Link")</f>
        <v>KW Issue Link</v>
      </c>
      <c r="O2556" s="1" t="s">
        <v>1083</v>
      </c>
    </row>
    <row r="2557" spans="1:15" ht="75" x14ac:dyDescent="0.25">
      <c r="A2557" s="1" t="s">
        <v>149</v>
      </c>
      <c r="B2557" s="1"/>
      <c r="C2557" s="1" t="s">
        <v>3592</v>
      </c>
      <c r="D2557" s="1">
        <v>125683</v>
      </c>
      <c r="E2557" s="1">
        <v>1330</v>
      </c>
      <c r="F2557" s="1" t="s">
        <v>3620</v>
      </c>
      <c r="G2557" s="1" t="s">
        <v>3616</v>
      </c>
      <c r="H2557" s="1" t="s">
        <v>141</v>
      </c>
      <c r="I2557" s="1" t="s">
        <v>65</v>
      </c>
      <c r="J2557" s="1">
        <v>3</v>
      </c>
      <c r="K2557" s="1" t="s">
        <v>142</v>
      </c>
      <c r="L2557" s="1" t="s">
        <v>153</v>
      </c>
      <c r="M2557" s="1" t="s">
        <v>28</v>
      </c>
      <c r="N2557" s="1" t="str">
        <f>HYPERLINK("https://klocwork.india.ti.com:443/review/insight-review.html#issuedetails_goto:problemid=125683,project=MCU_PLUS_SDK_AM263X,searchquery=taxonomy:'C and C++' build:Build_Apr_13_2023_11_11_AM grouping:off ","KW Issue Link")</f>
        <v>KW Issue Link</v>
      </c>
      <c r="O2557" s="1" t="s">
        <v>1083</v>
      </c>
    </row>
    <row r="2558" spans="1:15" ht="75" x14ac:dyDescent="0.25">
      <c r="A2558" s="1" t="s">
        <v>155</v>
      </c>
      <c r="B2558" s="1"/>
      <c r="C2558" s="1" t="s">
        <v>3592</v>
      </c>
      <c r="D2558" s="1">
        <v>125696</v>
      </c>
      <c r="E2558" s="1">
        <v>1331</v>
      </c>
      <c r="F2558" s="1" t="s">
        <v>156</v>
      </c>
      <c r="G2558" s="1" t="s">
        <v>3616</v>
      </c>
      <c r="H2558" s="1" t="s">
        <v>141</v>
      </c>
      <c r="I2558" s="1" t="s">
        <v>65</v>
      </c>
      <c r="J2558" s="1">
        <v>3</v>
      </c>
      <c r="K2558" s="1" t="s">
        <v>142</v>
      </c>
      <c r="L2558" s="1" t="s">
        <v>153</v>
      </c>
      <c r="M2558" s="1" t="s">
        <v>28</v>
      </c>
      <c r="N2558" s="1" t="str">
        <f>HYPERLINK("https://klocwork.india.ti.com:443/review/insight-review.html#issuedetails_goto:problemid=125696,project=MCU_PLUS_SDK_AM263X,searchquery=taxonomy:'C and C++' build:Build_Apr_13_2023_11_11_AM grouping:off ","KW Issue Link")</f>
        <v>KW Issue Link</v>
      </c>
      <c r="O2558" s="1" t="s">
        <v>1083</v>
      </c>
    </row>
    <row r="2559" spans="1:15" ht="75" x14ac:dyDescent="0.25">
      <c r="A2559" s="1" t="s">
        <v>1257</v>
      </c>
      <c r="B2559" s="1"/>
      <c r="C2559" s="1" t="s">
        <v>3592</v>
      </c>
      <c r="D2559" s="1">
        <v>125707</v>
      </c>
      <c r="E2559" s="1">
        <v>1349</v>
      </c>
      <c r="F2559" s="1" t="s">
        <v>3621</v>
      </c>
      <c r="G2559" s="1" t="s">
        <v>3618</v>
      </c>
      <c r="H2559" s="1" t="s">
        <v>141</v>
      </c>
      <c r="I2559" s="1" t="s">
        <v>65</v>
      </c>
      <c r="J2559" s="1">
        <v>3</v>
      </c>
      <c r="K2559" s="1" t="s">
        <v>142</v>
      </c>
      <c r="L2559" s="1" t="s">
        <v>153</v>
      </c>
      <c r="M2559" s="1" t="s">
        <v>1256</v>
      </c>
      <c r="N2559" s="1" t="str">
        <f>HYPERLINK("https://klocwork.india.ti.com:443/review/insight-review.html#issuedetails_goto:problemid=125707,project=MCU_PLUS_SDK_AM263X,searchquery=taxonomy:'C and C++' build:Build_Apr_13_2023_11_11_AM grouping:off ","KW Issue Link")</f>
        <v>KW Issue Link</v>
      </c>
      <c r="O2559" s="1" t="s">
        <v>1083</v>
      </c>
    </row>
    <row r="2560" spans="1:15" ht="75" x14ac:dyDescent="0.25">
      <c r="A2560" s="1" t="s">
        <v>1266</v>
      </c>
      <c r="B2560" s="1"/>
      <c r="C2560" s="1" t="s">
        <v>3622</v>
      </c>
      <c r="D2560" s="1">
        <v>126146</v>
      </c>
      <c r="E2560" s="1">
        <v>50</v>
      </c>
      <c r="F2560" s="1" t="s">
        <v>3623</v>
      </c>
      <c r="G2560" s="1" t="s">
        <v>3624</v>
      </c>
      <c r="H2560" s="1" t="s">
        <v>141</v>
      </c>
      <c r="I2560" s="1" t="s">
        <v>65</v>
      </c>
      <c r="J2560" s="1">
        <v>3</v>
      </c>
      <c r="K2560" s="1" t="s">
        <v>142</v>
      </c>
      <c r="L2560" s="1" t="s">
        <v>153</v>
      </c>
      <c r="M2560" s="1" t="s">
        <v>1256</v>
      </c>
      <c r="N2560" s="1" t="str">
        <f>HYPERLINK("https://klocwork.india.ti.com:443/review/insight-review.html#issuedetails_goto:problemid=126146,project=MCU_PLUS_SDK_AM263X,searchquery=taxonomy:'C and C++' build:Build_Apr_13_2023_11_11_AM grouping:off ","KW Issue Link")</f>
        <v>KW Issue Link</v>
      </c>
      <c r="O2560" s="1" t="s">
        <v>1083</v>
      </c>
    </row>
    <row r="2561" spans="1:15" ht="75" x14ac:dyDescent="0.25">
      <c r="A2561" s="1" t="s">
        <v>136</v>
      </c>
      <c r="B2561" s="1"/>
      <c r="C2561" s="1" t="s">
        <v>3625</v>
      </c>
      <c r="D2561" s="1">
        <v>127066</v>
      </c>
      <c r="E2561" s="1">
        <v>123</v>
      </c>
      <c r="F2561" s="1" t="s">
        <v>3626</v>
      </c>
      <c r="G2561" s="1" t="s">
        <v>3627</v>
      </c>
      <c r="H2561" s="1" t="s">
        <v>141</v>
      </c>
      <c r="I2561" s="1" t="s">
        <v>66</v>
      </c>
      <c r="J2561" s="1">
        <v>4</v>
      </c>
      <c r="K2561" s="1" t="s">
        <v>142</v>
      </c>
      <c r="L2561" s="1" t="s">
        <v>153</v>
      </c>
      <c r="M2561" s="1" t="s">
        <v>28</v>
      </c>
      <c r="N2561" s="1" t="str">
        <f>HYPERLINK("https://klocwork.india.ti.com:443/review/insight-review.html#issuedetails_goto:problemid=127066,project=MCU_PLUS_SDK_AM263X,searchquery=taxonomy:'C and C++' build:Build_Apr_13_2023_11_11_AM grouping:off ","KW Issue Link")</f>
        <v>KW Issue Link</v>
      </c>
      <c r="O2561" s="1" t="s">
        <v>1083</v>
      </c>
    </row>
    <row r="2562" spans="1:15" ht="75" x14ac:dyDescent="0.25">
      <c r="A2562" s="1" t="s">
        <v>1266</v>
      </c>
      <c r="B2562" s="1"/>
      <c r="C2562" s="1" t="s">
        <v>3625</v>
      </c>
      <c r="D2562" s="1">
        <v>127085</v>
      </c>
      <c r="E2562" s="1">
        <v>144</v>
      </c>
      <c r="F2562" s="1" t="s">
        <v>3628</v>
      </c>
      <c r="G2562" s="1" t="s">
        <v>3629</v>
      </c>
      <c r="H2562" s="1" t="s">
        <v>141</v>
      </c>
      <c r="I2562" s="1" t="s">
        <v>65</v>
      </c>
      <c r="J2562" s="1">
        <v>3</v>
      </c>
      <c r="K2562" s="1" t="s">
        <v>142</v>
      </c>
      <c r="L2562" s="1" t="s">
        <v>153</v>
      </c>
      <c r="M2562" s="1" t="s">
        <v>1256</v>
      </c>
      <c r="N2562" s="1" t="str">
        <f>HYPERLINK("https://klocwork.india.ti.com:443/review/insight-review.html#issuedetails_goto:problemid=127085,project=MCU_PLUS_SDK_AM263X,searchquery=taxonomy:'C and C++' build:Build_Apr_13_2023_11_11_AM grouping:off ","KW Issue Link")</f>
        <v>KW Issue Link</v>
      </c>
      <c r="O2562" s="1" t="s">
        <v>1083</v>
      </c>
    </row>
    <row r="2563" spans="1:15" ht="75" x14ac:dyDescent="0.25">
      <c r="A2563" s="1" t="s">
        <v>1268</v>
      </c>
      <c r="B2563" s="1"/>
      <c r="C2563" s="1" t="s">
        <v>3625</v>
      </c>
      <c r="D2563" s="1">
        <v>127086</v>
      </c>
      <c r="E2563" s="1">
        <v>144</v>
      </c>
      <c r="F2563" s="1" t="s">
        <v>3630</v>
      </c>
      <c r="G2563" s="1" t="s">
        <v>3629</v>
      </c>
      <c r="H2563" s="1" t="s">
        <v>141</v>
      </c>
      <c r="I2563" s="1" t="s">
        <v>65</v>
      </c>
      <c r="J2563" s="1">
        <v>3</v>
      </c>
      <c r="K2563" s="1" t="s">
        <v>142</v>
      </c>
      <c r="L2563" s="1" t="s">
        <v>153</v>
      </c>
      <c r="M2563" s="1" t="s">
        <v>1256</v>
      </c>
      <c r="N2563" s="1" t="str">
        <f>HYPERLINK("https://klocwork.india.ti.com:443/review/insight-review.html#issuedetails_goto:problemid=127086,project=MCU_PLUS_SDK_AM263X,searchquery=taxonomy:'C and C++' build:Build_Apr_13_2023_11_11_AM grouping:off ","KW Issue Link")</f>
        <v>KW Issue Link</v>
      </c>
      <c r="O2563" s="1" t="s">
        <v>1083</v>
      </c>
    </row>
    <row r="2564" spans="1:15" ht="90" x14ac:dyDescent="0.25">
      <c r="A2564" s="1" t="s">
        <v>163</v>
      </c>
      <c r="B2564" s="1"/>
      <c r="C2564" s="1" t="s">
        <v>3631</v>
      </c>
      <c r="D2564" s="1">
        <v>128016</v>
      </c>
      <c r="E2564" s="1">
        <v>132</v>
      </c>
      <c r="F2564" s="1" t="s">
        <v>3632</v>
      </c>
      <c r="G2564" s="1" t="s">
        <v>3633</v>
      </c>
      <c r="H2564" s="1" t="s">
        <v>141</v>
      </c>
      <c r="I2564" s="1" t="s">
        <v>65</v>
      </c>
      <c r="J2564" s="1">
        <v>3</v>
      </c>
      <c r="K2564" s="1" t="s">
        <v>142</v>
      </c>
      <c r="L2564" s="1" t="s">
        <v>153</v>
      </c>
      <c r="M2564" s="1" t="s">
        <v>28</v>
      </c>
      <c r="N2564" s="1" t="str">
        <f>HYPERLINK("https://klocwork.india.ti.com:443/review/insight-review.html#issuedetails_goto:problemid=128016,project=MCU_PLUS_SDK_AM263X,searchquery=taxonomy:'C and C++' build:Build_Apr_13_2023_11_11_AM grouping:off ","KW Issue Link")</f>
        <v>KW Issue Link</v>
      </c>
      <c r="O2564" s="1" t="s">
        <v>1083</v>
      </c>
    </row>
    <row r="2565" spans="1:15" ht="75" x14ac:dyDescent="0.25">
      <c r="A2565" s="1" t="s">
        <v>163</v>
      </c>
      <c r="B2565" s="1"/>
      <c r="C2565" s="1" t="s">
        <v>3631</v>
      </c>
      <c r="D2565" s="1">
        <v>128017</v>
      </c>
      <c r="E2565" s="1">
        <v>192</v>
      </c>
      <c r="F2565" s="1" t="s">
        <v>3634</v>
      </c>
      <c r="G2565" s="1" t="s">
        <v>3635</v>
      </c>
      <c r="H2565" s="1" t="s">
        <v>141</v>
      </c>
      <c r="I2565" s="1" t="s">
        <v>65</v>
      </c>
      <c r="J2565" s="1">
        <v>3</v>
      </c>
      <c r="K2565" s="1" t="s">
        <v>142</v>
      </c>
      <c r="L2565" s="1" t="s">
        <v>153</v>
      </c>
      <c r="M2565" s="1" t="s">
        <v>28</v>
      </c>
      <c r="N2565" s="1" t="str">
        <f>HYPERLINK("https://klocwork.india.ti.com:443/review/insight-review.html#issuedetails_goto:problemid=128017,project=MCU_PLUS_SDK_AM263X,searchquery=taxonomy:'C and C++' build:Build_Apr_13_2023_11_11_AM grouping:off ","KW Issue Link")</f>
        <v>KW Issue Link</v>
      </c>
      <c r="O2565" s="1" t="s">
        <v>1083</v>
      </c>
    </row>
    <row r="2566" spans="1:15" ht="75" x14ac:dyDescent="0.25">
      <c r="A2566" s="1" t="s">
        <v>1257</v>
      </c>
      <c r="B2566" s="1"/>
      <c r="C2566" s="1" t="s">
        <v>3631</v>
      </c>
      <c r="D2566" s="1">
        <v>128698</v>
      </c>
      <c r="E2566" s="1">
        <v>432</v>
      </c>
      <c r="F2566" s="1" t="s">
        <v>3636</v>
      </c>
      <c r="G2566" s="1" t="s">
        <v>3637</v>
      </c>
      <c r="H2566" s="1" t="s">
        <v>141</v>
      </c>
      <c r="I2566" s="1" t="s">
        <v>65</v>
      </c>
      <c r="J2566" s="1">
        <v>3</v>
      </c>
      <c r="K2566" s="1" t="s">
        <v>142</v>
      </c>
      <c r="L2566" s="1" t="s">
        <v>153</v>
      </c>
      <c r="M2566" s="1" t="s">
        <v>1256</v>
      </c>
      <c r="N2566" s="1" t="str">
        <f>HYPERLINK("https://klocwork.india.ti.com:443/review/insight-review.html#issuedetails_goto:problemid=128698,project=MCU_PLUS_SDK_AM263X,searchquery=taxonomy:'C and C++' build:Build_Apr_13_2023_11_11_AM grouping:off ","KW Issue Link")</f>
        <v>KW Issue Link</v>
      </c>
      <c r="O2566" s="1" t="s">
        <v>1083</v>
      </c>
    </row>
    <row r="2567" spans="1:15" ht="75" x14ac:dyDescent="0.25">
      <c r="A2567" s="1" t="s">
        <v>1257</v>
      </c>
      <c r="B2567" s="1"/>
      <c r="C2567" s="1" t="s">
        <v>3631</v>
      </c>
      <c r="D2567" s="1">
        <v>128699</v>
      </c>
      <c r="E2567" s="1">
        <v>531</v>
      </c>
      <c r="F2567" s="1" t="s">
        <v>3638</v>
      </c>
      <c r="G2567" s="1" t="s">
        <v>3639</v>
      </c>
      <c r="H2567" s="1" t="s">
        <v>141</v>
      </c>
      <c r="I2567" s="1" t="s">
        <v>65</v>
      </c>
      <c r="J2567" s="1">
        <v>3</v>
      </c>
      <c r="K2567" s="1" t="s">
        <v>142</v>
      </c>
      <c r="L2567" s="1" t="s">
        <v>153</v>
      </c>
      <c r="M2567" s="1" t="s">
        <v>1256</v>
      </c>
      <c r="N2567" s="1" t="str">
        <f>HYPERLINK("https://klocwork.india.ti.com:443/review/insight-review.html#issuedetails_goto:problemid=128699,project=MCU_PLUS_SDK_AM263X,searchquery=taxonomy:'C and C++' build:Build_Apr_13_2023_11_11_AM grouping:off ","KW Issue Link")</f>
        <v>KW Issue Link</v>
      </c>
      <c r="O2567" s="1" t="s">
        <v>1083</v>
      </c>
    </row>
    <row r="2568" spans="1:15" ht="75" x14ac:dyDescent="0.25">
      <c r="A2568" s="1" t="s">
        <v>1257</v>
      </c>
      <c r="B2568" s="1"/>
      <c r="C2568" s="1" t="s">
        <v>3631</v>
      </c>
      <c r="D2568" s="1">
        <v>128700</v>
      </c>
      <c r="E2568" s="1">
        <v>899</v>
      </c>
      <c r="F2568" s="1" t="s">
        <v>3640</v>
      </c>
      <c r="G2568" s="1" t="s">
        <v>3641</v>
      </c>
      <c r="H2568" s="1" t="s">
        <v>141</v>
      </c>
      <c r="I2568" s="1" t="s">
        <v>65</v>
      </c>
      <c r="J2568" s="1">
        <v>3</v>
      </c>
      <c r="K2568" s="1" t="s">
        <v>142</v>
      </c>
      <c r="L2568" s="1" t="s">
        <v>153</v>
      </c>
      <c r="M2568" s="1" t="s">
        <v>1256</v>
      </c>
      <c r="N2568" s="1" t="str">
        <f>HYPERLINK("https://klocwork.india.ti.com:443/review/insight-review.html#issuedetails_goto:problemid=128700,project=MCU_PLUS_SDK_AM263X,searchquery=taxonomy:'C and C++' build:Build_Apr_13_2023_11_11_AM grouping:off ","KW Issue Link")</f>
        <v>KW Issue Link</v>
      </c>
      <c r="O2568" s="1" t="s">
        <v>1083</v>
      </c>
    </row>
    <row r="2569" spans="1:15" ht="75" x14ac:dyDescent="0.25">
      <c r="A2569" s="1" t="s">
        <v>1257</v>
      </c>
      <c r="B2569" s="1"/>
      <c r="C2569" s="1" t="s">
        <v>3631</v>
      </c>
      <c r="D2569" s="1">
        <v>128701</v>
      </c>
      <c r="E2569" s="1">
        <v>1019</v>
      </c>
      <c r="F2569" s="1" t="s">
        <v>3642</v>
      </c>
      <c r="G2569" s="1" t="s">
        <v>3643</v>
      </c>
      <c r="H2569" s="1" t="s">
        <v>141</v>
      </c>
      <c r="I2569" s="1" t="s">
        <v>65</v>
      </c>
      <c r="J2569" s="1">
        <v>3</v>
      </c>
      <c r="K2569" s="1" t="s">
        <v>142</v>
      </c>
      <c r="L2569" s="1" t="s">
        <v>153</v>
      </c>
      <c r="M2569" s="1" t="s">
        <v>1256</v>
      </c>
      <c r="N2569" s="1" t="str">
        <f>HYPERLINK("https://klocwork.india.ti.com:443/review/insight-review.html#issuedetails_goto:problemid=128701,project=MCU_PLUS_SDK_AM263X,searchquery=taxonomy:'C and C++' build:Build_Apr_13_2023_11_11_AM grouping:off ","KW Issue Link")</f>
        <v>KW Issue Link</v>
      </c>
      <c r="O2569" s="1" t="s">
        <v>1083</v>
      </c>
    </row>
    <row r="2570" spans="1:15" ht="75" x14ac:dyDescent="0.25">
      <c r="A2570" s="1" t="s">
        <v>1257</v>
      </c>
      <c r="B2570" s="1"/>
      <c r="C2570" s="1" t="s">
        <v>3631</v>
      </c>
      <c r="D2570" s="1">
        <v>128702</v>
      </c>
      <c r="E2570" s="1">
        <v>1050</v>
      </c>
      <c r="F2570" s="1" t="s">
        <v>3644</v>
      </c>
      <c r="G2570" s="1" t="s">
        <v>3645</v>
      </c>
      <c r="H2570" s="1" t="s">
        <v>141</v>
      </c>
      <c r="I2570" s="1" t="s">
        <v>65</v>
      </c>
      <c r="J2570" s="1">
        <v>3</v>
      </c>
      <c r="K2570" s="1" t="s">
        <v>142</v>
      </c>
      <c r="L2570" s="1" t="s">
        <v>153</v>
      </c>
      <c r="M2570" s="1" t="s">
        <v>1256</v>
      </c>
      <c r="N2570" s="1" t="str">
        <f>HYPERLINK("https://klocwork.india.ti.com:443/review/insight-review.html#issuedetails_goto:problemid=128702,project=MCU_PLUS_SDK_AM263X,searchquery=taxonomy:'C and C++' build:Build_Apr_13_2023_11_11_AM grouping:off ","KW Issue Link")</f>
        <v>KW Issue Link</v>
      </c>
      <c r="O2570" s="1" t="s">
        <v>1083</v>
      </c>
    </row>
    <row r="2571" spans="1:15" ht="75" x14ac:dyDescent="0.25">
      <c r="A2571" s="1" t="s">
        <v>1257</v>
      </c>
      <c r="B2571" s="1"/>
      <c r="C2571" s="1" t="s">
        <v>3631</v>
      </c>
      <c r="D2571" s="1">
        <v>128703</v>
      </c>
      <c r="E2571" s="1">
        <v>1334</v>
      </c>
      <c r="F2571" s="1" t="s">
        <v>3646</v>
      </c>
      <c r="G2571" s="1" t="s">
        <v>3647</v>
      </c>
      <c r="H2571" s="1" t="s">
        <v>141</v>
      </c>
      <c r="I2571" s="1" t="s">
        <v>65</v>
      </c>
      <c r="J2571" s="1">
        <v>3</v>
      </c>
      <c r="K2571" s="1" t="s">
        <v>142</v>
      </c>
      <c r="L2571" s="1" t="s">
        <v>153</v>
      </c>
      <c r="M2571" s="1" t="s">
        <v>1256</v>
      </c>
      <c r="N2571" s="1" t="str">
        <f>HYPERLINK("https://klocwork.india.ti.com:443/review/insight-review.html#issuedetails_goto:problemid=128703,project=MCU_PLUS_SDK_AM263X,searchquery=taxonomy:'C and C++' build:Build_Apr_13_2023_11_11_AM grouping:off ","KW Issue Link")</f>
        <v>KW Issue Link</v>
      </c>
      <c r="O2571" s="1" t="s">
        <v>1083</v>
      </c>
    </row>
    <row r="2572" spans="1:15" ht="75" x14ac:dyDescent="0.25">
      <c r="A2572" s="1" t="s">
        <v>1257</v>
      </c>
      <c r="B2572" s="1"/>
      <c r="C2572" s="1" t="s">
        <v>3631</v>
      </c>
      <c r="D2572" s="1">
        <v>128704</v>
      </c>
      <c r="E2572" s="1">
        <v>1619</v>
      </c>
      <c r="F2572" s="1" t="s">
        <v>3648</v>
      </c>
      <c r="G2572" s="1" t="s">
        <v>3649</v>
      </c>
      <c r="H2572" s="1" t="s">
        <v>141</v>
      </c>
      <c r="I2572" s="1" t="s">
        <v>65</v>
      </c>
      <c r="J2572" s="1">
        <v>3</v>
      </c>
      <c r="K2572" s="1" t="s">
        <v>142</v>
      </c>
      <c r="L2572" s="1" t="s">
        <v>153</v>
      </c>
      <c r="M2572" s="1" t="s">
        <v>1256</v>
      </c>
      <c r="N2572" s="1" t="str">
        <f>HYPERLINK("https://klocwork.india.ti.com:443/review/insight-review.html#issuedetails_goto:problemid=128704,project=MCU_PLUS_SDK_AM263X,searchquery=taxonomy:'C and C++' build:Build_Apr_13_2023_11_11_AM grouping:off ","KW Issue Link")</f>
        <v>KW Issue Link</v>
      </c>
      <c r="O2572" s="1" t="s">
        <v>1083</v>
      </c>
    </row>
    <row r="2573" spans="1:15" ht="75" x14ac:dyDescent="0.25">
      <c r="A2573" s="1" t="s">
        <v>1257</v>
      </c>
      <c r="B2573" s="1"/>
      <c r="C2573" s="1" t="s">
        <v>3631</v>
      </c>
      <c r="D2573" s="1">
        <v>128705</v>
      </c>
      <c r="E2573" s="1">
        <v>1827</v>
      </c>
      <c r="F2573" s="1" t="s">
        <v>3650</v>
      </c>
      <c r="G2573" s="1" t="s">
        <v>3651</v>
      </c>
      <c r="H2573" s="1" t="s">
        <v>141</v>
      </c>
      <c r="I2573" s="1" t="s">
        <v>65</v>
      </c>
      <c r="J2573" s="1">
        <v>3</v>
      </c>
      <c r="K2573" s="1" t="s">
        <v>142</v>
      </c>
      <c r="L2573" s="1" t="s">
        <v>153</v>
      </c>
      <c r="M2573" s="1" t="s">
        <v>1256</v>
      </c>
      <c r="N2573" s="1" t="str">
        <f>HYPERLINK("https://klocwork.india.ti.com:443/review/insight-review.html#issuedetails_goto:problemid=128705,project=MCU_PLUS_SDK_AM263X,searchquery=taxonomy:'C and C++' build:Build_Apr_13_2023_11_11_AM grouping:off ","KW Issue Link")</f>
        <v>KW Issue Link</v>
      </c>
      <c r="O2573" s="1" t="s">
        <v>1083</v>
      </c>
    </row>
    <row r="2574" spans="1:15" ht="75" x14ac:dyDescent="0.25">
      <c r="A2574" s="1" t="s">
        <v>1257</v>
      </c>
      <c r="B2574" s="1"/>
      <c r="C2574" s="1" t="s">
        <v>3631</v>
      </c>
      <c r="D2574" s="1">
        <v>128706</v>
      </c>
      <c r="E2574" s="1">
        <v>1904</v>
      </c>
      <c r="F2574" s="1" t="s">
        <v>3652</v>
      </c>
      <c r="G2574" s="1" t="s">
        <v>3653</v>
      </c>
      <c r="H2574" s="1" t="s">
        <v>141</v>
      </c>
      <c r="I2574" s="1" t="s">
        <v>65</v>
      </c>
      <c r="J2574" s="1">
        <v>3</v>
      </c>
      <c r="K2574" s="1" t="s">
        <v>142</v>
      </c>
      <c r="L2574" s="1" t="s">
        <v>153</v>
      </c>
      <c r="M2574" s="1" t="s">
        <v>1256</v>
      </c>
      <c r="N2574" s="1" t="str">
        <f>HYPERLINK("https://klocwork.india.ti.com:443/review/insight-review.html#issuedetails_goto:problemid=128706,project=MCU_PLUS_SDK_AM263X,searchquery=taxonomy:'C and C++' build:Build_Apr_13_2023_11_11_AM grouping:off ","KW Issue Link")</f>
        <v>KW Issue Link</v>
      </c>
      <c r="O2574" s="1" t="s">
        <v>1083</v>
      </c>
    </row>
    <row r="2575" spans="1:15" ht="75" x14ac:dyDescent="0.25">
      <c r="A2575" s="1" t="s">
        <v>1257</v>
      </c>
      <c r="B2575" s="1"/>
      <c r="C2575" s="1" t="s">
        <v>3631</v>
      </c>
      <c r="D2575" s="1">
        <v>128707</v>
      </c>
      <c r="E2575" s="1">
        <v>2059</v>
      </c>
      <c r="F2575" s="1" t="s">
        <v>3654</v>
      </c>
      <c r="G2575" s="1" t="s">
        <v>3655</v>
      </c>
      <c r="H2575" s="1" t="s">
        <v>141</v>
      </c>
      <c r="I2575" s="1" t="s">
        <v>65</v>
      </c>
      <c r="J2575" s="1">
        <v>3</v>
      </c>
      <c r="K2575" s="1" t="s">
        <v>142</v>
      </c>
      <c r="L2575" s="1" t="s">
        <v>153</v>
      </c>
      <c r="M2575" s="1" t="s">
        <v>1256</v>
      </c>
      <c r="N2575" s="1" t="str">
        <f>HYPERLINK("https://klocwork.india.ti.com:443/review/insight-review.html#issuedetails_goto:problemid=128707,project=MCU_PLUS_SDK_AM263X,searchquery=taxonomy:'C and C++' build:Build_Apr_13_2023_11_11_AM grouping:off ","KW Issue Link")</f>
        <v>KW Issue Link</v>
      </c>
      <c r="O2575" s="1" t="s">
        <v>1083</v>
      </c>
    </row>
    <row r="2576" spans="1:15" ht="75" x14ac:dyDescent="0.25">
      <c r="A2576" s="1" t="s">
        <v>1257</v>
      </c>
      <c r="B2576" s="1"/>
      <c r="C2576" s="1" t="s">
        <v>3631</v>
      </c>
      <c r="D2576" s="1">
        <v>128708</v>
      </c>
      <c r="E2576" s="1">
        <v>2199</v>
      </c>
      <c r="F2576" s="1" t="s">
        <v>3656</v>
      </c>
      <c r="G2576" s="1" t="s">
        <v>3657</v>
      </c>
      <c r="H2576" s="1" t="s">
        <v>141</v>
      </c>
      <c r="I2576" s="1" t="s">
        <v>65</v>
      </c>
      <c r="J2576" s="1">
        <v>3</v>
      </c>
      <c r="K2576" s="1" t="s">
        <v>142</v>
      </c>
      <c r="L2576" s="1" t="s">
        <v>153</v>
      </c>
      <c r="M2576" s="1" t="s">
        <v>1256</v>
      </c>
      <c r="N2576" s="1" t="str">
        <f>HYPERLINK("https://klocwork.india.ti.com:443/review/insight-review.html#issuedetails_goto:problemid=128708,project=MCU_PLUS_SDK_AM263X,searchquery=taxonomy:'C and C++' build:Build_Apr_13_2023_11_11_AM grouping:off ","KW Issue Link")</f>
        <v>KW Issue Link</v>
      </c>
      <c r="O2576" s="1" t="s">
        <v>1083</v>
      </c>
    </row>
    <row r="2577" spans="1:15" ht="75" x14ac:dyDescent="0.25">
      <c r="A2577" s="1" t="s">
        <v>1266</v>
      </c>
      <c r="B2577" s="1"/>
      <c r="C2577" s="1" t="s">
        <v>3631</v>
      </c>
      <c r="D2577" s="1">
        <v>128709</v>
      </c>
      <c r="E2577" s="1">
        <v>432</v>
      </c>
      <c r="F2577" s="1" t="s">
        <v>3658</v>
      </c>
      <c r="G2577" s="1" t="s">
        <v>3637</v>
      </c>
      <c r="H2577" s="1" t="s">
        <v>141</v>
      </c>
      <c r="I2577" s="1" t="s">
        <v>65</v>
      </c>
      <c r="J2577" s="1">
        <v>3</v>
      </c>
      <c r="K2577" s="1" t="s">
        <v>142</v>
      </c>
      <c r="L2577" s="1" t="s">
        <v>153</v>
      </c>
      <c r="M2577" s="1" t="s">
        <v>1256</v>
      </c>
      <c r="N2577" s="1" t="str">
        <f>HYPERLINK("https://klocwork.india.ti.com:443/review/insight-review.html#issuedetails_goto:problemid=128709,project=MCU_PLUS_SDK_AM263X,searchquery=taxonomy:'C and C++' build:Build_Apr_13_2023_11_11_AM grouping:off ","KW Issue Link")</f>
        <v>KW Issue Link</v>
      </c>
      <c r="O2577" s="1" t="s">
        <v>1083</v>
      </c>
    </row>
    <row r="2578" spans="1:15" ht="75" x14ac:dyDescent="0.25">
      <c r="A2578" s="1" t="s">
        <v>1266</v>
      </c>
      <c r="B2578" s="1"/>
      <c r="C2578" s="1" t="s">
        <v>3631</v>
      </c>
      <c r="D2578" s="1">
        <v>128710</v>
      </c>
      <c r="E2578" s="1">
        <v>531</v>
      </c>
      <c r="F2578" s="1" t="s">
        <v>3659</v>
      </c>
      <c r="G2578" s="1" t="s">
        <v>3639</v>
      </c>
      <c r="H2578" s="1" t="s">
        <v>141</v>
      </c>
      <c r="I2578" s="1" t="s">
        <v>65</v>
      </c>
      <c r="J2578" s="1">
        <v>3</v>
      </c>
      <c r="K2578" s="1" t="s">
        <v>142</v>
      </c>
      <c r="L2578" s="1" t="s">
        <v>153</v>
      </c>
      <c r="M2578" s="1" t="s">
        <v>1256</v>
      </c>
      <c r="N2578" s="1" t="str">
        <f>HYPERLINK("https://klocwork.india.ti.com:443/review/insight-review.html#issuedetails_goto:problemid=128710,project=MCU_PLUS_SDK_AM263X,searchquery=taxonomy:'C and C++' build:Build_Apr_13_2023_11_11_AM grouping:off ","KW Issue Link")</f>
        <v>KW Issue Link</v>
      </c>
      <c r="O2578" s="1" t="s">
        <v>1083</v>
      </c>
    </row>
    <row r="2579" spans="1:15" ht="75" x14ac:dyDescent="0.25">
      <c r="A2579" s="1" t="s">
        <v>1266</v>
      </c>
      <c r="B2579" s="1"/>
      <c r="C2579" s="1" t="s">
        <v>3631</v>
      </c>
      <c r="D2579" s="1">
        <v>128711</v>
      </c>
      <c r="E2579" s="1">
        <v>820</v>
      </c>
      <c r="F2579" s="1" t="s">
        <v>3660</v>
      </c>
      <c r="G2579" s="1" t="s">
        <v>3661</v>
      </c>
      <c r="H2579" s="1" t="s">
        <v>141</v>
      </c>
      <c r="I2579" s="1" t="s">
        <v>65</v>
      </c>
      <c r="J2579" s="1">
        <v>3</v>
      </c>
      <c r="K2579" s="1" t="s">
        <v>142</v>
      </c>
      <c r="L2579" s="1" t="s">
        <v>153</v>
      </c>
      <c r="M2579" s="1" t="s">
        <v>1256</v>
      </c>
      <c r="N2579" s="1" t="str">
        <f>HYPERLINK("https://klocwork.india.ti.com:443/review/insight-review.html#issuedetails_goto:problemid=128711,project=MCU_PLUS_SDK_AM263X,searchquery=taxonomy:'C and C++' build:Build_Apr_13_2023_11_11_AM grouping:off ","KW Issue Link")</f>
        <v>KW Issue Link</v>
      </c>
      <c r="O2579" s="1" t="s">
        <v>1083</v>
      </c>
    </row>
    <row r="2580" spans="1:15" ht="75" x14ac:dyDescent="0.25">
      <c r="A2580" s="1" t="s">
        <v>1266</v>
      </c>
      <c r="B2580" s="1"/>
      <c r="C2580" s="1" t="s">
        <v>3631</v>
      </c>
      <c r="D2580" s="1">
        <v>128712</v>
      </c>
      <c r="E2580" s="1">
        <v>850</v>
      </c>
      <c r="F2580" s="1" t="s">
        <v>3662</v>
      </c>
      <c r="G2580" s="1" t="s">
        <v>3663</v>
      </c>
      <c r="H2580" s="1" t="s">
        <v>141</v>
      </c>
      <c r="I2580" s="1" t="s">
        <v>65</v>
      </c>
      <c r="J2580" s="1">
        <v>3</v>
      </c>
      <c r="K2580" s="1" t="s">
        <v>142</v>
      </c>
      <c r="L2580" s="1" t="s">
        <v>153</v>
      </c>
      <c r="M2580" s="1" t="s">
        <v>1256</v>
      </c>
      <c r="N2580" s="1" t="str">
        <f>HYPERLINK("https://klocwork.india.ti.com:443/review/insight-review.html#issuedetails_goto:problemid=128712,project=MCU_PLUS_SDK_AM263X,searchquery=taxonomy:'C and C++' build:Build_Apr_13_2023_11_11_AM grouping:off ","KW Issue Link")</f>
        <v>KW Issue Link</v>
      </c>
      <c r="O2580" s="1" t="s">
        <v>1083</v>
      </c>
    </row>
    <row r="2581" spans="1:15" ht="75" x14ac:dyDescent="0.25">
      <c r="A2581" s="1" t="s">
        <v>1266</v>
      </c>
      <c r="B2581" s="1"/>
      <c r="C2581" s="1" t="s">
        <v>3631</v>
      </c>
      <c r="D2581" s="1">
        <v>128713</v>
      </c>
      <c r="E2581" s="1">
        <v>899</v>
      </c>
      <c r="F2581" s="1" t="s">
        <v>3664</v>
      </c>
      <c r="G2581" s="1" t="s">
        <v>3641</v>
      </c>
      <c r="H2581" s="1" t="s">
        <v>141</v>
      </c>
      <c r="I2581" s="1" t="s">
        <v>65</v>
      </c>
      <c r="J2581" s="1">
        <v>3</v>
      </c>
      <c r="K2581" s="1" t="s">
        <v>142</v>
      </c>
      <c r="L2581" s="1" t="s">
        <v>153</v>
      </c>
      <c r="M2581" s="1" t="s">
        <v>1256</v>
      </c>
      <c r="N2581" s="1" t="str">
        <f>HYPERLINK("https://klocwork.india.ti.com:443/review/insight-review.html#issuedetails_goto:problemid=128713,project=MCU_PLUS_SDK_AM263X,searchquery=taxonomy:'C and C++' build:Build_Apr_13_2023_11_11_AM grouping:off ","KW Issue Link")</f>
        <v>KW Issue Link</v>
      </c>
      <c r="O2581" s="1" t="s">
        <v>1083</v>
      </c>
    </row>
    <row r="2582" spans="1:15" ht="75" x14ac:dyDescent="0.25">
      <c r="A2582" s="1" t="s">
        <v>1266</v>
      </c>
      <c r="B2582" s="1"/>
      <c r="C2582" s="1" t="s">
        <v>3631</v>
      </c>
      <c r="D2582" s="1">
        <v>128714</v>
      </c>
      <c r="E2582" s="1">
        <v>1185</v>
      </c>
      <c r="F2582" s="1" t="s">
        <v>3665</v>
      </c>
      <c r="G2582" s="1" t="s">
        <v>3666</v>
      </c>
      <c r="H2582" s="1" t="s">
        <v>141</v>
      </c>
      <c r="I2582" s="1" t="s">
        <v>65</v>
      </c>
      <c r="J2582" s="1">
        <v>3</v>
      </c>
      <c r="K2582" s="1" t="s">
        <v>142</v>
      </c>
      <c r="L2582" s="1" t="s">
        <v>153</v>
      </c>
      <c r="M2582" s="1" t="s">
        <v>1256</v>
      </c>
      <c r="N2582" s="1" t="str">
        <f>HYPERLINK("https://klocwork.india.ti.com:443/review/insight-review.html#issuedetails_goto:problemid=128714,project=MCU_PLUS_SDK_AM263X,searchquery=taxonomy:'C and C++' build:Build_Apr_13_2023_11_11_AM grouping:off ","KW Issue Link")</f>
        <v>KW Issue Link</v>
      </c>
      <c r="O2582" s="1" t="s">
        <v>1083</v>
      </c>
    </row>
    <row r="2583" spans="1:15" ht="75" x14ac:dyDescent="0.25">
      <c r="A2583" s="1" t="s">
        <v>1266</v>
      </c>
      <c r="B2583" s="1"/>
      <c r="C2583" s="1" t="s">
        <v>3631</v>
      </c>
      <c r="D2583" s="1">
        <v>128715</v>
      </c>
      <c r="E2583" s="1">
        <v>1334</v>
      </c>
      <c r="F2583" s="1" t="s">
        <v>3667</v>
      </c>
      <c r="G2583" s="1" t="s">
        <v>3647</v>
      </c>
      <c r="H2583" s="1" t="s">
        <v>141</v>
      </c>
      <c r="I2583" s="1" t="s">
        <v>65</v>
      </c>
      <c r="J2583" s="1">
        <v>3</v>
      </c>
      <c r="K2583" s="1" t="s">
        <v>142</v>
      </c>
      <c r="L2583" s="1" t="s">
        <v>153</v>
      </c>
      <c r="M2583" s="1" t="s">
        <v>1256</v>
      </c>
      <c r="N2583" s="1" t="str">
        <f>HYPERLINK("https://klocwork.india.ti.com:443/review/insight-review.html#issuedetails_goto:problemid=128715,project=MCU_PLUS_SDK_AM263X,searchquery=taxonomy:'C and C++' build:Build_Apr_13_2023_11_11_AM grouping:off ","KW Issue Link")</f>
        <v>KW Issue Link</v>
      </c>
      <c r="O2583" s="1" t="s">
        <v>1083</v>
      </c>
    </row>
    <row r="2584" spans="1:15" ht="75" x14ac:dyDescent="0.25">
      <c r="A2584" s="1" t="s">
        <v>1266</v>
      </c>
      <c r="B2584" s="1"/>
      <c r="C2584" s="1" t="s">
        <v>3631</v>
      </c>
      <c r="D2584" s="1">
        <v>128716</v>
      </c>
      <c r="E2584" s="1">
        <v>1619</v>
      </c>
      <c r="F2584" s="1" t="s">
        <v>3668</v>
      </c>
      <c r="G2584" s="1" t="s">
        <v>3649</v>
      </c>
      <c r="H2584" s="1" t="s">
        <v>141</v>
      </c>
      <c r="I2584" s="1" t="s">
        <v>65</v>
      </c>
      <c r="J2584" s="1">
        <v>3</v>
      </c>
      <c r="K2584" s="1" t="s">
        <v>142</v>
      </c>
      <c r="L2584" s="1" t="s">
        <v>153</v>
      </c>
      <c r="M2584" s="1" t="s">
        <v>1256</v>
      </c>
      <c r="N2584" s="1" t="str">
        <f>HYPERLINK("https://klocwork.india.ti.com:443/review/insight-review.html#issuedetails_goto:problemid=128716,project=MCU_PLUS_SDK_AM263X,searchquery=taxonomy:'C and C++' build:Build_Apr_13_2023_11_11_AM grouping:off ","KW Issue Link")</f>
        <v>KW Issue Link</v>
      </c>
      <c r="O2584" s="1" t="s">
        <v>1083</v>
      </c>
    </row>
    <row r="2585" spans="1:15" ht="75" x14ac:dyDescent="0.25">
      <c r="A2585" s="1" t="s">
        <v>1266</v>
      </c>
      <c r="B2585" s="1"/>
      <c r="C2585" s="1" t="s">
        <v>3631</v>
      </c>
      <c r="D2585" s="1">
        <v>128717</v>
      </c>
      <c r="E2585" s="1">
        <v>1827</v>
      </c>
      <c r="F2585" s="1" t="s">
        <v>3669</v>
      </c>
      <c r="G2585" s="1" t="s">
        <v>3651</v>
      </c>
      <c r="H2585" s="1" t="s">
        <v>141</v>
      </c>
      <c r="I2585" s="1" t="s">
        <v>65</v>
      </c>
      <c r="J2585" s="1">
        <v>3</v>
      </c>
      <c r="K2585" s="1" t="s">
        <v>142</v>
      </c>
      <c r="L2585" s="1" t="s">
        <v>153</v>
      </c>
      <c r="M2585" s="1" t="s">
        <v>1256</v>
      </c>
      <c r="N2585" s="1" t="str">
        <f>HYPERLINK("https://klocwork.india.ti.com:443/review/insight-review.html#issuedetails_goto:problemid=128717,project=MCU_PLUS_SDK_AM263X,searchquery=taxonomy:'C and C++' build:Build_Apr_13_2023_11_11_AM grouping:off ","KW Issue Link")</f>
        <v>KW Issue Link</v>
      </c>
      <c r="O2585" s="1" t="s">
        <v>1083</v>
      </c>
    </row>
    <row r="2586" spans="1:15" ht="75" x14ac:dyDescent="0.25">
      <c r="A2586" s="1" t="s">
        <v>1266</v>
      </c>
      <c r="B2586" s="1"/>
      <c r="C2586" s="1" t="s">
        <v>3631</v>
      </c>
      <c r="D2586" s="1">
        <v>128718</v>
      </c>
      <c r="E2586" s="1">
        <v>1904</v>
      </c>
      <c r="F2586" s="1" t="s">
        <v>3670</v>
      </c>
      <c r="G2586" s="1" t="s">
        <v>3653</v>
      </c>
      <c r="H2586" s="1" t="s">
        <v>141</v>
      </c>
      <c r="I2586" s="1" t="s">
        <v>65</v>
      </c>
      <c r="J2586" s="1">
        <v>3</v>
      </c>
      <c r="K2586" s="1" t="s">
        <v>142</v>
      </c>
      <c r="L2586" s="1" t="s">
        <v>153</v>
      </c>
      <c r="M2586" s="1" t="s">
        <v>1256</v>
      </c>
      <c r="N2586" s="1" t="str">
        <f>HYPERLINK("https://klocwork.india.ti.com:443/review/insight-review.html#issuedetails_goto:problemid=128718,project=MCU_PLUS_SDK_AM263X,searchquery=taxonomy:'C and C++' build:Build_Apr_13_2023_11_11_AM grouping:off ","KW Issue Link")</f>
        <v>KW Issue Link</v>
      </c>
      <c r="O2586" s="1" t="s">
        <v>1083</v>
      </c>
    </row>
    <row r="2587" spans="1:15" ht="75" x14ac:dyDescent="0.25">
      <c r="A2587" s="1" t="s">
        <v>1266</v>
      </c>
      <c r="B2587" s="1"/>
      <c r="C2587" s="1" t="s">
        <v>3631</v>
      </c>
      <c r="D2587" s="1">
        <v>128719</v>
      </c>
      <c r="E2587" s="1">
        <v>2059</v>
      </c>
      <c r="F2587" s="1" t="s">
        <v>3671</v>
      </c>
      <c r="G2587" s="1" t="s">
        <v>3655</v>
      </c>
      <c r="H2587" s="1" t="s">
        <v>141</v>
      </c>
      <c r="I2587" s="1" t="s">
        <v>65</v>
      </c>
      <c r="J2587" s="1">
        <v>3</v>
      </c>
      <c r="K2587" s="1" t="s">
        <v>142</v>
      </c>
      <c r="L2587" s="1" t="s">
        <v>153</v>
      </c>
      <c r="M2587" s="1" t="s">
        <v>1256</v>
      </c>
      <c r="N2587" s="1" t="str">
        <f>HYPERLINK("https://klocwork.india.ti.com:443/review/insight-review.html#issuedetails_goto:problemid=128719,project=MCU_PLUS_SDK_AM263X,searchquery=taxonomy:'C and C++' build:Build_Apr_13_2023_11_11_AM grouping:off ","KW Issue Link")</f>
        <v>KW Issue Link</v>
      </c>
      <c r="O2587" s="1" t="s">
        <v>1083</v>
      </c>
    </row>
    <row r="2588" spans="1:15" ht="75" x14ac:dyDescent="0.25">
      <c r="A2588" s="1" t="s">
        <v>1266</v>
      </c>
      <c r="B2588" s="1"/>
      <c r="C2588" s="1" t="s">
        <v>3631</v>
      </c>
      <c r="D2588" s="1">
        <v>128720</v>
      </c>
      <c r="E2588" s="1">
        <v>2199</v>
      </c>
      <c r="F2588" s="1" t="s">
        <v>3672</v>
      </c>
      <c r="G2588" s="1" t="s">
        <v>3657</v>
      </c>
      <c r="H2588" s="1" t="s">
        <v>141</v>
      </c>
      <c r="I2588" s="1" t="s">
        <v>65</v>
      </c>
      <c r="J2588" s="1">
        <v>3</v>
      </c>
      <c r="K2588" s="1" t="s">
        <v>142</v>
      </c>
      <c r="L2588" s="1" t="s">
        <v>153</v>
      </c>
      <c r="M2588" s="1" t="s">
        <v>1256</v>
      </c>
      <c r="N2588" s="1" t="str">
        <f>HYPERLINK("https://klocwork.india.ti.com:443/review/insight-review.html#issuedetails_goto:problemid=128720,project=MCU_PLUS_SDK_AM263X,searchquery=taxonomy:'C and C++' build:Build_Apr_13_2023_11_11_AM grouping:off ","KW Issue Link")</f>
        <v>KW Issue Link</v>
      </c>
      <c r="O2588" s="1" t="s">
        <v>1083</v>
      </c>
    </row>
    <row r="2589" spans="1:15" ht="75" x14ac:dyDescent="0.25">
      <c r="A2589" s="1" t="s">
        <v>1268</v>
      </c>
      <c r="B2589" s="1"/>
      <c r="C2589" s="1" t="s">
        <v>3631</v>
      </c>
      <c r="D2589" s="1">
        <v>128722</v>
      </c>
      <c r="E2589" s="1">
        <v>432</v>
      </c>
      <c r="F2589" s="1" t="s">
        <v>3673</v>
      </c>
      <c r="G2589" s="1" t="s">
        <v>3637</v>
      </c>
      <c r="H2589" s="1" t="s">
        <v>141</v>
      </c>
      <c r="I2589" s="1" t="s">
        <v>65</v>
      </c>
      <c r="J2589" s="1">
        <v>3</v>
      </c>
      <c r="K2589" s="1" t="s">
        <v>142</v>
      </c>
      <c r="L2589" s="1" t="s">
        <v>153</v>
      </c>
      <c r="M2589" s="1" t="s">
        <v>1256</v>
      </c>
      <c r="N2589" s="1" t="str">
        <f>HYPERLINK("https://klocwork.india.ti.com:443/review/insight-review.html#issuedetails_goto:problemid=128722,project=MCU_PLUS_SDK_AM263X,searchquery=taxonomy:'C and C++' build:Build_Apr_13_2023_11_11_AM grouping:off ","KW Issue Link")</f>
        <v>KW Issue Link</v>
      </c>
      <c r="O2589" s="1" t="s">
        <v>1083</v>
      </c>
    </row>
    <row r="2590" spans="1:15" ht="75" x14ac:dyDescent="0.25">
      <c r="A2590" s="1" t="s">
        <v>1268</v>
      </c>
      <c r="B2590" s="1"/>
      <c r="C2590" s="1" t="s">
        <v>3631</v>
      </c>
      <c r="D2590" s="1">
        <v>128723</v>
      </c>
      <c r="E2590" s="1">
        <v>531</v>
      </c>
      <c r="F2590" s="1" t="s">
        <v>3674</v>
      </c>
      <c r="G2590" s="1" t="s">
        <v>3639</v>
      </c>
      <c r="H2590" s="1" t="s">
        <v>141</v>
      </c>
      <c r="I2590" s="1" t="s">
        <v>65</v>
      </c>
      <c r="J2590" s="1">
        <v>3</v>
      </c>
      <c r="K2590" s="1" t="s">
        <v>142</v>
      </c>
      <c r="L2590" s="1" t="s">
        <v>153</v>
      </c>
      <c r="M2590" s="1" t="s">
        <v>1256</v>
      </c>
      <c r="N2590" s="1" t="str">
        <f>HYPERLINK("https://klocwork.india.ti.com:443/review/insight-review.html#issuedetails_goto:problemid=128723,project=MCU_PLUS_SDK_AM263X,searchquery=taxonomy:'C and C++' build:Build_Apr_13_2023_11_11_AM grouping:off ","KW Issue Link")</f>
        <v>KW Issue Link</v>
      </c>
      <c r="O2590" s="1" t="s">
        <v>1083</v>
      </c>
    </row>
    <row r="2591" spans="1:15" ht="75" x14ac:dyDescent="0.25">
      <c r="A2591" s="1" t="s">
        <v>1268</v>
      </c>
      <c r="B2591" s="1"/>
      <c r="C2591" s="1" t="s">
        <v>3631</v>
      </c>
      <c r="D2591" s="1">
        <v>128724</v>
      </c>
      <c r="E2591" s="1">
        <v>850</v>
      </c>
      <c r="F2591" s="1" t="s">
        <v>3675</v>
      </c>
      <c r="G2591" s="1" t="s">
        <v>3663</v>
      </c>
      <c r="H2591" s="1" t="s">
        <v>141</v>
      </c>
      <c r="I2591" s="1" t="s">
        <v>65</v>
      </c>
      <c r="J2591" s="1">
        <v>3</v>
      </c>
      <c r="K2591" s="1" t="s">
        <v>142</v>
      </c>
      <c r="L2591" s="1" t="s">
        <v>153</v>
      </c>
      <c r="M2591" s="1" t="s">
        <v>1256</v>
      </c>
      <c r="N2591" s="1" t="str">
        <f>HYPERLINK("https://klocwork.india.ti.com:443/review/insight-review.html#issuedetails_goto:problemid=128724,project=MCU_PLUS_SDK_AM263X,searchquery=taxonomy:'C and C++' build:Build_Apr_13_2023_11_11_AM grouping:off ","KW Issue Link")</f>
        <v>KW Issue Link</v>
      </c>
      <c r="O2591" s="1" t="s">
        <v>1083</v>
      </c>
    </row>
    <row r="2592" spans="1:15" ht="75" x14ac:dyDescent="0.25">
      <c r="A2592" s="1" t="s">
        <v>1268</v>
      </c>
      <c r="B2592" s="1"/>
      <c r="C2592" s="1" t="s">
        <v>3631</v>
      </c>
      <c r="D2592" s="1">
        <v>128725</v>
      </c>
      <c r="E2592" s="1">
        <v>899</v>
      </c>
      <c r="F2592" s="1" t="s">
        <v>3676</v>
      </c>
      <c r="G2592" s="1" t="s">
        <v>3641</v>
      </c>
      <c r="H2592" s="1" t="s">
        <v>141</v>
      </c>
      <c r="I2592" s="1" t="s">
        <v>65</v>
      </c>
      <c r="J2592" s="1">
        <v>3</v>
      </c>
      <c r="K2592" s="1" t="s">
        <v>142</v>
      </c>
      <c r="L2592" s="1" t="s">
        <v>153</v>
      </c>
      <c r="M2592" s="1" t="s">
        <v>1256</v>
      </c>
      <c r="N2592" s="1" t="str">
        <f>HYPERLINK("https://klocwork.india.ti.com:443/review/insight-review.html#issuedetails_goto:problemid=128725,project=MCU_PLUS_SDK_AM263X,searchquery=taxonomy:'C and C++' build:Build_Apr_13_2023_11_11_AM grouping:off ","KW Issue Link")</f>
        <v>KW Issue Link</v>
      </c>
      <c r="O2592" s="1" t="s">
        <v>1083</v>
      </c>
    </row>
    <row r="2593" spans="1:15" ht="75" x14ac:dyDescent="0.25">
      <c r="A2593" s="1" t="s">
        <v>1268</v>
      </c>
      <c r="B2593" s="1"/>
      <c r="C2593" s="1" t="s">
        <v>3631</v>
      </c>
      <c r="D2593" s="1">
        <v>128726</v>
      </c>
      <c r="E2593" s="1">
        <v>1185</v>
      </c>
      <c r="F2593" s="1" t="s">
        <v>3677</v>
      </c>
      <c r="G2593" s="1" t="s">
        <v>3666</v>
      </c>
      <c r="H2593" s="1" t="s">
        <v>141</v>
      </c>
      <c r="I2593" s="1" t="s">
        <v>65</v>
      </c>
      <c r="J2593" s="1">
        <v>3</v>
      </c>
      <c r="K2593" s="1" t="s">
        <v>142</v>
      </c>
      <c r="L2593" s="1" t="s">
        <v>153</v>
      </c>
      <c r="M2593" s="1" t="s">
        <v>1256</v>
      </c>
      <c r="N2593" s="1" t="str">
        <f>HYPERLINK("https://klocwork.india.ti.com:443/review/insight-review.html#issuedetails_goto:problemid=128726,project=MCU_PLUS_SDK_AM263X,searchquery=taxonomy:'C and C++' build:Build_Apr_13_2023_11_11_AM grouping:off ","KW Issue Link")</f>
        <v>KW Issue Link</v>
      </c>
      <c r="O2593" s="1" t="s">
        <v>1083</v>
      </c>
    </row>
    <row r="2594" spans="1:15" ht="75" x14ac:dyDescent="0.25">
      <c r="A2594" s="1" t="s">
        <v>1268</v>
      </c>
      <c r="B2594" s="1"/>
      <c r="C2594" s="1" t="s">
        <v>3631</v>
      </c>
      <c r="D2594" s="1">
        <v>128727</v>
      </c>
      <c r="E2594" s="1">
        <v>1334</v>
      </c>
      <c r="F2594" s="1" t="s">
        <v>3678</v>
      </c>
      <c r="G2594" s="1" t="s">
        <v>3647</v>
      </c>
      <c r="H2594" s="1" t="s">
        <v>141</v>
      </c>
      <c r="I2594" s="1" t="s">
        <v>65</v>
      </c>
      <c r="J2594" s="1">
        <v>3</v>
      </c>
      <c r="K2594" s="1" t="s">
        <v>142</v>
      </c>
      <c r="L2594" s="1" t="s">
        <v>153</v>
      </c>
      <c r="M2594" s="1" t="s">
        <v>1256</v>
      </c>
      <c r="N2594" s="1" t="str">
        <f>HYPERLINK("https://klocwork.india.ti.com:443/review/insight-review.html#issuedetails_goto:problemid=128727,project=MCU_PLUS_SDK_AM263X,searchquery=taxonomy:'C and C++' build:Build_Apr_13_2023_11_11_AM grouping:off ","KW Issue Link")</f>
        <v>KW Issue Link</v>
      </c>
      <c r="O2594" s="1" t="s">
        <v>1083</v>
      </c>
    </row>
    <row r="2595" spans="1:15" ht="75" x14ac:dyDescent="0.25">
      <c r="A2595" s="1" t="s">
        <v>1268</v>
      </c>
      <c r="B2595" s="1"/>
      <c r="C2595" s="1" t="s">
        <v>3631</v>
      </c>
      <c r="D2595" s="1">
        <v>128728</v>
      </c>
      <c r="E2595" s="1">
        <v>1619</v>
      </c>
      <c r="F2595" s="1" t="s">
        <v>3679</v>
      </c>
      <c r="G2595" s="1" t="s">
        <v>3649</v>
      </c>
      <c r="H2595" s="1" t="s">
        <v>141</v>
      </c>
      <c r="I2595" s="1" t="s">
        <v>65</v>
      </c>
      <c r="J2595" s="1">
        <v>3</v>
      </c>
      <c r="K2595" s="1" t="s">
        <v>142</v>
      </c>
      <c r="L2595" s="1" t="s">
        <v>153</v>
      </c>
      <c r="M2595" s="1" t="s">
        <v>1256</v>
      </c>
      <c r="N2595" s="1" t="str">
        <f>HYPERLINK("https://klocwork.india.ti.com:443/review/insight-review.html#issuedetails_goto:problemid=128728,project=MCU_PLUS_SDK_AM263X,searchquery=taxonomy:'C and C++' build:Build_Apr_13_2023_11_11_AM grouping:off ","KW Issue Link")</f>
        <v>KW Issue Link</v>
      </c>
      <c r="O2595" s="1" t="s">
        <v>1083</v>
      </c>
    </row>
    <row r="2596" spans="1:15" ht="75" x14ac:dyDescent="0.25">
      <c r="A2596" s="1" t="s">
        <v>1268</v>
      </c>
      <c r="B2596" s="1"/>
      <c r="C2596" s="1" t="s">
        <v>3631</v>
      </c>
      <c r="D2596" s="1">
        <v>128729</v>
      </c>
      <c r="E2596" s="1">
        <v>1827</v>
      </c>
      <c r="F2596" s="1" t="s">
        <v>3680</v>
      </c>
      <c r="G2596" s="1" t="s">
        <v>3651</v>
      </c>
      <c r="H2596" s="1" t="s">
        <v>141</v>
      </c>
      <c r="I2596" s="1" t="s">
        <v>65</v>
      </c>
      <c r="J2596" s="1">
        <v>3</v>
      </c>
      <c r="K2596" s="1" t="s">
        <v>142</v>
      </c>
      <c r="L2596" s="1" t="s">
        <v>153</v>
      </c>
      <c r="M2596" s="1" t="s">
        <v>1256</v>
      </c>
      <c r="N2596" s="1" t="str">
        <f>HYPERLINK("https://klocwork.india.ti.com:443/review/insight-review.html#issuedetails_goto:problemid=128729,project=MCU_PLUS_SDK_AM263X,searchquery=taxonomy:'C and C++' build:Build_Apr_13_2023_11_11_AM grouping:off ","KW Issue Link")</f>
        <v>KW Issue Link</v>
      </c>
      <c r="O2596" s="1" t="s">
        <v>1083</v>
      </c>
    </row>
    <row r="2597" spans="1:15" ht="75" x14ac:dyDescent="0.25">
      <c r="A2597" s="1" t="s">
        <v>1268</v>
      </c>
      <c r="B2597" s="1"/>
      <c r="C2597" s="1" t="s">
        <v>3631</v>
      </c>
      <c r="D2597" s="1">
        <v>128730</v>
      </c>
      <c r="E2597" s="1">
        <v>1904</v>
      </c>
      <c r="F2597" s="1" t="s">
        <v>3681</v>
      </c>
      <c r="G2597" s="1" t="s">
        <v>3653</v>
      </c>
      <c r="H2597" s="1" t="s">
        <v>141</v>
      </c>
      <c r="I2597" s="1" t="s">
        <v>65</v>
      </c>
      <c r="J2597" s="1">
        <v>3</v>
      </c>
      <c r="K2597" s="1" t="s">
        <v>142</v>
      </c>
      <c r="L2597" s="1" t="s">
        <v>153</v>
      </c>
      <c r="M2597" s="1" t="s">
        <v>1256</v>
      </c>
      <c r="N2597" s="1" t="str">
        <f>HYPERLINK("https://klocwork.india.ti.com:443/review/insight-review.html#issuedetails_goto:problemid=128730,project=MCU_PLUS_SDK_AM263X,searchquery=taxonomy:'C and C++' build:Build_Apr_13_2023_11_11_AM grouping:off ","KW Issue Link")</f>
        <v>KW Issue Link</v>
      </c>
      <c r="O2597" s="1" t="s">
        <v>1083</v>
      </c>
    </row>
    <row r="2598" spans="1:15" ht="75" x14ac:dyDescent="0.25">
      <c r="A2598" s="1" t="s">
        <v>1268</v>
      </c>
      <c r="B2598" s="1"/>
      <c r="C2598" s="1" t="s">
        <v>3631</v>
      </c>
      <c r="D2598" s="1">
        <v>128731</v>
      </c>
      <c r="E2598" s="1">
        <v>2059</v>
      </c>
      <c r="F2598" s="1" t="s">
        <v>3682</v>
      </c>
      <c r="G2598" s="1" t="s">
        <v>3655</v>
      </c>
      <c r="H2598" s="1" t="s">
        <v>141</v>
      </c>
      <c r="I2598" s="1" t="s">
        <v>65</v>
      </c>
      <c r="J2598" s="1">
        <v>3</v>
      </c>
      <c r="K2598" s="1" t="s">
        <v>142</v>
      </c>
      <c r="L2598" s="1" t="s">
        <v>153</v>
      </c>
      <c r="M2598" s="1" t="s">
        <v>1256</v>
      </c>
      <c r="N2598" s="1" t="str">
        <f>HYPERLINK("https://klocwork.india.ti.com:443/review/insight-review.html#issuedetails_goto:problemid=128731,project=MCU_PLUS_SDK_AM263X,searchquery=taxonomy:'C and C++' build:Build_Apr_13_2023_11_11_AM grouping:off ","KW Issue Link")</f>
        <v>KW Issue Link</v>
      </c>
      <c r="O2598" s="1" t="s">
        <v>1083</v>
      </c>
    </row>
    <row r="2599" spans="1:15" ht="75" x14ac:dyDescent="0.25">
      <c r="A2599" s="1" t="s">
        <v>1268</v>
      </c>
      <c r="B2599" s="1"/>
      <c r="C2599" s="1" t="s">
        <v>3631</v>
      </c>
      <c r="D2599" s="1">
        <v>128732</v>
      </c>
      <c r="E2599" s="1">
        <v>2199</v>
      </c>
      <c r="F2599" s="1" t="s">
        <v>3683</v>
      </c>
      <c r="G2599" s="1" t="s">
        <v>3657</v>
      </c>
      <c r="H2599" s="1" t="s">
        <v>141</v>
      </c>
      <c r="I2599" s="1" t="s">
        <v>65</v>
      </c>
      <c r="J2599" s="1">
        <v>3</v>
      </c>
      <c r="K2599" s="1" t="s">
        <v>142</v>
      </c>
      <c r="L2599" s="1" t="s">
        <v>153</v>
      </c>
      <c r="M2599" s="1" t="s">
        <v>1256</v>
      </c>
      <c r="N2599" s="1" t="str">
        <f>HYPERLINK("https://klocwork.india.ti.com:443/review/insight-review.html#issuedetails_goto:problemid=128732,project=MCU_PLUS_SDK_AM263X,searchquery=taxonomy:'C and C++' build:Build_Apr_13_2023_11_11_AM grouping:off ","KW Issue Link")</f>
        <v>KW Issue Link</v>
      </c>
      <c r="O2599" s="1" t="s">
        <v>1083</v>
      </c>
    </row>
    <row r="2600" spans="1:15" ht="75" x14ac:dyDescent="0.25">
      <c r="A2600" s="1" t="s">
        <v>157</v>
      </c>
      <c r="B2600" s="1"/>
      <c r="C2600" s="1" t="s">
        <v>3631</v>
      </c>
      <c r="D2600" s="1">
        <v>128761</v>
      </c>
      <c r="E2600" s="1">
        <v>1155</v>
      </c>
      <c r="F2600" s="1" t="s">
        <v>3684</v>
      </c>
      <c r="G2600" s="1" t="s">
        <v>3685</v>
      </c>
      <c r="H2600" s="1" t="s">
        <v>141</v>
      </c>
      <c r="I2600" s="1" t="s">
        <v>65</v>
      </c>
      <c r="J2600" s="1">
        <v>3</v>
      </c>
      <c r="K2600" s="1" t="s">
        <v>142</v>
      </c>
      <c r="L2600" s="1" t="s">
        <v>153</v>
      </c>
      <c r="M2600" s="1" t="s">
        <v>28</v>
      </c>
      <c r="N2600" s="1" t="str">
        <f>HYPERLINK("https://klocwork.india.ti.com:443/review/insight-review.html#issuedetails_goto:problemid=128761,project=MCU_PLUS_SDK_AM263X,searchquery=taxonomy:'C and C++' build:Build_Apr_13_2023_11_11_AM grouping:off ","KW Issue Link")</f>
        <v>KW Issue Link</v>
      </c>
      <c r="O2600" s="1" t="s">
        <v>1083</v>
      </c>
    </row>
    <row r="2601" spans="1:15" ht="75" x14ac:dyDescent="0.25">
      <c r="A2601" s="1" t="s">
        <v>157</v>
      </c>
      <c r="B2601" s="1"/>
      <c r="C2601" s="1" t="s">
        <v>3631</v>
      </c>
      <c r="D2601" s="1">
        <v>128762</v>
      </c>
      <c r="E2601" s="1">
        <v>1404</v>
      </c>
      <c r="F2601" s="1" t="s">
        <v>537</v>
      </c>
      <c r="G2601" s="1" t="s">
        <v>3647</v>
      </c>
      <c r="H2601" s="1" t="s">
        <v>141</v>
      </c>
      <c r="I2601" s="1" t="s">
        <v>65</v>
      </c>
      <c r="J2601" s="1">
        <v>3</v>
      </c>
      <c r="K2601" s="1" t="s">
        <v>142</v>
      </c>
      <c r="L2601" s="1" t="s">
        <v>153</v>
      </c>
      <c r="M2601" s="1" t="s">
        <v>28</v>
      </c>
      <c r="N2601" s="1" t="str">
        <f>HYPERLINK("https://klocwork.india.ti.com:443/review/insight-review.html#issuedetails_goto:problemid=128762,project=MCU_PLUS_SDK_AM263X,searchquery=taxonomy:'C and C++' build:Build_Apr_13_2023_11_11_AM grouping:off ","KW Issue Link")</f>
        <v>KW Issue Link</v>
      </c>
      <c r="O2601" s="1" t="s">
        <v>1083</v>
      </c>
    </row>
    <row r="2602" spans="1:15" ht="75" x14ac:dyDescent="0.25">
      <c r="A2602" s="1" t="s">
        <v>136</v>
      </c>
      <c r="B2602" s="1"/>
      <c r="C2602" s="1" t="s">
        <v>3631</v>
      </c>
      <c r="D2602" s="1">
        <v>128763</v>
      </c>
      <c r="E2602" s="1">
        <v>1174</v>
      </c>
      <c r="F2602" s="1" t="s">
        <v>3686</v>
      </c>
      <c r="G2602" s="1" t="s">
        <v>3685</v>
      </c>
      <c r="H2602" s="1" t="s">
        <v>141</v>
      </c>
      <c r="I2602" s="1" t="s">
        <v>66</v>
      </c>
      <c r="J2602" s="1">
        <v>4</v>
      </c>
      <c r="K2602" s="1" t="s">
        <v>142</v>
      </c>
      <c r="L2602" s="1" t="s">
        <v>153</v>
      </c>
      <c r="M2602" s="1" t="s">
        <v>28</v>
      </c>
      <c r="N2602" s="1" t="str">
        <f>HYPERLINK("https://klocwork.india.ti.com:443/review/insight-review.html#issuedetails_goto:problemid=128763,project=MCU_PLUS_SDK_AM263X,searchquery=taxonomy:'C and C++' build:Build_Apr_13_2023_11_11_AM grouping:off ","KW Issue Link")</f>
        <v>KW Issue Link</v>
      </c>
      <c r="O2602" s="1" t="s">
        <v>1083</v>
      </c>
    </row>
    <row r="2603" spans="1:15" ht="75" x14ac:dyDescent="0.25">
      <c r="A2603" s="1" t="s">
        <v>997</v>
      </c>
      <c r="B2603" s="1"/>
      <c r="C2603" s="1" t="s">
        <v>3631</v>
      </c>
      <c r="D2603" s="1">
        <v>128764</v>
      </c>
      <c r="E2603" s="1">
        <v>1378</v>
      </c>
      <c r="F2603" s="1" t="s">
        <v>3561</v>
      </c>
      <c r="G2603" s="1" t="s">
        <v>3647</v>
      </c>
      <c r="H2603" s="1" t="s">
        <v>141</v>
      </c>
      <c r="I2603" s="1" t="s">
        <v>66</v>
      </c>
      <c r="J2603" s="1">
        <v>4</v>
      </c>
      <c r="K2603" s="1" t="s">
        <v>142</v>
      </c>
      <c r="L2603" s="1" t="s">
        <v>153</v>
      </c>
      <c r="M2603" s="1" t="s">
        <v>28</v>
      </c>
      <c r="N2603" s="1" t="str">
        <f>HYPERLINK("https://klocwork.india.ti.com:443/review/insight-review.html#issuedetails_goto:problemid=128764,project=MCU_PLUS_SDK_AM263X,searchquery=taxonomy:'C and C++' build:Build_Apr_13_2023_11_11_AM grouping:off ","KW Issue Link")</f>
        <v>KW Issue Link</v>
      </c>
      <c r="O2603" s="1" t="s">
        <v>1083</v>
      </c>
    </row>
    <row r="2604" spans="1:15" ht="75" x14ac:dyDescent="0.25">
      <c r="A2604" s="1" t="s">
        <v>997</v>
      </c>
      <c r="B2604" s="1"/>
      <c r="C2604" s="1" t="s">
        <v>3631</v>
      </c>
      <c r="D2604" s="1">
        <v>128765</v>
      </c>
      <c r="E2604" s="1">
        <v>1400</v>
      </c>
      <c r="F2604" s="1" t="s">
        <v>3558</v>
      </c>
      <c r="G2604" s="1" t="s">
        <v>3647</v>
      </c>
      <c r="H2604" s="1" t="s">
        <v>141</v>
      </c>
      <c r="I2604" s="1" t="s">
        <v>66</v>
      </c>
      <c r="J2604" s="1">
        <v>4</v>
      </c>
      <c r="K2604" s="1" t="s">
        <v>142</v>
      </c>
      <c r="L2604" s="1" t="s">
        <v>153</v>
      </c>
      <c r="M2604" s="1" t="s">
        <v>28</v>
      </c>
      <c r="N2604" s="1" t="str">
        <f>HYPERLINK("https://klocwork.india.ti.com:443/review/insight-review.html#issuedetails_goto:problemid=128765,project=MCU_PLUS_SDK_AM263X,searchquery=taxonomy:'C and C++' build:Build_Apr_13_2023_11_11_AM grouping:off ","KW Issue Link")</f>
        <v>KW Issue Link</v>
      </c>
      <c r="O2604" s="1" t="s">
        <v>1083</v>
      </c>
    </row>
    <row r="2605" spans="1:15" ht="75" x14ac:dyDescent="0.25">
      <c r="A2605" s="1" t="s">
        <v>997</v>
      </c>
      <c r="B2605" s="1"/>
      <c r="C2605" s="1" t="s">
        <v>3631</v>
      </c>
      <c r="D2605" s="1">
        <v>128766</v>
      </c>
      <c r="E2605" s="1">
        <v>1411</v>
      </c>
      <c r="F2605" s="1" t="s">
        <v>3561</v>
      </c>
      <c r="G2605" s="1" t="s">
        <v>3647</v>
      </c>
      <c r="H2605" s="1" t="s">
        <v>141</v>
      </c>
      <c r="I2605" s="1" t="s">
        <v>66</v>
      </c>
      <c r="J2605" s="1">
        <v>4</v>
      </c>
      <c r="K2605" s="1" t="s">
        <v>142</v>
      </c>
      <c r="L2605" s="1" t="s">
        <v>153</v>
      </c>
      <c r="M2605" s="1" t="s">
        <v>28</v>
      </c>
      <c r="N2605" s="1" t="str">
        <f>HYPERLINK("https://klocwork.india.ti.com:443/review/insight-review.html#issuedetails_goto:problemid=128766,project=MCU_PLUS_SDK_AM263X,searchquery=taxonomy:'C and C++' build:Build_Apr_13_2023_11_11_AM grouping:off ","KW Issue Link")</f>
        <v>KW Issue Link</v>
      </c>
      <c r="O2605" s="1" t="s">
        <v>1083</v>
      </c>
    </row>
    <row r="2606" spans="1:15" ht="75" x14ac:dyDescent="0.25">
      <c r="A2606" s="1" t="s">
        <v>997</v>
      </c>
      <c r="B2606" s="1"/>
      <c r="C2606" s="1" t="s">
        <v>3631</v>
      </c>
      <c r="D2606" s="1">
        <v>128767</v>
      </c>
      <c r="E2606" s="1">
        <v>1417</v>
      </c>
      <c r="F2606" s="1" t="s">
        <v>3561</v>
      </c>
      <c r="G2606" s="1" t="s">
        <v>3647</v>
      </c>
      <c r="H2606" s="1" t="s">
        <v>141</v>
      </c>
      <c r="I2606" s="1" t="s">
        <v>66</v>
      </c>
      <c r="J2606" s="1">
        <v>4</v>
      </c>
      <c r="K2606" s="1" t="s">
        <v>142</v>
      </c>
      <c r="L2606" s="1" t="s">
        <v>153</v>
      </c>
      <c r="M2606" s="1" t="s">
        <v>28</v>
      </c>
      <c r="N2606" s="1" t="str">
        <f>HYPERLINK("https://klocwork.india.ti.com:443/review/insight-review.html#issuedetails_goto:problemid=128767,project=MCU_PLUS_SDK_AM263X,searchquery=taxonomy:'C and C++' build:Build_Apr_13_2023_11_11_AM grouping:off ","KW Issue Link")</f>
        <v>KW Issue Link</v>
      </c>
      <c r="O2606" s="1" t="s">
        <v>1083</v>
      </c>
    </row>
    <row r="2607" spans="1:15" ht="75" x14ac:dyDescent="0.25">
      <c r="A2607" s="1" t="s">
        <v>997</v>
      </c>
      <c r="B2607" s="1"/>
      <c r="C2607" s="1" t="s">
        <v>3631</v>
      </c>
      <c r="D2607" s="1">
        <v>128768</v>
      </c>
      <c r="E2607" s="1">
        <v>1674</v>
      </c>
      <c r="F2607" s="1" t="s">
        <v>3687</v>
      </c>
      <c r="G2607" s="1" t="s">
        <v>3649</v>
      </c>
      <c r="H2607" s="1" t="s">
        <v>141</v>
      </c>
      <c r="I2607" s="1" t="s">
        <v>66</v>
      </c>
      <c r="J2607" s="1">
        <v>4</v>
      </c>
      <c r="K2607" s="1" t="s">
        <v>142</v>
      </c>
      <c r="L2607" s="1" t="s">
        <v>153</v>
      </c>
      <c r="M2607" s="1" t="s">
        <v>28</v>
      </c>
      <c r="N2607" s="1" t="str">
        <f>HYPERLINK("https://klocwork.india.ti.com:443/review/insight-review.html#issuedetails_goto:problemid=128768,project=MCU_PLUS_SDK_AM263X,searchquery=taxonomy:'C and C++' build:Build_Apr_13_2023_11_11_AM grouping:off ","KW Issue Link")</f>
        <v>KW Issue Link</v>
      </c>
      <c r="O2607" s="1" t="s">
        <v>1083</v>
      </c>
    </row>
    <row r="2608" spans="1:15" ht="75" x14ac:dyDescent="0.25">
      <c r="A2608" s="1" t="s">
        <v>997</v>
      </c>
      <c r="B2608" s="1"/>
      <c r="C2608" s="1" t="s">
        <v>3631</v>
      </c>
      <c r="D2608" s="1">
        <v>128769</v>
      </c>
      <c r="E2608" s="1">
        <v>1851</v>
      </c>
      <c r="F2608" s="1" t="s">
        <v>3688</v>
      </c>
      <c r="G2608" s="1" t="s">
        <v>3651</v>
      </c>
      <c r="H2608" s="1" t="s">
        <v>141</v>
      </c>
      <c r="I2608" s="1" t="s">
        <v>66</v>
      </c>
      <c r="J2608" s="1">
        <v>4</v>
      </c>
      <c r="K2608" s="1" t="s">
        <v>142</v>
      </c>
      <c r="L2608" s="1" t="s">
        <v>153</v>
      </c>
      <c r="M2608" s="1" t="s">
        <v>28</v>
      </c>
      <c r="N2608" s="1" t="str">
        <f>HYPERLINK("https://klocwork.india.ti.com:443/review/insight-review.html#issuedetails_goto:problemid=128769,project=MCU_PLUS_SDK_AM263X,searchquery=taxonomy:'C and C++' build:Build_Apr_13_2023_11_11_AM grouping:off ","KW Issue Link")</f>
        <v>KW Issue Link</v>
      </c>
      <c r="O2608" s="1" t="s">
        <v>1083</v>
      </c>
    </row>
    <row r="2609" spans="1:15" ht="75" x14ac:dyDescent="0.25">
      <c r="A2609" s="1" t="s">
        <v>997</v>
      </c>
      <c r="B2609" s="1"/>
      <c r="C2609" s="1" t="s">
        <v>3631</v>
      </c>
      <c r="D2609" s="1">
        <v>128770</v>
      </c>
      <c r="E2609" s="1">
        <v>1852</v>
      </c>
      <c r="F2609" s="1" t="s">
        <v>3689</v>
      </c>
      <c r="G2609" s="1" t="s">
        <v>3651</v>
      </c>
      <c r="H2609" s="1" t="s">
        <v>141</v>
      </c>
      <c r="I2609" s="1" t="s">
        <v>66</v>
      </c>
      <c r="J2609" s="1">
        <v>4</v>
      </c>
      <c r="K2609" s="1" t="s">
        <v>142</v>
      </c>
      <c r="L2609" s="1" t="s">
        <v>153</v>
      </c>
      <c r="M2609" s="1" t="s">
        <v>28</v>
      </c>
      <c r="N2609" s="1" t="str">
        <f>HYPERLINK("https://klocwork.india.ti.com:443/review/insight-review.html#issuedetails_goto:problemid=128770,project=MCU_PLUS_SDK_AM263X,searchquery=taxonomy:'C and C++' build:Build_Apr_13_2023_11_11_AM grouping:off ","KW Issue Link")</f>
        <v>KW Issue Link</v>
      </c>
      <c r="O2609" s="1" t="s">
        <v>1083</v>
      </c>
    </row>
    <row r="2610" spans="1:15" ht="75" x14ac:dyDescent="0.25">
      <c r="A2610" s="1" t="s">
        <v>997</v>
      </c>
      <c r="B2610" s="1"/>
      <c r="C2610" s="1" t="s">
        <v>3631</v>
      </c>
      <c r="D2610" s="1">
        <v>128771</v>
      </c>
      <c r="E2610" s="1">
        <v>1856</v>
      </c>
      <c r="F2610" s="1" t="s">
        <v>3688</v>
      </c>
      <c r="G2610" s="1" t="s">
        <v>3651</v>
      </c>
      <c r="H2610" s="1" t="s">
        <v>141</v>
      </c>
      <c r="I2610" s="1" t="s">
        <v>66</v>
      </c>
      <c r="J2610" s="1">
        <v>4</v>
      </c>
      <c r="K2610" s="1" t="s">
        <v>142</v>
      </c>
      <c r="L2610" s="1" t="s">
        <v>153</v>
      </c>
      <c r="M2610" s="1" t="s">
        <v>28</v>
      </c>
      <c r="N2610" s="1" t="str">
        <f>HYPERLINK("https://klocwork.india.ti.com:443/review/insight-review.html#issuedetails_goto:problemid=128771,project=MCU_PLUS_SDK_AM263X,searchquery=taxonomy:'C and C++' build:Build_Apr_13_2023_11_11_AM grouping:off ","KW Issue Link")</f>
        <v>KW Issue Link</v>
      </c>
      <c r="O2610" s="1" t="s">
        <v>1083</v>
      </c>
    </row>
    <row r="2611" spans="1:15" ht="75" x14ac:dyDescent="0.25">
      <c r="A2611" s="1" t="s">
        <v>997</v>
      </c>
      <c r="B2611" s="1"/>
      <c r="C2611" s="1" t="s">
        <v>3631</v>
      </c>
      <c r="D2611" s="1">
        <v>128772</v>
      </c>
      <c r="E2611" s="1">
        <v>1861</v>
      </c>
      <c r="F2611" s="1" t="s">
        <v>3689</v>
      </c>
      <c r="G2611" s="1" t="s">
        <v>3651</v>
      </c>
      <c r="H2611" s="1" t="s">
        <v>141</v>
      </c>
      <c r="I2611" s="1" t="s">
        <v>66</v>
      </c>
      <c r="J2611" s="1">
        <v>4</v>
      </c>
      <c r="K2611" s="1" t="s">
        <v>142</v>
      </c>
      <c r="L2611" s="1" t="s">
        <v>153</v>
      </c>
      <c r="M2611" s="1" t="s">
        <v>28</v>
      </c>
      <c r="N2611" s="1" t="str">
        <f>HYPERLINK("https://klocwork.india.ti.com:443/review/insight-review.html#issuedetails_goto:problemid=128772,project=MCU_PLUS_SDK_AM263X,searchquery=taxonomy:'C and C++' build:Build_Apr_13_2023_11_11_AM grouping:off ","KW Issue Link")</f>
        <v>KW Issue Link</v>
      </c>
      <c r="O2611" s="1" t="s">
        <v>1083</v>
      </c>
    </row>
    <row r="2612" spans="1:15" ht="75" x14ac:dyDescent="0.25">
      <c r="A2612" s="1" t="s">
        <v>997</v>
      </c>
      <c r="B2612" s="1"/>
      <c r="C2612" s="1" t="s">
        <v>3631</v>
      </c>
      <c r="D2612" s="1">
        <v>128773</v>
      </c>
      <c r="E2612" s="1">
        <v>1942</v>
      </c>
      <c r="F2612" s="1" t="s">
        <v>3690</v>
      </c>
      <c r="G2612" s="1" t="s">
        <v>3653</v>
      </c>
      <c r="H2612" s="1" t="s">
        <v>141</v>
      </c>
      <c r="I2612" s="1" t="s">
        <v>66</v>
      </c>
      <c r="J2612" s="1">
        <v>4</v>
      </c>
      <c r="K2612" s="1" t="s">
        <v>142</v>
      </c>
      <c r="L2612" s="1" t="s">
        <v>153</v>
      </c>
      <c r="M2612" s="1" t="s">
        <v>28</v>
      </c>
      <c r="N2612" s="1" t="str">
        <f>HYPERLINK("https://klocwork.india.ti.com:443/review/insight-review.html#issuedetails_goto:problemid=128773,project=MCU_PLUS_SDK_AM263X,searchquery=taxonomy:'C and C++' build:Build_Apr_13_2023_11_11_AM grouping:off ","KW Issue Link")</f>
        <v>KW Issue Link</v>
      </c>
      <c r="O2612" s="1" t="s">
        <v>1083</v>
      </c>
    </row>
    <row r="2613" spans="1:15" ht="75" x14ac:dyDescent="0.25">
      <c r="A2613" s="1" t="s">
        <v>997</v>
      </c>
      <c r="B2613" s="1"/>
      <c r="C2613" s="1" t="s">
        <v>3631</v>
      </c>
      <c r="D2613" s="1">
        <v>128774</v>
      </c>
      <c r="E2613" s="1">
        <v>1943</v>
      </c>
      <c r="F2613" s="1" t="s">
        <v>3691</v>
      </c>
      <c r="G2613" s="1" t="s">
        <v>3653</v>
      </c>
      <c r="H2613" s="1" t="s">
        <v>141</v>
      </c>
      <c r="I2613" s="1" t="s">
        <v>66</v>
      </c>
      <c r="J2613" s="1">
        <v>4</v>
      </c>
      <c r="K2613" s="1" t="s">
        <v>142</v>
      </c>
      <c r="L2613" s="1" t="s">
        <v>153</v>
      </c>
      <c r="M2613" s="1" t="s">
        <v>28</v>
      </c>
      <c r="N2613" s="1" t="str">
        <f>HYPERLINK("https://klocwork.india.ti.com:443/review/insight-review.html#issuedetails_goto:problemid=128774,project=MCU_PLUS_SDK_AM263X,searchquery=taxonomy:'C and C++' build:Build_Apr_13_2023_11_11_AM grouping:off ","KW Issue Link")</f>
        <v>KW Issue Link</v>
      </c>
      <c r="O2613" s="1" t="s">
        <v>1083</v>
      </c>
    </row>
    <row r="2614" spans="1:15" ht="75" x14ac:dyDescent="0.25">
      <c r="A2614" s="1" t="s">
        <v>997</v>
      </c>
      <c r="B2614" s="1"/>
      <c r="C2614" s="1" t="s">
        <v>3631</v>
      </c>
      <c r="D2614" s="1">
        <v>128775</v>
      </c>
      <c r="E2614" s="1">
        <v>1956</v>
      </c>
      <c r="F2614" s="1" t="s">
        <v>3692</v>
      </c>
      <c r="G2614" s="1" t="s">
        <v>3653</v>
      </c>
      <c r="H2614" s="1" t="s">
        <v>141</v>
      </c>
      <c r="I2614" s="1" t="s">
        <v>66</v>
      </c>
      <c r="J2614" s="1">
        <v>4</v>
      </c>
      <c r="K2614" s="1" t="s">
        <v>142</v>
      </c>
      <c r="L2614" s="1" t="s">
        <v>153</v>
      </c>
      <c r="M2614" s="1" t="s">
        <v>28</v>
      </c>
      <c r="N2614" s="1" t="str">
        <f>HYPERLINK("https://klocwork.india.ti.com:443/review/insight-review.html#issuedetails_goto:problemid=128775,project=MCU_PLUS_SDK_AM263X,searchquery=taxonomy:'C and C++' build:Build_Apr_13_2023_11_11_AM grouping:off ","KW Issue Link")</f>
        <v>KW Issue Link</v>
      </c>
      <c r="O2614" s="1" t="s">
        <v>1083</v>
      </c>
    </row>
    <row r="2615" spans="1:15" ht="75" x14ac:dyDescent="0.25">
      <c r="A2615" s="1" t="s">
        <v>997</v>
      </c>
      <c r="B2615" s="1"/>
      <c r="C2615" s="1" t="s">
        <v>3631</v>
      </c>
      <c r="D2615" s="1">
        <v>128776</v>
      </c>
      <c r="E2615" s="1">
        <v>1957</v>
      </c>
      <c r="F2615" s="1" t="s">
        <v>3693</v>
      </c>
      <c r="G2615" s="1" t="s">
        <v>3653</v>
      </c>
      <c r="H2615" s="1" t="s">
        <v>141</v>
      </c>
      <c r="I2615" s="1" t="s">
        <v>66</v>
      </c>
      <c r="J2615" s="1">
        <v>4</v>
      </c>
      <c r="K2615" s="1" t="s">
        <v>142</v>
      </c>
      <c r="L2615" s="1" t="s">
        <v>153</v>
      </c>
      <c r="M2615" s="1" t="s">
        <v>28</v>
      </c>
      <c r="N2615" s="1" t="str">
        <f>HYPERLINK("https://klocwork.india.ti.com:443/review/insight-review.html#issuedetails_goto:problemid=128776,project=MCU_PLUS_SDK_AM263X,searchquery=taxonomy:'C and C++' build:Build_Apr_13_2023_11_11_AM grouping:off ","KW Issue Link")</f>
        <v>KW Issue Link</v>
      </c>
      <c r="O2615" s="1" t="s">
        <v>1083</v>
      </c>
    </row>
    <row r="2616" spans="1:15" ht="75" x14ac:dyDescent="0.25">
      <c r="A2616" s="1" t="s">
        <v>997</v>
      </c>
      <c r="B2616" s="1"/>
      <c r="C2616" s="1" t="s">
        <v>3631</v>
      </c>
      <c r="D2616" s="1">
        <v>128777</v>
      </c>
      <c r="E2616" s="1">
        <v>1966</v>
      </c>
      <c r="F2616" s="1" t="s">
        <v>3694</v>
      </c>
      <c r="G2616" s="1" t="s">
        <v>3653</v>
      </c>
      <c r="H2616" s="1" t="s">
        <v>141</v>
      </c>
      <c r="I2616" s="1" t="s">
        <v>66</v>
      </c>
      <c r="J2616" s="1">
        <v>4</v>
      </c>
      <c r="K2616" s="1" t="s">
        <v>142</v>
      </c>
      <c r="L2616" s="1" t="s">
        <v>153</v>
      </c>
      <c r="M2616" s="1" t="s">
        <v>28</v>
      </c>
      <c r="N2616" s="1" t="str">
        <f>HYPERLINK("https://klocwork.india.ti.com:443/review/insight-review.html#issuedetails_goto:problemid=128777,project=MCU_PLUS_SDK_AM263X,searchquery=taxonomy:'C and C++' build:Build_Apr_13_2023_11_11_AM grouping:off ","KW Issue Link")</f>
        <v>KW Issue Link</v>
      </c>
      <c r="O2616" s="1" t="s">
        <v>1083</v>
      </c>
    </row>
    <row r="2617" spans="1:15" ht="75" x14ac:dyDescent="0.25">
      <c r="A2617" s="1" t="s">
        <v>997</v>
      </c>
      <c r="B2617" s="1"/>
      <c r="C2617" s="1" t="s">
        <v>3631</v>
      </c>
      <c r="D2617" s="1">
        <v>128778</v>
      </c>
      <c r="E2617" s="1">
        <v>1967</v>
      </c>
      <c r="F2617" s="1" t="s">
        <v>3690</v>
      </c>
      <c r="G2617" s="1" t="s">
        <v>3653</v>
      </c>
      <c r="H2617" s="1" t="s">
        <v>141</v>
      </c>
      <c r="I2617" s="1" t="s">
        <v>66</v>
      </c>
      <c r="J2617" s="1">
        <v>4</v>
      </c>
      <c r="K2617" s="1" t="s">
        <v>142</v>
      </c>
      <c r="L2617" s="1" t="s">
        <v>153</v>
      </c>
      <c r="M2617" s="1" t="s">
        <v>28</v>
      </c>
      <c r="N2617" s="1" t="str">
        <f>HYPERLINK("https://klocwork.india.ti.com:443/review/insight-review.html#issuedetails_goto:problemid=128778,project=MCU_PLUS_SDK_AM263X,searchquery=taxonomy:'C and C++' build:Build_Apr_13_2023_11_11_AM grouping:off ","KW Issue Link")</f>
        <v>KW Issue Link</v>
      </c>
      <c r="O2617" s="1" t="s">
        <v>1083</v>
      </c>
    </row>
    <row r="2618" spans="1:15" ht="75" x14ac:dyDescent="0.25">
      <c r="A2618" s="1" t="s">
        <v>997</v>
      </c>
      <c r="B2618" s="1"/>
      <c r="C2618" s="1" t="s">
        <v>3631</v>
      </c>
      <c r="D2618" s="1">
        <v>128779</v>
      </c>
      <c r="E2618" s="1">
        <v>1968</v>
      </c>
      <c r="F2618" s="1" t="s">
        <v>3691</v>
      </c>
      <c r="G2618" s="1" t="s">
        <v>3653</v>
      </c>
      <c r="H2618" s="1" t="s">
        <v>141</v>
      </c>
      <c r="I2618" s="1" t="s">
        <v>66</v>
      </c>
      <c r="J2618" s="1">
        <v>4</v>
      </c>
      <c r="K2618" s="1" t="s">
        <v>142</v>
      </c>
      <c r="L2618" s="1" t="s">
        <v>153</v>
      </c>
      <c r="M2618" s="1" t="s">
        <v>28</v>
      </c>
      <c r="N2618" s="1" t="str">
        <f>HYPERLINK("https://klocwork.india.ti.com:443/review/insight-review.html#issuedetails_goto:problemid=128779,project=MCU_PLUS_SDK_AM263X,searchquery=taxonomy:'C and C++' build:Build_Apr_13_2023_11_11_AM grouping:off ","KW Issue Link")</f>
        <v>KW Issue Link</v>
      </c>
      <c r="O2618" s="1" t="s">
        <v>1083</v>
      </c>
    </row>
    <row r="2619" spans="1:15" ht="75" x14ac:dyDescent="0.25">
      <c r="A2619" s="1" t="s">
        <v>997</v>
      </c>
      <c r="B2619" s="1"/>
      <c r="C2619" s="1" t="s">
        <v>3631</v>
      </c>
      <c r="D2619" s="1">
        <v>128780</v>
      </c>
      <c r="E2619" s="1">
        <v>1972</v>
      </c>
      <c r="F2619" s="1" t="s">
        <v>3695</v>
      </c>
      <c r="G2619" s="1" t="s">
        <v>3653</v>
      </c>
      <c r="H2619" s="1" t="s">
        <v>141</v>
      </c>
      <c r="I2619" s="1" t="s">
        <v>66</v>
      </c>
      <c r="J2619" s="1">
        <v>4</v>
      </c>
      <c r="K2619" s="1" t="s">
        <v>142</v>
      </c>
      <c r="L2619" s="1" t="s">
        <v>153</v>
      </c>
      <c r="M2619" s="1" t="s">
        <v>28</v>
      </c>
      <c r="N2619" s="1" t="str">
        <f>HYPERLINK("https://klocwork.india.ti.com:443/review/insight-review.html#issuedetails_goto:problemid=128780,project=MCU_PLUS_SDK_AM263X,searchquery=taxonomy:'C and C++' build:Build_Apr_13_2023_11_11_AM grouping:off ","KW Issue Link")</f>
        <v>KW Issue Link</v>
      </c>
      <c r="O2619" s="1" t="s">
        <v>1083</v>
      </c>
    </row>
    <row r="2620" spans="1:15" ht="75" x14ac:dyDescent="0.25">
      <c r="A2620" s="1" t="s">
        <v>997</v>
      </c>
      <c r="B2620" s="1"/>
      <c r="C2620" s="1" t="s">
        <v>3631</v>
      </c>
      <c r="D2620" s="1">
        <v>128781</v>
      </c>
      <c r="E2620" s="1">
        <v>1973</v>
      </c>
      <c r="F2620" s="1" t="s">
        <v>3692</v>
      </c>
      <c r="G2620" s="1" t="s">
        <v>3653</v>
      </c>
      <c r="H2620" s="1" t="s">
        <v>141</v>
      </c>
      <c r="I2620" s="1" t="s">
        <v>66</v>
      </c>
      <c r="J2620" s="1">
        <v>4</v>
      </c>
      <c r="K2620" s="1" t="s">
        <v>142</v>
      </c>
      <c r="L2620" s="1" t="s">
        <v>153</v>
      </c>
      <c r="M2620" s="1" t="s">
        <v>28</v>
      </c>
      <c r="N2620" s="1" t="str">
        <f>HYPERLINK("https://klocwork.india.ti.com:443/review/insight-review.html#issuedetails_goto:problemid=128781,project=MCU_PLUS_SDK_AM263X,searchquery=taxonomy:'C and C++' build:Build_Apr_13_2023_11_11_AM grouping:off ","KW Issue Link")</f>
        <v>KW Issue Link</v>
      </c>
      <c r="O2620" s="1" t="s">
        <v>1083</v>
      </c>
    </row>
    <row r="2621" spans="1:15" ht="75" x14ac:dyDescent="0.25">
      <c r="A2621" s="1" t="s">
        <v>997</v>
      </c>
      <c r="B2621" s="1"/>
      <c r="C2621" s="1" t="s">
        <v>3631</v>
      </c>
      <c r="D2621" s="1">
        <v>128782</v>
      </c>
      <c r="E2621" s="1">
        <v>1974</v>
      </c>
      <c r="F2621" s="1" t="s">
        <v>3693</v>
      </c>
      <c r="G2621" s="1" t="s">
        <v>3653</v>
      </c>
      <c r="H2621" s="1" t="s">
        <v>141</v>
      </c>
      <c r="I2621" s="1" t="s">
        <v>66</v>
      </c>
      <c r="J2621" s="1">
        <v>4</v>
      </c>
      <c r="K2621" s="1" t="s">
        <v>142</v>
      </c>
      <c r="L2621" s="1" t="s">
        <v>153</v>
      </c>
      <c r="M2621" s="1" t="s">
        <v>28</v>
      </c>
      <c r="N2621" s="1" t="str">
        <f>HYPERLINK("https://klocwork.india.ti.com:443/review/insight-review.html#issuedetails_goto:problemid=128782,project=MCU_PLUS_SDK_AM263X,searchquery=taxonomy:'C and C++' build:Build_Apr_13_2023_11_11_AM grouping:off ","KW Issue Link")</f>
        <v>KW Issue Link</v>
      </c>
      <c r="O2621" s="1" t="s">
        <v>1083</v>
      </c>
    </row>
    <row r="2622" spans="1:15" ht="75" x14ac:dyDescent="0.25">
      <c r="A2622" s="1" t="s">
        <v>997</v>
      </c>
      <c r="B2622" s="1"/>
      <c r="C2622" s="1" t="s">
        <v>3631</v>
      </c>
      <c r="D2622" s="1">
        <v>128783</v>
      </c>
      <c r="E2622" s="1">
        <v>1980</v>
      </c>
      <c r="F2622" s="1" t="s">
        <v>3692</v>
      </c>
      <c r="G2622" s="1" t="s">
        <v>3653</v>
      </c>
      <c r="H2622" s="1" t="s">
        <v>141</v>
      </c>
      <c r="I2622" s="1" t="s">
        <v>66</v>
      </c>
      <c r="J2622" s="1">
        <v>4</v>
      </c>
      <c r="K2622" s="1" t="s">
        <v>142</v>
      </c>
      <c r="L2622" s="1" t="s">
        <v>153</v>
      </c>
      <c r="M2622" s="1" t="s">
        <v>28</v>
      </c>
      <c r="N2622" s="1" t="str">
        <f>HYPERLINK("https://klocwork.india.ti.com:443/review/insight-review.html#issuedetails_goto:problemid=128783,project=MCU_PLUS_SDK_AM263X,searchquery=taxonomy:'C and C++' build:Build_Apr_13_2023_11_11_AM grouping:off ","KW Issue Link")</f>
        <v>KW Issue Link</v>
      </c>
      <c r="O2622" s="1" t="s">
        <v>1083</v>
      </c>
    </row>
    <row r="2623" spans="1:15" ht="75" x14ac:dyDescent="0.25">
      <c r="A2623" s="1" t="s">
        <v>997</v>
      </c>
      <c r="B2623" s="1"/>
      <c r="C2623" s="1" t="s">
        <v>3631</v>
      </c>
      <c r="D2623" s="1">
        <v>128784</v>
      </c>
      <c r="E2623" s="1">
        <v>1983</v>
      </c>
      <c r="F2623" s="1" t="s">
        <v>3692</v>
      </c>
      <c r="G2623" s="1" t="s">
        <v>3653</v>
      </c>
      <c r="H2623" s="1" t="s">
        <v>141</v>
      </c>
      <c r="I2623" s="1" t="s">
        <v>66</v>
      </c>
      <c r="J2623" s="1">
        <v>4</v>
      </c>
      <c r="K2623" s="1" t="s">
        <v>142</v>
      </c>
      <c r="L2623" s="1" t="s">
        <v>153</v>
      </c>
      <c r="M2623" s="1" t="s">
        <v>28</v>
      </c>
      <c r="N2623" s="1" t="str">
        <f>HYPERLINK("https://klocwork.india.ti.com:443/review/insight-review.html#issuedetails_goto:problemid=128784,project=MCU_PLUS_SDK_AM263X,searchquery=taxonomy:'C and C++' build:Build_Apr_13_2023_11_11_AM grouping:off ","KW Issue Link")</f>
        <v>KW Issue Link</v>
      </c>
      <c r="O2623" s="1" t="s">
        <v>1083</v>
      </c>
    </row>
    <row r="2624" spans="1:15" ht="75" x14ac:dyDescent="0.25">
      <c r="A2624" s="1" t="s">
        <v>997</v>
      </c>
      <c r="B2624" s="1"/>
      <c r="C2624" s="1" t="s">
        <v>3631</v>
      </c>
      <c r="D2624" s="1">
        <v>128785</v>
      </c>
      <c r="E2624" s="1">
        <v>2121</v>
      </c>
      <c r="F2624" s="1" t="s">
        <v>3568</v>
      </c>
      <c r="G2624" s="1" t="s">
        <v>3655</v>
      </c>
      <c r="H2624" s="1" t="s">
        <v>141</v>
      </c>
      <c r="I2624" s="1" t="s">
        <v>66</v>
      </c>
      <c r="J2624" s="1">
        <v>4</v>
      </c>
      <c r="K2624" s="1" t="s">
        <v>142</v>
      </c>
      <c r="L2624" s="1" t="s">
        <v>153</v>
      </c>
      <c r="M2624" s="1" t="s">
        <v>28</v>
      </c>
      <c r="N2624" s="1" t="str">
        <f>HYPERLINK("https://klocwork.india.ti.com:443/review/insight-review.html#issuedetails_goto:problemid=128785,project=MCU_PLUS_SDK_AM263X,searchquery=taxonomy:'C and C++' build:Build_Apr_13_2023_11_11_AM grouping:off ","KW Issue Link")</f>
        <v>KW Issue Link</v>
      </c>
      <c r="O2624" s="1" t="s">
        <v>1083</v>
      </c>
    </row>
    <row r="2625" spans="1:15" ht="75" x14ac:dyDescent="0.25">
      <c r="A2625" s="1" t="s">
        <v>997</v>
      </c>
      <c r="B2625" s="1"/>
      <c r="C2625" s="1" t="s">
        <v>3631</v>
      </c>
      <c r="D2625" s="1">
        <v>128786</v>
      </c>
      <c r="E2625" s="1">
        <v>2280</v>
      </c>
      <c r="F2625" s="1" t="s">
        <v>3563</v>
      </c>
      <c r="G2625" s="1" t="s">
        <v>3657</v>
      </c>
      <c r="H2625" s="1" t="s">
        <v>141</v>
      </c>
      <c r="I2625" s="1" t="s">
        <v>66</v>
      </c>
      <c r="J2625" s="1">
        <v>4</v>
      </c>
      <c r="K2625" s="1" t="s">
        <v>142</v>
      </c>
      <c r="L2625" s="1" t="s">
        <v>153</v>
      </c>
      <c r="M2625" s="1" t="s">
        <v>28</v>
      </c>
      <c r="N2625" s="1" t="str">
        <f>HYPERLINK("https://klocwork.india.ti.com:443/review/insight-review.html#issuedetails_goto:problemid=128786,project=MCU_PLUS_SDK_AM263X,searchquery=taxonomy:'C and C++' build:Build_Apr_13_2023_11_11_AM grouping:off ","KW Issue Link")</f>
        <v>KW Issue Link</v>
      </c>
      <c r="O2625" s="1" t="s">
        <v>1083</v>
      </c>
    </row>
    <row r="2626" spans="1:15" ht="75" x14ac:dyDescent="0.25">
      <c r="A2626" s="1" t="s">
        <v>149</v>
      </c>
      <c r="B2626" s="1"/>
      <c r="C2626" s="1" t="s">
        <v>3631</v>
      </c>
      <c r="D2626" s="1">
        <v>128787</v>
      </c>
      <c r="E2626" s="1">
        <v>1648</v>
      </c>
      <c r="F2626" s="1" t="s">
        <v>3696</v>
      </c>
      <c r="G2626" s="1" t="s">
        <v>3649</v>
      </c>
      <c r="H2626" s="1" t="s">
        <v>141</v>
      </c>
      <c r="I2626" s="1" t="s">
        <v>65</v>
      </c>
      <c r="J2626" s="1">
        <v>3</v>
      </c>
      <c r="K2626" s="1" t="s">
        <v>142</v>
      </c>
      <c r="L2626" s="1" t="s">
        <v>153</v>
      </c>
      <c r="M2626" s="1" t="s">
        <v>28</v>
      </c>
      <c r="N2626" s="1" t="str">
        <f>HYPERLINK("https://klocwork.india.ti.com:443/review/insight-review.html#issuedetails_goto:problemid=128787,project=MCU_PLUS_SDK_AM263X,searchquery=taxonomy:'C and C++' build:Build_Apr_13_2023_11_11_AM grouping:off ","KW Issue Link")</f>
        <v>KW Issue Link</v>
      </c>
      <c r="O2626" s="1" t="s">
        <v>1083</v>
      </c>
    </row>
    <row r="2627" spans="1:15" ht="75" x14ac:dyDescent="0.25">
      <c r="A2627" s="1" t="s">
        <v>155</v>
      </c>
      <c r="B2627" s="1"/>
      <c r="C2627" s="1" t="s">
        <v>3631</v>
      </c>
      <c r="D2627" s="1">
        <v>128788</v>
      </c>
      <c r="E2627" s="1">
        <v>1649</v>
      </c>
      <c r="F2627" s="1" t="s">
        <v>156</v>
      </c>
      <c r="G2627" s="1" t="s">
        <v>3649</v>
      </c>
      <c r="H2627" s="1" t="s">
        <v>141</v>
      </c>
      <c r="I2627" s="1" t="s">
        <v>65</v>
      </c>
      <c r="J2627" s="1">
        <v>3</v>
      </c>
      <c r="K2627" s="1" t="s">
        <v>142</v>
      </c>
      <c r="L2627" s="1" t="s">
        <v>153</v>
      </c>
      <c r="M2627" s="1" t="s">
        <v>28</v>
      </c>
      <c r="N2627" s="1" t="str">
        <f>HYPERLINK("https://klocwork.india.ti.com:443/review/insight-review.html#issuedetails_goto:problemid=128788,project=MCU_PLUS_SDK_AM263X,searchquery=taxonomy:'C and C++' build:Build_Apr_13_2023_11_11_AM grouping:off ","KW Issue Link")</f>
        <v>KW Issue Link</v>
      </c>
      <c r="O2627" s="1" t="s">
        <v>1083</v>
      </c>
    </row>
    <row r="2628" spans="1:15" ht="75" x14ac:dyDescent="0.25">
      <c r="A2628" s="1" t="s">
        <v>1252</v>
      </c>
      <c r="B2628" s="1"/>
      <c r="C2628" s="1" t="s">
        <v>3697</v>
      </c>
      <c r="D2628" s="1">
        <v>129145</v>
      </c>
      <c r="E2628" s="1">
        <v>135</v>
      </c>
      <c r="F2628" s="1" t="s">
        <v>3698</v>
      </c>
      <c r="G2628" s="1" t="s">
        <v>3699</v>
      </c>
      <c r="H2628" s="1" t="s">
        <v>141</v>
      </c>
      <c r="I2628" s="1" t="s">
        <v>65</v>
      </c>
      <c r="J2628" s="1">
        <v>3</v>
      </c>
      <c r="K2628" s="1" t="s">
        <v>142</v>
      </c>
      <c r="L2628" s="1" t="s">
        <v>153</v>
      </c>
      <c r="M2628" s="1" t="s">
        <v>1256</v>
      </c>
      <c r="N2628" s="1" t="str">
        <f>HYPERLINK("https://klocwork.india.ti.com:443/review/insight-review.html#issuedetails_goto:problemid=129145,project=MCU_PLUS_SDK_AM263X,searchquery=taxonomy:'C and C++' build:Build_Apr_13_2023_11_11_AM grouping:off ","KW Issue Link")</f>
        <v>KW Issue Link</v>
      </c>
      <c r="O2628" s="1" t="s">
        <v>1083</v>
      </c>
    </row>
    <row r="2629" spans="1:15" ht="75" x14ac:dyDescent="0.25">
      <c r="A2629" s="1" t="s">
        <v>1252</v>
      </c>
      <c r="B2629" s="1"/>
      <c r="C2629" s="1" t="s">
        <v>3697</v>
      </c>
      <c r="D2629" s="1">
        <v>129146</v>
      </c>
      <c r="E2629" s="1">
        <v>307</v>
      </c>
      <c r="F2629" s="1" t="s">
        <v>3700</v>
      </c>
      <c r="G2629" s="1" t="s">
        <v>3701</v>
      </c>
      <c r="H2629" s="1" t="s">
        <v>141</v>
      </c>
      <c r="I2629" s="1" t="s">
        <v>65</v>
      </c>
      <c r="J2629" s="1">
        <v>3</v>
      </c>
      <c r="K2629" s="1" t="s">
        <v>142</v>
      </c>
      <c r="L2629" s="1" t="s">
        <v>153</v>
      </c>
      <c r="M2629" s="1" t="s">
        <v>1256</v>
      </c>
      <c r="N2629" s="1" t="str">
        <f>HYPERLINK("https://klocwork.india.ti.com:443/review/insight-review.html#issuedetails_goto:problemid=129146,project=MCU_PLUS_SDK_AM263X,searchquery=taxonomy:'C and C++' build:Build_Apr_13_2023_11_11_AM grouping:off ","KW Issue Link")</f>
        <v>KW Issue Link</v>
      </c>
      <c r="O2629" s="1" t="s">
        <v>1083</v>
      </c>
    </row>
    <row r="2630" spans="1:15" ht="75" x14ac:dyDescent="0.25">
      <c r="A2630" s="1" t="s">
        <v>1252</v>
      </c>
      <c r="B2630" s="1"/>
      <c r="C2630" s="1" t="s">
        <v>3697</v>
      </c>
      <c r="D2630" s="1">
        <v>129147</v>
      </c>
      <c r="E2630" s="1">
        <v>317</v>
      </c>
      <c r="F2630" s="1" t="s">
        <v>3702</v>
      </c>
      <c r="G2630" s="1" t="s">
        <v>3703</v>
      </c>
      <c r="H2630" s="1" t="s">
        <v>141</v>
      </c>
      <c r="I2630" s="1" t="s">
        <v>65</v>
      </c>
      <c r="J2630" s="1">
        <v>3</v>
      </c>
      <c r="K2630" s="1" t="s">
        <v>142</v>
      </c>
      <c r="L2630" s="1" t="s">
        <v>153</v>
      </c>
      <c r="M2630" s="1" t="s">
        <v>1256</v>
      </c>
      <c r="N2630" s="1" t="str">
        <f>HYPERLINK("https://klocwork.india.ti.com:443/review/insight-review.html#issuedetails_goto:problemid=129147,project=MCU_PLUS_SDK_AM263X,searchquery=taxonomy:'C and C++' build:Build_Apr_13_2023_11_11_AM grouping:off ","KW Issue Link")</f>
        <v>KW Issue Link</v>
      </c>
      <c r="O2630" s="1" t="s">
        <v>1083</v>
      </c>
    </row>
    <row r="2631" spans="1:15" ht="75" x14ac:dyDescent="0.25">
      <c r="A2631" s="1" t="s">
        <v>1252</v>
      </c>
      <c r="B2631" s="1"/>
      <c r="C2631" s="1" t="s">
        <v>3697</v>
      </c>
      <c r="D2631" s="1">
        <v>129148</v>
      </c>
      <c r="E2631" s="1">
        <v>333</v>
      </c>
      <c r="F2631" s="1" t="s">
        <v>3704</v>
      </c>
      <c r="G2631" s="1" t="s">
        <v>3705</v>
      </c>
      <c r="H2631" s="1" t="s">
        <v>141</v>
      </c>
      <c r="I2631" s="1" t="s">
        <v>65</v>
      </c>
      <c r="J2631" s="1">
        <v>3</v>
      </c>
      <c r="K2631" s="1" t="s">
        <v>142</v>
      </c>
      <c r="L2631" s="1" t="s">
        <v>153</v>
      </c>
      <c r="M2631" s="1" t="s">
        <v>1256</v>
      </c>
      <c r="N2631" s="1" t="str">
        <f>HYPERLINK("https://klocwork.india.ti.com:443/review/insight-review.html#issuedetails_goto:problemid=129148,project=MCU_PLUS_SDK_AM263X,searchquery=taxonomy:'C and C++' build:Build_Apr_13_2023_11_11_AM grouping:off ","KW Issue Link")</f>
        <v>KW Issue Link</v>
      </c>
      <c r="O2631" s="1" t="s">
        <v>1083</v>
      </c>
    </row>
    <row r="2632" spans="1:15" ht="75" x14ac:dyDescent="0.25">
      <c r="A2632" s="1" t="s">
        <v>1252</v>
      </c>
      <c r="B2632" s="1"/>
      <c r="C2632" s="1" t="s">
        <v>3697</v>
      </c>
      <c r="D2632" s="1">
        <v>129149</v>
      </c>
      <c r="E2632" s="1">
        <v>364</v>
      </c>
      <c r="F2632" s="1" t="s">
        <v>3706</v>
      </c>
      <c r="G2632" s="1" t="s">
        <v>3707</v>
      </c>
      <c r="H2632" s="1" t="s">
        <v>141</v>
      </c>
      <c r="I2632" s="1" t="s">
        <v>65</v>
      </c>
      <c r="J2632" s="1">
        <v>3</v>
      </c>
      <c r="K2632" s="1" t="s">
        <v>142</v>
      </c>
      <c r="L2632" s="1" t="s">
        <v>153</v>
      </c>
      <c r="M2632" s="1" t="s">
        <v>1256</v>
      </c>
      <c r="N2632" s="1" t="str">
        <f>HYPERLINK("https://klocwork.india.ti.com:443/review/insight-review.html#issuedetails_goto:problemid=129149,project=MCU_PLUS_SDK_AM263X,searchquery=taxonomy:'C and C++' build:Build_Apr_13_2023_11_11_AM grouping:off ","KW Issue Link")</f>
        <v>KW Issue Link</v>
      </c>
      <c r="O2632" s="1" t="s">
        <v>1083</v>
      </c>
    </row>
    <row r="2633" spans="1:15" ht="75" x14ac:dyDescent="0.25">
      <c r="A2633" s="1" t="s">
        <v>1266</v>
      </c>
      <c r="B2633" s="1"/>
      <c r="C2633" s="1" t="s">
        <v>3697</v>
      </c>
      <c r="D2633" s="1">
        <v>129150</v>
      </c>
      <c r="E2633" s="1">
        <v>135</v>
      </c>
      <c r="F2633" s="1" t="s">
        <v>3708</v>
      </c>
      <c r="G2633" s="1" t="s">
        <v>3699</v>
      </c>
      <c r="H2633" s="1" t="s">
        <v>141</v>
      </c>
      <c r="I2633" s="1" t="s">
        <v>65</v>
      </c>
      <c r="J2633" s="1">
        <v>3</v>
      </c>
      <c r="K2633" s="1" t="s">
        <v>142</v>
      </c>
      <c r="L2633" s="1" t="s">
        <v>153</v>
      </c>
      <c r="M2633" s="1" t="s">
        <v>1256</v>
      </c>
      <c r="N2633" s="1" t="str">
        <f>HYPERLINK("https://klocwork.india.ti.com:443/review/insight-review.html#issuedetails_goto:problemid=129150,project=MCU_PLUS_SDK_AM263X,searchquery=taxonomy:'C and C++' build:Build_Apr_13_2023_11_11_AM grouping:off ","KW Issue Link")</f>
        <v>KW Issue Link</v>
      </c>
      <c r="O2633" s="1" t="s">
        <v>1083</v>
      </c>
    </row>
    <row r="2634" spans="1:15" ht="75" x14ac:dyDescent="0.25">
      <c r="A2634" s="1" t="s">
        <v>1268</v>
      </c>
      <c r="B2634" s="1"/>
      <c r="C2634" s="1" t="s">
        <v>3697</v>
      </c>
      <c r="D2634" s="1">
        <v>129152</v>
      </c>
      <c r="E2634" s="1">
        <v>135</v>
      </c>
      <c r="F2634" s="1" t="s">
        <v>3709</v>
      </c>
      <c r="G2634" s="1" t="s">
        <v>3699</v>
      </c>
      <c r="H2634" s="1" t="s">
        <v>141</v>
      </c>
      <c r="I2634" s="1" t="s">
        <v>65</v>
      </c>
      <c r="J2634" s="1">
        <v>3</v>
      </c>
      <c r="K2634" s="1" t="s">
        <v>142</v>
      </c>
      <c r="L2634" s="1" t="s">
        <v>153</v>
      </c>
      <c r="M2634" s="1" t="s">
        <v>1256</v>
      </c>
      <c r="N2634" s="1" t="str">
        <f>HYPERLINK("https://klocwork.india.ti.com:443/review/insight-review.html#issuedetails_goto:problemid=129152,project=MCU_PLUS_SDK_AM263X,searchquery=taxonomy:'C and C++' build:Build_Apr_13_2023_11_11_AM grouping:off ","KW Issue Link")</f>
        <v>KW Issue Link</v>
      </c>
      <c r="O2634" s="1" t="s">
        <v>1083</v>
      </c>
    </row>
    <row r="2635" spans="1:15" ht="75" x14ac:dyDescent="0.25">
      <c r="A2635" s="1" t="s">
        <v>1266</v>
      </c>
      <c r="B2635" s="1"/>
      <c r="C2635" s="1" t="s">
        <v>3710</v>
      </c>
      <c r="D2635" s="1">
        <v>129593</v>
      </c>
      <c r="E2635" s="1">
        <v>327</v>
      </c>
      <c r="F2635" s="1" t="s">
        <v>3711</v>
      </c>
      <c r="G2635" s="1" t="s">
        <v>3712</v>
      </c>
      <c r="H2635" s="1" t="s">
        <v>141</v>
      </c>
      <c r="I2635" s="1" t="s">
        <v>65</v>
      </c>
      <c r="J2635" s="1">
        <v>3</v>
      </c>
      <c r="K2635" s="1" t="s">
        <v>142</v>
      </c>
      <c r="L2635" s="1" t="s">
        <v>153</v>
      </c>
      <c r="M2635" s="1" t="s">
        <v>1256</v>
      </c>
      <c r="N2635" s="1" t="str">
        <f>HYPERLINK("https://klocwork.india.ti.com:443/review/insight-review.html#issuedetails_goto:problemid=129593,project=MCU_PLUS_SDK_AM263X,searchquery=taxonomy:'C and C++' build:Build_Apr_13_2023_11_11_AM grouping:off ","KW Issue Link")</f>
        <v>KW Issue Link</v>
      </c>
      <c r="O2635" s="1" t="s">
        <v>1083</v>
      </c>
    </row>
    <row r="2636" spans="1:15" ht="75" x14ac:dyDescent="0.25">
      <c r="A2636" s="1" t="s">
        <v>1266</v>
      </c>
      <c r="B2636" s="1"/>
      <c r="C2636" s="1" t="s">
        <v>3710</v>
      </c>
      <c r="D2636" s="1">
        <v>129594</v>
      </c>
      <c r="E2636" s="1">
        <v>738</v>
      </c>
      <c r="F2636" s="1" t="s">
        <v>3713</v>
      </c>
      <c r="G2636" s="1" t="s">
        <v>3714</v>
      </c>
      <c r="H2636" s="1" t="s">
        <v>141</v>
      </c>
      <c r="I2636" s="1" t="s">
        <v>65</v>
      </c>
      <c r="J2636" s="1">
        <v>3</v>
      </c>
      <c r="K2636" s="1" t="s">
        <v>142</v>
      </c>
      <c r="L2636" s="1" t="s">
        <v>153</v>
      </c>
      <c r="M2636" s="1" t="s">
        <v>1256</v>
      </c>
      <c r="N2636" s="1" t="str">
        <f>HYPERLINK("https://klocwork.india.ti.com:443/review/insight-review.html#issuedetails_goto:problemid=129594,project=MCU_PLUS_SDK_AM263X,searchquery=taxonomy:'C and C++' build:Build_Apr_13_2023_11_11_AM grouping:off ","KW Issue Link")</f>
        <v>KW Issue Link</v>
      </c>
      <c r="O2636" s="1" t="s">
        <v>1083</v>
      </c>
    </row>
    <row r="2637" spans="1:15" ht="90" x14ac:dyDescent="0.25">
      <c r="A2637" s="1" t="s">
        <v>149</v>
      </c>
      <c r="B2637" s="1"/>
      <c r="C2637" s="1" t="s">
        <v>3710</v>
      </c>
      <c r="D2637" s="1">
        <v>129602</v>
      </c>
      <c r="E2637" s="1">
        <v>438</v>
      </c>
      <c r="F2637" s="1" t="s">
        <v>3715</v>
      </c>
      <c r="G2637" s="1" t="s">
        <v>3712</v>
      </c>
      <c r="H2637" s="1" t="s">
        <v>141</v>
      </c>
      <c r="I2637" s="1" t="s">
        <v>65</v>
      </c>
      <c r="J2637" s="1">
        <v>3</v>
      </c>
      <c r="K2637" s="1" t="s">
        <v>142</v>
      </c>
      <c r="L2637" s="1" t="s">
        <v>153</v>
      </c>
      <c r="M2637" s="1" t="s">
        <v>28</v>
      </c>
      <c r="N2637" s="1" t="str">
        <f>HYPERLINK("https://klocwork.india.ti.com:443/review/insight-review.html#issuedetails_goto:problemid=129602,project=MCU_PLUS_SDK_AM263X,searchquery=taxonomy:'C and C++' build:Build_Apr_13_2023_11_11_AM grouping:off ","KW Issue Link")</f>
        <v>KW Issue Link</v>
      </c>
      <c r="O2637" s="1" t="s">
        <v>1083</v>
      </c>
    </row>
    <row r="2638" spans="1:15" ht="75" x14ac:dyDescent="0.25">
      <c r="A2638" s="1" t="s">
        <v>149</v>
      </c>
      <c r="B2638" s="1"/>
      <c r="C2638" s="1" t="s">
        <v>3710</v>
      </c>
      <c r="D2638" s="1">
        <v>129603</v>
      </c>
      <c r="E2638" s="1">
        <v>975</v>
      </c>
      <c r="F2638" s="1" t="s">
        <v>3582</v>
      </c>
      <c r="G2638" s="1" t="s">
        <v>3716</v>
      </c>
      <c r="H2638" s="1" t="s">
        <v>141</v>
      </c>
      <c r="I2638" s="1" t="s">
        <v>65</v>
      </c>
      <c r="J2638" s="1">
        <v>3</v>
      </c>
      <c r="K2638" s="1" t="s">
        <v>142</v>
      </c>
      <c r="L2638" s="1" t="s">
        <v>153</v>
      </c>
      <c r="M2638" s="1" t="s">
        <v>28</v>
      </c>
      <c r="N2638" s="1" t="str">
        <f>HYPERLINK("https://klocwork.india.ti.com:443/review/insight-review.html#issuedetails_goto:problemid=129603,project=MCU_PLUS_SDK_AM263X,searchquery=taxonomy:'C and C++' build:Build_Apr_13_2023_11_11_AM grouping:off ","KW Issue Link")</f>
        <v>KW Issue Link</v>
      </c>
      <c r="O2638" s="1" t="s">
        <v>1083</v>
      </c>
    </row>
    <row r="2639" spans="1:15" ht="75" x14ac:dyDescent="0.25">
      <c r="A2639" s="1" t="s">
        <v>1257</v>
      </c>
      <c r="B2639" s="1"/>
      <c r="C2639" s="1" t="s">
        <v>3710</v>
      </c>
      <c r="D2639" s="1">
        <v>129609</v>
      </c>
      <c r="E2639" s="1">
        <v>738</v>
      </c>
      <c r="F2639" s="1" t="s">
        <v>3717</v>
      </c>
      <c r="G2639" s="1" t="s">
        <v>3714</v>
      </c>
      <c r="H2639" s="1" t="s">
        <v>141</v>
      </c>
      <c r="I2639" s="1" t="s">
        <v>65</v>
      </c>
      <c r="J2639" s="1">
        <v>3</v>
      </c>
      <c r="K2639" s="1" t="s">
        <v>142</v>
      </c>
      <c r="L2639" s="1" t="s">
        <v>153</v>
      </c>
      <c r="M2639" s="1" t="s">
        <v>1256</v>
      </c>
      <c r="N2639" s="1" t="str">
        <f>HYPERLINK("https://klocwork.india.ti.com:443/review/insight-review.html#issuedetails_goto:problemid=129609,project=MCU_PLUS_SDK_AM263X,searchquery=taxonomy:'C and C++' build:Build_Apr_13_2023_11_11_AM grouping:off ","KW Issue Link")</f>
        <v>KW Issue Link</v>
      </c>
      <c r="O2639" s="1" t="s">
        <v>1083</v>
      </c>
    </row>
    <row r="2640" spans="1:15" ht="75" x14ac:dyDescent="0.25">
      <c r="A2640" s="1" t="s">
        <v>1252</v>
      </c>
      <c r="B2640" s="1"/>
      <c r="C2640" s="1" t="s">
        <v>3710</v>
      </c>
      <c r="D2640" s="1">
        <v>129613</v>
      </c>
      <c r="E2640" s="1">
        <v>964</v>
      </c>
      <c r="F2640" s="1" t="s">
        <v>3718</v>
      </c>
      <c r="G2640" s="1" t="s">
        <v>3716</v>
      </c>
      <c r="H2640" s="1" t="s">
        <v>141</v>
      </c>
      <c r="I2640" s="1" t="s">
        <v>65</v>
      </c>
      <c r="J2640" s="1">
        <v>3</v>
      </c>
      <c r="K2640" s="1" t="s">
        <v>142</v>
      </c>
      <c r="L2640" s="1" t="s">
        <v>153</v>
      </c>
      <c r="M2640" s="1" t="s">
        <v>1256</v>
      </c>
      <c r="N2640" s="1" t="str">
        <f>HYPERLINK("https://klocwork.india.ti.com:443/review/insight-review.html#issuedetails_goto:problemid=129613,project=MCU_PLUS_SDK_AM263X,searchquery=taxonomy:'C and C++' build:Build_Apr_13_2023_11_11_AM grouping:off ","KW Issue Link")</f>
        <v>KW Issue Link</v>
      </c>
      <c r="O2640" s="1" t="s">
        <v>1083</v>
      </c>
    </row>
    <row r="2641" spans="1:15" ht="75" x14ac:dyDescent="0.25">
      <c r="A2641" s="1" t="s">
        <v>1252</v>
      </c>
      <c r="B2641" s="1"/>
      <c r="C2641" s="1" t="s">
        <v>3710</v>
      </c>
      <c r="D2641" s="1">
        <v>129614</v>
      </c>
      <c r="E2641" s="1">
        <v>993</v>
      </c>
      <c r="F2641" s="1" t="s">
        <v>3719</v>
      </c>
      <c r="G2641" s="1" t="s">
        <v>3720</v>
      </c>
      <c r="H2641" s="1" t="s">
        <v>141</v>
      </c>
      <c r="I2641" s="1" t="s">
        <v>65</v>
      </c>
      <c r="J2641" s="1">
        <v>3</v>
      </c>
      <c r="K2641" s="1" t="s">
        <v>142</v>
      </c>
      <c r="L2641" s="1" t="s">
        <v>153</v>
      </c>
      <c r="M2641" s="1" t="s">
        <v>1256</v>
      </c>
      <c r="N2641" s="1" t="str">
        <f>HYPERLINK("https://klocwork.india.ti.com:443/review/insight-review.html#issuedetails_goto:problemid=129614,project=MCU_PLUS_SDK_AM263X,searchquery=taxonomy:'C and C++' build:Build_Apr_13_2023_11_11_AM grouping:off ","KW Issue Link")</f>
        <v>KW Issue Link</v>
      </c>
      <c r="O2641" s="1" t="s">
        <v>1083</v>
      </c>
    </row>
    <row r="2642" spans="1:15" ht="75" x14ac:dyDescent="0.25">
      <c r="A2642" s="1" t="s">
        <v>1252</v>
      </c>
      <c r="B2642" s="1"/>
      <c r="C2642" s="1" t="s">
        <v>3710</v>
      </c>
      <c r="D2642" s="1">
        <v>129615</v>
      </c>
      <c r="E2642" s="1">
        <v>1040</v>
      </c>
      <c r="F2642" s="1" t="s">
        <v>3721</v>
      </c>
      <c r="G2642" s="1" t="s">
        <v>3722</v>
      </c>
      <c r="H2642" s="1" t="s">
        <v>141</v>
      </c>
      <c r="I2642" s="1" t="s">
        <v>65</v>
      </c>
      <c r="J2642" s="1">
        <v>3</v>
      </c>
      <c r="K2642" s="1" t="s">
        <v>142</v>
      </c>
      <c r="L2642" s="1" t="s">
        <v>153</v>
      </c>
      <c r="M2642" s="1" t="s">
        <v>1256</v>
      </c>
      <c r="N2642" s="1" t="str">
        <f>HYPERLINK("https://klocwork.india.ti.com:443/review/insight-review.html#issuedetails_goto:problemid=129615,project=MCU_PLUS_SDK_AM263X,searchquery=taxonomy:'C and C++' build:Build_Apr_13_2023_11_11_AM grouping:off ","KW Issue Link")</f>
        <v>KW Issue Link</v>
      </c>
      <c r="O2642" s="1" t="s">
        <v>1083</v>
      </c>
    </row>
    <row r="2643" spans="1:15" ht="75" x14ac:dyDescent="0.25">
      <c r="A2643" s="1" t="s">
        <v>1252</v>
      </c>
      <c r="B2643" s="1"/>
      <c r="C2643" s="1" t="s">
        <v>3723</v>
      </c>
      <c r="D2643" s="1">
        <v>129790</v>
      </c>
      <c r="E2643" s="1">
        <v>135</v>
      </c>
      <c r="F2643" s="1" t="s">
        <v>3724</v>
      </c>
      <c r="G2643" s="1" t="s">
        <v>3725</v>
      </c>
      <c r="H2643" s="1" t="s">
        <v>141</v>
      </c>
      <c r="I2643" s="1" t="s">
        <v>65</v>
      </c>
      <c r="J2643" s="1">
        <v>3</v>
      </c>
      <c r="K2643" s="1" t="s">
        <v>142</v>
      </c>
      <c r="L2643" s="1" t="s">
        <v>153</v>
      </c>
      <c r="M2643" s="1" t="s">
        <v>1256</v>
      </c>
      <c r="N2643" s="1" t="str">
        <f>HYPERLINK("https://klocwork.india.ti.com:443/review/insight-review.html#issuedetails_goto:problemid=129790,project=MCU_PLUS_SDK_AM263X,searchquery=taxonomy:'C and C++' build:Build_Apr_13_2023_11_11_AM grouping:off ","KW Issue Link")</f>
        <v>KW Issue Link</v>
      </c>
      <c r="O2643" s="1" t="s">
        <v>1083</v>
      </c>
    </row>
    <row r="2644" spans="1:15" ht="75" x14ac:dyDescent="0.25">
      <c r="A2644" s="1" t="s">
        <v>1252</v>
      </c>
      <c r="B2644" s="1"/>
      <c r="C2644" s="1" t="s">
        <v>3723</v>
      </c>
      <c r="D2644" s="1">
        <v>129791</v>
      </c>
      <c r="E2644" s="1">
        <v>144</v>
      </c>
      <c r="F2644" s="1" t="s">
        <v>3726</v>
      </c>
      <c r="G2644" s="1" t="s">
        <v>3727</v>
      </c>
      <c r="H2644" s="1" t="s">
        <v>141</v>
      </c>
      <c r="I2644" s="1" t="s">
        <v>65</v>
      </c>
      <c r="J2644" s="1">
        <v>3</v>
      </c>
      <c r="K2644" s="1" t="s">
        <v>142</v>
      </c>
      <c r="L2644" s="1" t="s">
        <v>153</v>
      </c>
      <c r="M2644" s="1" t="s">
        <v>1256</v>
      </c>
      <c r="N2644" s="1" t="str">
        <f>HYPERLINK("https://klocwork.india.ti.com:443/review/insight-review.html#issuedetails_goto:problemid=129791,project=MCU_PLUS_SDK_AM263X,searchquery=taxonomy:'C and C++' build:Build_Apr_13_2023_11_11_AM grouping:off ","KW Issue Link")</f>
        <v>KW Issue Link</v>
      </c>
      <c r="O2644" s="1" t="s">
        <v>1083</v>
      </c>
    </row>
    <row r="2645" spans="1:15" ht="75" x14ac:dyDescent="0.25">
      <c r="A2645" s="1" t="s">
        <v>1252</v>
      </c>
      <c r="B2645" s="1"/>
      <c r="C2645" s="1" t="s">
        <v>3723</v>
      </c>
      <c r="D2645" s="1">
        <v>129792</v>
      </c>
      <c r="E2645" s="1">
        <v>154</v>
      </c>
      <c r="F2645" s="1" t="s">
        <v>3728</v>
      </c>
      <c r="G2645" s="1" t="s">
        <v>3729</v>
      </c>
      <c r="H2645" s="1" t="s">
        <v>141</v>
      </c>
      <c r="I2645" s="1" t="s">
        <v>65</v>
      </c>
      <c r="J2645" s="1">
        <v>3</v>
      </c>
      <c r="K2645" s="1" t="s">
        <v>142</v>
      </c>
      <c r="L2645" s="1" t="s">
        <v>153</v>
      </c>
      <c r="M2645" s="1" t="s">
        <v>1256</v>
      </c>
      <c r="N2645" s="1" t="str">
        <f>HYPERLINK("https://klocwork.india.ti.com:443/review/insight-review.html#issuedetails_goto:problemid=129792,project=MCU_PLUS_SDK_AM263X,searchquery=taxonomy:'C and C++' build:Build_Apr_13_2023_11_11_AM grouping:off ","KW Issue Link")</f>
        <v>KW Issue Link</v>
      </c>
      <c r="O2645" s="1" t="s">
        <v>1083</v>
      </c>
    </row>
    <row r="2646" spans="1:15" ht="75" x14ac:dyDescent="0.25">
      <c r="A2646" s="1" t="s">
        <v>1252</v>
      </c>
      <c r="B2646" s="1"/>
      <c r="C2646" s="1" t="s">
        <v>3723</v>
      </c>
      <c r="D2646" s="1">
        <v>129793</v>
      </c>
      <c r="E2646" s="1">
        <v>163</v>
      </c>
      <c r="F2646" s="1" t="s">
        <v>3730</v>
      </c>
      <c r="G2646" s="1" t="s">
        <v>3731</v>
      </c>
      <c r="H2646" s="1" t="s">
        <v>141</v>
      </c>
      <c r="I2646" s="1" t="s">
        <v>65</v>
      </c>
      <c r="J2646" s="1">
        <v>3</v>
      </c>
      <c r="K2646" s="1" t="s">
        <v>142</v>
      </c>
      <c r="L2646" s="1" t="s">
        <v>153</v>
      </c>
      <c r="M2646" s="1" t="s">
        <v>1256</v>
      </c>
      <c r="N2646" s="1" t="str">
        <f>HYPERLINK("https://klocwork.india.ti.com:443/review/insight-review.html#issuedetails_goto:problemid=129793,project=MCU_PLUS_SDK_AM263X,searchquery=taxonomy:'C and C++' build:Build_Apr_13_2023_11_11_AM grouping:off ","KW Issue Link")</f>
        <v>KW Issue Link</v>
      </c>
      <c r="O2646" s="1" t="s">
        <v>1083</v>
      </c>
    </row>
    <row r="2647" spans="1:15" ht="75" x14ac:dyDescent="0.25">
      <c r="A2647" s="1" t="s">
        <v>1252</v>
      </c>
      <c r="B2647" s="1"/>
      <c r="C2647" s="1" t="s">
        <v>3723</v>
      </c>
      <c r="D2647" s="1">
        <v>129794</v>
      </c>
      <c r="E2647" s="1">
        <v>173</v>
      </c>
      <c r="F2647" s="1" t="s">
        <v>3732</v>
      </c>
      <c r="G2647" s="1" t="s">
        <v>3733</v>
      </c>
      <c r="H2647" s="1" t="s">
        <v>141</v>
      </c>
      <c r="I2647" s="1" t="s">
        <v>65</v>
      </c>
      <c r="J2647" s="1">
        <v>3</v>
      </c>
      <c r="K2647" s="1" t="s">
        <v>142</v>
      </c>
      <c r="L2647" s="1" t="s">
        <v>153</v>
      </c>
      <c r="M2647" s="1" t="s">
        <v>1256</v>
      </c>
      <c r="N2647" s="1" t="str">
        <f>HYPERLINK("https://klocwork.india.ti.com:443/review/insight-review.html#issuedetails_goto:problemid=129794,project=MCU_PLUS_SDK_AM263X,searchquery=taxonomy:'C and C++' build:Build_Apr_13_2023_11_11_AM grouping:off ","KW Issue Link")</f>
        <v>KW Issue Link</v>
      </c>
      <c r="O2647" s="1" t="s">
        <v>1083</v>
      </c>
    </row>
    <row r="2648" spans="1:15" ht="75" x14ac:dyDescent="0.25">
      <c r="A2648" s="1" t="s">
        <v>1252</v>
      </c>
      <c r="B2648" s="1"/>
      <c r="C2648" s="1" t="s">
        <v>3734</v>
      </c>
      <c r="D2648" s="1">
        <v>129903</v>
      </c>
      <c r="E2648" s="1">
        <v>69</v>
      </c>
      <c r="F2648" s="1" t="s">
        <v>3735</v>
      </c>
      <c r="G2648" s="1" t="s">
        <v>3736</v>
      </c>
      <c r="H2648" s="1" t="s">
        <v>141</v>
      </c>
      <c r="I2648" s="1" t="s">
        <v>65</v>
      </c>
      <c r="J2648" s="1">
        <v>3</v>
      </c>
      <c r="K2648" s="1" t="s">
        <v>142</v>
      </c>
      <c r="L2648" s="1" t="s">
        <v>153</v>
      </c>
      <c r="M2648" s="1" t="s">
        <v>1256</v>
      </c>
      <c r="N2648" s="1" t="str">
        <f>HYPERLINK("https://klocwork.india.ti.com:443/review/insight-review.html#issuedetails_goto:problemid=129903,project=MCU_PLUS_SDK_AM263X,searchquery=taxonomy:'C and C++' build:Build_Apr_13_2023_11_11_AM grouping:off ","KW Issue Link")</f>
        <v>KW Issue Link</v>
      </c>
      <c r="O2648" s="1" t="s">
        <v>1083</v>
      </c>
    </row>
    <row r="2649" spans="1:15" ht="75" x14ac:dyDescent="0.25">
      <c r="A2649" s="1" t="s">
        <v>1266</v>
      </c>
      <c r="B2649" s="1"/>
      <c r="C2649" s="1" t="s">
        <v>3734</v>
      </c>
      <c r="D2649" s="1">
        <v>130024</v>
      </c>
      <c r="E2649" s="1">
        <v>142</v>
      </c>
      <c r="F2649" s="1" t="s">
        <v>3737</v>
      </c>
      <c r="G2649" s="1" t="s">
        <v>3738</v>
      </c>
      <c r="H2649" s="1" t="s">
        <v>141</v>
      </c>
      <c r="I2649" s="1" t="s">
        <v>65</v>
      </c>
      <c r="J2649" s="1">
        <v>3</v>
      </c>
      <c r="K2649" s="1" t="s">
        <v>142</v>
      </c>
      <c r="L2649" s="1" t="s">
        <v>153</v>
      </c>
      <c r="M2649" s="1" t="s">
        <v>1256</v>
      </c>
      <c r="N2649" s="1" t="str">
        <f>HYPERLINK("https://klocwork.india.ti.com:443/review/insight-review.html#issuedetails_goto:problemid=130024,project=MCU_PLUS_SDK_AM263X,searchquery=taxonomy:'C and C++' build:Build_Apr_13_2023_11_11_AM grouping:off ","KW Issue Link")</f>
        <v>KW Issue Link</v>
      </c>
      <c r="O2649" s="1" t="s">
        <v>1083</v>
      </c>
    </row>
    <row r="2650" spans="1:15" ht="75" x14ac:dyDescent="0.25">
      <c r="A2650" s="1" t="s">
        <v>1266</v>
      </c>
      <c r="B2650" s="1"/>
      <c r="C2650" s="1" t="s">
        <v>3734</v>
      </c>
      <c r="D2650" s="1">
        <v>130025</v>
      </c>
      <c r="E2650" s="1">
        <v>374</v>
      </c>
      <c r="F2650" s="1" t="s">
        <v>3739</v>
      </c>
      <c r="G2650" s="1" t="s">
        <v>3740</v>
      </c>
      <c r="H2650" s="1" t="s">
        <v>141</v>
      </c>
      <c r="I2650" s="1" t="s">
        <v>65</v>
      </c>
      <c r="J2650" s="1">
        <v>3</v>
      </c>
      <c r="K2650" s="1" t="s">
        <v>142</v>
      </c>
      <c r="L2650" s="1" t="s">
        <v>153</v>
      </c>
      <c r="M2650" s="1" t="s">
        <v>1256</v>
      </c>
      <c r="N2650" s="1" t="str">
        <f>HYPERLINK("https://klocwork.india.ti.com:443/review/insight-review.html#issuedetails_goto:problemid=130025,project=MCU_PLUS_SDK_AM263X,searchquery=taxonomy:'C and C++' build:Build_Apr_13_2023_11_11_AM grouping:off ","KW Issue Link")</f>
        <v>KW Issue Link</v>
      </c>
      <c r="O2650" s="1" t="s">
        <v>1083</v>
      </c>
    </row>
    <row r="2651" spans="1:15" ht="75" x14ac:dyDescent="0.25">
      <c r="A2651" s="1" t="s">
        <v>1268</v>
      </c>
      <c r="B2651" s="1"/>
      <c r="C2651" s="1" t="s">
        <v>3734</v>
      </c>
      <c r="D2651" s="1">
        <v>130027</v>
      </c>
      <c r="E2651" s="1">
        <v>142</v>
      </c>
      <c r="F2651" s="1" t="s">
        <v>3741</v>
      </c>
      <c r="G2651" s="1" t="s">
        <v>3738</v>
      </c>
      <c r="H2651" s="1" t="s">
        <v>141</v>
      </c>
      <c r="I2651" s="1" t="s">
        <v>65</v>
      </c>
      <c r="J2651" s="1">
        <v>3</v>
      </c>
      <c r="K2651" s="1" t="s">
        <v>142</v>
      </c>
      <c r="L2651" s="1" t="s">
        <v>153</v>
      </c>
      <c r="M2651" s="1" t="s">
        <v>1256</v>
      </c>
      <c r="N2651" s="1" t="str">
        <f>HYPERLINK("https://klocwork.india.ti.com:443/review/insight-review.html#issuedetails_goto:problemid=130027,project=MCU_PLUS_SDK_AM263X,searchquery=taxonomy:'C and C++' build:Build_Apr_13_2023_11_11_AM grouping:off ","KW Issue Link")</f>
        <v>KW Issue Link</v>
      </c>
      <c r="O2651" s="1" t="s">
        <v>1083</v>
      </c>
    </row>
    <row r="2652" spans="1:15" ht="105" x14ac:dyDescent="0.25">
      <c r="A2652" s="1" t="s">
        <v>149</v>
      </c>
      <c r="B2652" s="1"/>
      <c r="C2652" s="1" t="s">
        <v>3734</v>
      </c>
      <c r="D2652" s="1">
        <v>130086</v>
      </c>
      <c r="E2652" s="1">
        <v>206</v>
      </c>
      <c r="F2652" s="1" t="s">
        <v>3742</v>
      </c>
      <c r="G2652" s="1" t="s">
        <v>3738</v>
      </c>
      <c r="H2652" s="1" t="s">
        <v>141</v>
      </c>
      <c r="I2652" s="1" t="s">
        <v>65</v>
      </c>
      <c r="J2652" s="1">
        <v>3</v>
      </c>
      <c r="K2652" s="1" t="s">
        <v>142</v>
      </c>
      <c r="L2652" s="1" t="s">
        <v>153</v>
      </c>
      <c r="M2652" s="1" t="s">
        <v>28</v>
      </c>
      <c r="N2652" s="1" t="str">
        <f>HYPERLINK("https://klocwork.india.ti.com:443/review/insight-review.html#issuedetails_goto:problemid=130086,project=MCU_PLUS_SDK_AM263X,searchquery=taxonomy:'C and C++' build:Build_Apr_13_2023_11_11_AM grouping:off ","KW Issue Link")</f>
        <v>KW Issue Link</v>
      </c>
      <c r="O2652" s="1" t="s">
        <v>1083</v>
      </c>
    </row>
    <row r="2653" spans="1:15" ht="105" x14ac:dyDescent="0.25">
      <c r="A2653" s="1" t="s">
        <v>149</v>
      </c>
      <c r="B2653" s="1"/>
      <c r="C2653" s="1" t="s">
        <v>3734</v>
      </c>
      <c r="D2653" s="1">
        <v>130087</v>
      </c>
      <c r="E2653" s="1">
        <v>232</v>
      </c>
      <c r="F2653" s="1" t="s">
        <v>3742</v>
      </c>
      <c r="G2653" s="1" t="s">
        <v>3738</v>
      </c>
      <c r="H2653" s="1" t="s">
        <v>141</v>
      </c>
      <c r="I2653" s="1" t="s">
        <v>65</v>
      </c>
      <c r="J2653" s="1">
        <v>3</v>
      </c>
      <c r="K2653" s="1" t="s">
        <v>142</v>
      </c>
      <c r="L2653" s="1" t="s">
        <v>153</v>
      </c>
      <c r="M2653" s="1" t="s">
        <v>28</v>
      </c>
      <c r="N2653" s="1" t="str">
        <f>HYPERLINK("https://klocwork.india.ti.com:443/review/insight-review.html#issuedetails_goto:problemid=130087,project=MCU_PLUS_SDK_AM263X,searchquery=taxonomy:'C and C++' build:Build_Apr_13_2023_11_11_AM grouping:off ","KW Issue Link")</f>
        <v>KW Issue Link</v>
      </c>
      <c r="O2653" s="1" t="s">
        <v>1083</v>
      </c>
    </row>
    <row r="2654" spans="1:15" ht="105" x14ac:dyDescent="0.25">
      <c r="A2654" s="1" t="s">
        <v>149</v>
      </c>
      <c r="B2654" s="1"/>
      <c r="C2654" s="1" t="s">
        <v>3734</v>
      </c>
      <c r="D2654" s="1">
        <v>130088</v>
      </c>
      <c r="E2654" s="1">
        <v>281</v>
      </c>
      <c r="F2654" s="1" t="s">
        <v>3743</v>
      </c>
      <c r="G2654" s="1" t="s">
        <v>3744</v>
      </c>
      <c r="H2654" s="1" t="s">
        <v>141</v>
      </c>
      <c r="I2654" s="1" t="s">
        <v>65</v>
      </c>
      <c r="J2654" s="1">
        <v>3</v>
      </c>
      <c r="K2654" s="1" t="s">
        <v>142</v>
      </c>
      <c r="L2654" s="1" t="s">
        <v>153</v>
      </c>
      <c r="M2654" s="1" t="s">
        <v>28</v>
      </c>
      <c r="N2654" s="1" t="str">
        <f>HYPERLINK("https://klocwork.india.ti.com:443/review/insight-review.html#issuedetails_goto:problemid=130088,project=MCU_PLUS_SDK_AM263X,searchquery=taxonomy:'C and C++' build:Build_Apr_13_2023_11_11_AM grouping:off ","KW Issue Link")</f>
        <v>KW Issue Link</v>
      </c>
      <c r="O2654" s="1" t="s">
        <v>1083</v>
      </c>
    </row>
    <row r="2655" spans="1:15" ht="105" x14ac:dyDescent="0.25">
      <c r="A2655" s="1" t="s">
        <v>149</v>
      </c>
      <c r="B2655" s="1"/>
      <c r="C2655" s="1" t="s">
        <v>3734</v>
      </c>
      <c r="D2655" s="1">
        <v>130089</v>
      </c>
      <c r="E2655" s="1">
        <v>428</v>
      </c>
      <c r="F2655" s="1" t="s">
        <v>3743</v>
      </c>
      <c r="G2655" s="1" t="s">
        <v>3740</v>
      </c>
      <c r="H2655" s="1" t="s">
        <v>141</v>
      </c>
      <c r="I2655" s="1" t="s">
        <v>65</v>
      </c>
      <c r="J2655" s="1">
        <v>3</v>
      </c>
      <c r="K2655" s="1" t="s">
        <v>142</v>
      </c>
      <c r="L2655" s="1" t="s">
        <v>153</v>
      </c>
      <c r="M2655" s="1" t="s">
        <v>28</v>
      </c>
      <c r="N2655" s="1" t="str">
        <f>HYPERLINK("https://klocwork.india.ti.com:443/review/insight-review.html#issuedetails_goto:problemid=130089,project=MCU_PLUS_SDK_AM263X,searchquery=taxonomy:'C and C++' build:Build_Apr_13_2023_11_11_AM grouping:off ","KW Issue Link")</f>
        <v>KW Issue Link</v>
      </c>
      <c r="O2655" s="1" t="s">
        <v>1083</v>
      </c>
    </row>
    <row r="2656" spans="1:15" ht="75" x14ac:dyDescent="0.25">
      <c r="A2656" s="1" t="s">
        <v>155</v>
      </c>
      <c r="B2656" s="1"/>
      <c r="C2656" s="1" t="s">
        <v>3734</v>
      </c>
      <c r="D2656" s="1">
        <v>130090</v>
      </c>
      <c r="E2656" s="1">
        <v>208</v>
      </c>
      <c r="F2656" s="1" t="s">
        <v>156</v>
      </c>
      <c r="G2656" s="1" t="s">
        <v>3738</v>
      </c>
      <c r="H2656" s="1" t="s">
        <v>141</v>
      </c>
      <c r="I2656" s="1" t="s">
        <v>65</v>
      </c>
      <c r="J2656" s="1">
        <v>3</v>
      </c>
      <c r="K2656" s="1" t="s">
        <v>142</v>
      </c>
      <c r="L2656" s="1" t="s">
        <v>153</v>
      </c>
      <c r="M2656" s="1" t="s">
        <v>28</v>
      </c>
      <c r="N2656" s="1" t="str">
        <f>HYPERLINK("https://klocwork.india.ti.com:443/review/insight-review.html#issuedetails_goto:problemid=130090,project=MCU_PLUS_SDK_AM263X,searchquery=taxonomy:'C and C++' build:Build_Apr_13_2023_11_11_AM grouping:off ","KW Issue Link")</f>
        <v>KW Issue Link</v>
      </c>
      <c r="O2656" s="1" t="s">
        <v>1083</v>
      </c>
    </row>
    <row r="2657" spans="1:15" ht="75" x14ac:dyDescent="0.25">
      <c r="A2657" s="1" t="s">
        <v>155</v>
      </c>
      <c r="B2657" s="1"/>
      <c r="C2657" s="1" t="s">
        <v>3734</v>
      </c>
      <c r="D2657" s="1">
        <v>130091</v>
      </c>
      <c r="E2657" s="1">
        <v>234</v>
      </c>
      <c r="F2657" s="1" t="s">
        <v>156</v>
      </c>
      <c r="G2657" s="1" t="s">
        <v>3738</v>
      </c>
      <c r="H2657" s="1" t="s">
        <v>141</v>
      </c>
      <c r="I2657" s="1" t="s">
        <v>65</v>
      </c>
      <c r="J2657" s="1">
        <v>3</v>
      </c>
      <c r="K2657" s="1" t="s">
        <v>142</v>
      </c>
      <c r="L2657" s="1" t="s">
        <v>153</v>
      </c>
      <c r="M2657" s="1" t="s">
        <v>28</v>
      </c>
      <c r="N2657" s="1" t="str">
        <f>HYPERLINK("https://klocwork.india.ti.com:443/review/insight-review.html#issuedetails_goto:problemid=130091,project=MCU_PLUS_SDK_AM263X,searchquery=taxonomy:'C and C++' build:Build_Apr_13_2023_11_11_AM grouping:off ","KW Issue Link")</f>
        <v>KW Issue Link</v>
      </c>
      <c r="O2657" s="1" t="s">
        <v>1083</v>
      </c>
    </row>
    <row r="2658" spans="1:15" ht="75" x14ac:dyDescent="0.25">
      <c r="A2658" s="1" t="s">
        <v>1121</v>
      </c>
      <c r="B2658" s="1"/>
      <c r="C2658" s="1" t="s">
        <v>3745</v>
      </c>
      <c r="D2658" s="1">
        <v>130212</v>
      </c>
      <c r="E2658" s="1">
        <v>92</v>
      </c>
      <c r="F2658" s="1" t="s">
        <v>3746</v>
      </c>
      <c r="G2658" s="1" t="s">
        <v>3747</v>
      </c>
      <c r="H2658" s="1" t="s">
        <v>141</v>
      </c>
      <c r="I2658" s="1" t="s">
        <v>63</v>
      </c>
      <c r="J2658" s="1">
        <v>1</v>
      </c>
      <c r="K2658" s="1" t="s">
        <v>142</v>
      </c>
      <c r="L2658" s="1" t="s">
        <v>177</v>
      </c>
      <c r="M2658" s="1" t="s">
        <v>28</v>
      </c>
      <c r="N2658" s="1" t="str">
        <f>HYPERLINK("https://klocwork.india.ti.com:443/review/insight-review.html#issuedetails_goto:problemid=130212,project=MCU_PLUS_SDK_AM263X,searchquery=taxonomy:'C and C++' build:Build_Apr_13_2023_11_11_AM grouping:off ","KW Issue Link")</f>
        <v>KW Issue Link</v>
      </c>
      <c r="O2658" s="1" t="s">
        <v>1083</v>
      </c>
    </row>
    <row r="2659" spans="1:15" ht="75" x14ac:dyDescent="0.25">
      <c r="A2659" s="1" t="s">
        <v>1252</v>
      </c>
      <c r="B2659" s="1"/>
      <c r="C2659" s="1" t="s">
        <v>3745</v>
      </c>
      <c r="D2659" s="1">
        <v>130230</v>
      </c>
      <c r="E2659" s="1">
        <v>118</v>
      </c>
      <c r="F2659" s="1" t="s">
        <v>3748</v>
      </c>
      <c r="G2659" s="1" t="s">
        <v>3749</v>
      </c>
      <c r="H2659" s="1" t="s">
        <v>141</v>
      </c>
      <c r="I2659" s="1" t="s">
        <v>65</v>
      </c>
      <c r="J2659" s="1">
        <v>3</v>
      </c>
      <c r="K2659" s="1" t="s">
        <v>142</v>
      </c>
      <c r="L2659" s="1" t="s">
        <v>153</v>
      </c>
      <c r="M2659" s="1" t="s">
        <v>1256</v>
      </c>
      <c r="N2659" s="1" t="str">
        <f>HYPERLINK("https://klocwork.india.ti.com:443/review/insight-review.html#issuedetails_goto:problemid=130230,project=MCU_PLUS_SDK_AM263X,searchquery=taxonomy:'C and C++' build:Build_Apr_13_2023_11_11_AM grouping:off ","KW Issue Link")</f>
        <v>KW Issue Link</v>
      </c>
      <c r="O2659" s="1" t="s">
        <v>1083</v>
      </c>
    </row>
    <row r="2660" spans="1:15" ht="75" x14ac:dyDescent="0.25">
      <c r="A2660" s="1" t="s">
        <v>1252</v>
      </c>
      <c r="B2660" s="1"/>
      <c r="C2660" s="1" t="s">
        <v>3745</v>
      </c>
      <c r="D2660" s="1">
        <v>130231</v>
      </c>
      <c r="E2660" s="1">
        <v>141</v>
      </c>
      <c r="F2660" s="1" t="s">
        <v>3750</v>
      </c>
      <c r="G2660" s="1" t="s">
        <v>3751</v>
      </c>
      <c r="H2660" s="1" t="s">
        <v>141</v>
      </c>
      <c r="I2660" s="1" t="s">
        <v>65</v>
      </c>
      <c r="J2660" s="1">
        <v>3</v>
      </c>
      <c r="K2660" s="1" t="s">
        <v>142</v>
      </c>
      <c r="L2660" s="1" t="s">
        <v>153</v>
      </c>
      <c r="M2660" s="1" t="s">
        <v>1256</v>
      </c>
      <c r="N2660" s="1" t="str">
        <f>HYPERLINK("https://klocwork.india.ti.com:443/review/insight-review.html#issuedetails_goto:problemid=130231,project=MCU_PLUS_SDK_AM263X,searchquery=taxonomy:'C and C++' build:Build_Apr_13_2023_11_11_AM grouping:off ","KW Issue Link")</f>
        <v>KW Issue Link</v>
      </c>
      <c r="O2660" s="1" t="s">
        <v>1083</v>
      </c>
    </row>
    <row r="2661" spans="1:15" ht="75" x14ac:dyDescent="0.25">
      <c r="A2661" s="1" t="s">
        <v>1252</v>
      </c>
      <c r="B2661" s="1"/>
      <c r="C2661" s="1" t="s">
        <v>3745</v>
      </c>
      <c r="D2661" s="1">
        <v>130232</v>
      </c>
      <c r="E2661" s="1">
        <v>196</v>
      </c>
      <c r="F2661" s="1" t="s">
        <v>3752</v>
      </c>
      <c r="G2661" s="1" t="s">
        <v>3753</v>
      </c>
      <c r="H2661" s="1" t="s">
        <v>141</v>
      </c>
      <c r="I2661" s="1" t="s">
        <v>65</v>
      </c>
      <c r="J2661" s="1">
        <v>3</v>
      </c>
      <c r="K2661" s="1" t="s">
        <v>142</v>
      </c>
      <c r="L2661" s="1" t="s">
        <v>153</v>
      </c>
      <c r="M2661" s="1" t="s">
        <v>1256</v>
      </c>
      <c r="N2661" s="1" t="str">
        <f>HYPERLINK("https://klocwork.india.ti.com:443/review/insight-review.html#issuedetails_goto:problemid=130232,project=MCU_PLUS_SDK_AM263X,searchquery=taxonomy:'C and C++' build:Build_Apr_13_2023_11_11_AM grouping:off ","KW Issue Link")</f>
        <v>KW Issue Link</v>
      </c>
      <c r="O2661" s="1" t="s">
        <v>1083</v>
      </c>
    </row>
    <row r="2662" spans="1:15" ht="75" x14ac:dyDescent="0.25">
      <c r="A2662" s="1" t="s">
        <v>1252</v>
      </c>
      <c r="B2662" s="1"/>
      <c r="C2662" s="1" t="s">
        <v>3745</v>
      </c>
      <c r="D2662" s="1">
        <v>130233</v>
      </c>
      <c r="E2662" s="1">
        <v>214</v>
      </c>
      <c r="F2662" s="1" t="s">
        <v>3754</v>
      </c>
      <c r="G2662" s="1" t="s">
        <v>3755</v>
      </c>
      <c r="H2662" s="1" t="s">
        <v>141</v>
      </c>
      <c r="I2662" s="1" t="s">
        <v>65</v>
      </c>
      <c r="J2662" s="1">
        <v>3</v>
      </c>
      <c r="K2662" s="1" t="s">
        <v>142</v>
      </c>
      <c r="L2662" s="1" t="s">
        <v>153</v>
      </c>
      <c r="M2662" s="1" t="s">
        <v>1256</v>
      </c>
      <c r="N2662" s="1" t="str">
        <f>HYPERLINK("https://klocwork.india.ti.com:443/review/insight-review.html#issuedetails_goto:problemid=130233,project=MCU_PLUS_SDK_AM263X,searchquery=taxonomy:'C and C++' build:Build_Apr_13_2023_11_11_AM grouping:off ","KW Issue Link")</f>
        <v>KW Issue Link</v>
      </c>
      <c r="O2662" s="1" t="s">
        <v>1083</v>
      </c>
    </row>
    <row r="2663" spans="1:15" ht="75" x14ac:dyDescent="0.25">
      <c r="A2663" s="1" t="s">
        <v>1252</v>
      </c>
      <c r="B2663" s="1"/>
      <c r="C2663" s="1" t="s">
        <v>3745</v>
      </c>
      <c r="D2663" s="1">
        <v>130234</v>
      </c>
      <c r="E2663" s="1">
        <v>278</v>
      </c>
      <c r="F2663" s="1" t="s">
        <v>3756</v>
      </c>
      <c r="G2663" s="1" t="s">
        <v>3757</v>
      </c>
      <c r="H2663" s="1" t="s">
        <v>141</v>
      </c>
      <c r="I2663" s="1" t="s">
        <v>65</v>
      </c>
      <c r="J2663" s="1">
        <v>3</v>
      </c>
      <c r="K2663" s="1" t="s">
        <v>142</v>
      </c>
      <c r="L2663" s="1" t="s">
        <v>153</v>
      </c>
      <c r="M2663" s="1" t="s">
        <v>1256</v>
      </c>
      <c r="N2663" s="1" t="str">
        <f>HYPERLINK("https://klocwork.india.ti.com:443/review/insight-review.html#issuedetails_goto:problemid=130234,project=MCU_PLUS_SDK_AM263X,searchquery=taxonomy:'C and C++' build:Build_Apr_13_2023_11_11_AM grouping:off ","KW Issue Link")</f>
        <v>KW Issue Link</v>
      </c>
      <c r="O2663" s="1" t="s">
        <v>1083</v>
      </c>
    </row>
    <row r="2664" spans="1:15" ht="75" x14ac:dyDescent="0.25">
      <c r="A2664" s="1" t="s">
        <v>1252</v>
      </c>
      <c r="B2664" s="1"/>
      <c r="C2664" s="1" t="s">
        <v>3745</v>
      </c>
      <c r="D2664" s="1">
        <v>130235</v>
      </c>
      <c r="E2664" s="1">
        <v>341</v>
      </c>
      <c r="F2664" s="1" t="s">
        <v>3758</v>
      </c>
      <c r="G2664" s="1" t="s">
        <v>3759</v>
      </c>
      <c r="H2664" s="1" t="s">
        <v>141</v>
      </c>
      <c r="I2664" s="1" t="s">
        <v>65</v>
      </c>
      <c r="J2664" s="1">
        <v>3</v>
      </c>
      <c r="K2664" s="1" t="s">
        <v>142</v>
      </c>
      <c r="L2664" s="1" t="s">
        <v>153</v>
      </c>
      <c r="M2664" s="1" t="s">
        <v>1256</v>
      </c>
      <c r="N2664" s="1" t="str">
        <f>HYPERLINK("https://klocwork.india.ti.com:443/review/insight-review.html#issuedetails_goto:problemid=130235,project=MCU_PLUS_SDK_AM263X,searchquery=taxonomy:'C and C++' build:Build_Apr_13_2023_11_11_AM grouping:off ","KW Issue Link")</f>
        <v>KW Issue Link</v>
      </c>
      <c r="O2664" s="1" t="s">
        <v>1083</v>
      </c>
    </row>
    <row r="2665" spans="1:15" ht="75" x14ac:dyDescent="0.25">
      <c r="A2665" s="1" t="s">
        <v>1257</v>
      </c>
      <c r="B2665" s="1"/>
      <c r="C2665" s="1" t="s">
        <v>3745</v>
      </c>
      <c r="D2665" s="1">
        <v>130292</v>
      </c>
      <c r="E2665" s="1">
        <v>214</v>
      </c>
      <c r="F2665" s="1" t="s">
        <v>3760</v>
      </c>
      <c r="G2665" s="1" t="s">
        <v>3755</v>
      </c>
      <c r="H2665" s="1" t="s">
        <v>141</v>
      </c>
      <c r="I2665" s="1" t="s">
        <v>65</v>
      </c>
      <c r="J2665" s="1">
        <v>3</v>
      </c>
      <c r="K2665" s="1" t="s">
        <v>142</v>
      </c>
      <c r="L2665" s="1" t="s">
        <v>153</v>
      </c>
      <c r="M2665" s="1" t="s">
        <v>1256</v>
      </c>
      <c r="N2665" s="1" t="str">
        <f>HYPERLINK("https://klocwork.india.ti.com:443/review/insight-review.html#issuedetails_goto:problemid=130292,project=MCU_PLUS_SDK_AM263X,searchquery=taxonomy:'C and C++' build:Build_Apr_13_2023_11_11_AM grouping:off ","KW Issue Link")</f>
        <v>KW Issue Link</v>
      </c>
      <c r="O2665" s="1" t="s">
        <v>1083</v>
      </c>
    </row>
    <row r="2666" spans="1:15" ht="75" x14ac:dyDescent="0.25">
      <c r="A2666" s="1" t="s">
        <v>1266</v>
      </c>
      <c r="B2666" s="1"/>
      <c r="C2666" s="1" t="s">
        <v>3745</v>
      </c>
      <c r="D2666" s="1">
        <v>130293</v>
      </c>
      <c r="E2666" s="1">
        <v>214</v>
      </c>
      <c r="F2666" s="1" t="s">
        <v>3761</v>
      </c>
      <c r="G2666" s="1" t="s">
        <v>3755</v>
      </c>
      <c r="H2666" s="1" t="s">
        <v>141</v>
      </c>
      <c r="I2666" s="1" t="s">
        <v>65</v>
      </c>
      <c r="J2666" s="1">
        <v>3</v>
      </c>
      <c r="K2666" s="1" t="s">
        <v>142</v>
      </c>
      <c r="L2666" s="1" t="s">
        <v>153</v>
      </c>
      <c r="M2666" s="1" t="s">
        <v>1256</v>
      </c>
      <c r="N2666" s="1" t="str">
        <f>HYPERLINK("https://klocwork.india.ti.com:443/review/insight-review.html#issuedetails_goto:problemid=130293,project=MCU_PLUS_SDK_AM263X,searchquery=taxonomy:'C and C++' build:Build_Apr_13_2023_11_11_AM grouping:off ","KW Issue Link")</f>
        <v>KW Issue Link</v>
      </c>
      <c r="O2666" s="1" t="s">
        <v>1083</v>
      </c>
    </row>
    <row r="2667" spans="1:15" ht="75" x14ac:dyDescent="0.25">
      <c r="A2667" s="1" t="s">
        <v>1268</v>
      </c>
      <c r="B2667" s="1"/>
      <c r="C2667" s="1" t="s">
        <v>3745</v>
      </c>
      <c r="D2667" s="1">
        <v>130294</v>
      </c>
      <c r="E2667" s="1">
        <v>214</v>
      </c>
      <c r="F2667" s="1" t="s">
        <v>3762</v>
      </c>
      <c r="G2667" s="1" t="s">
        <v>3755</v>
      </c>
      <c r="H2667" s="1" t="s">
        <v>141</v>
      </c>
      <c r="I2667" s="1" t="s">
        <v>65</v>
      </c>
      <c r="J2667" s="1">
        <v>3</v>
      </c>
      <c r="K2667" s="1" t="s">
        <v>142</v>
      </c>
      <c r="L2667" s="1" t="s">
        <v>153</v>
      </c>
      <c r="M2667" s="1" t="s">
        <v>1256</v>
      </c>
      <c r="N2667" s="1" t="str">
        <f>HYPERLINK("https://klocwork.india.ti.com:443/review/insight-review.html#issuedetails_goto:problemid=130294,project=MCU_PLUS_SDK_AM263X,searchquery=taxonomy:'C and C++' build:Build_Apr_13_2023_11_11_AM grouping:off ","KW Issue Link")</f>
        <v>KW Issue Link</v>
      </c>
      <c r="O2667" s="1" t="s">
        <v>1083</v>
      </c>
    </row>
    <row r="2668" spans="1:15" ht="75" x14ac:dyDescent="0.25">
      <c r="A2668" s="1" t="s">
        <v>157</v>
      </c>
      <c r="B2668" s="1"/>
      <c r="C2668" s="1" t="s">
        <v>3745</v>
      </c>
      <c r="D2668" s="1">
        <v>130307</v>
      </c>
      <c r="E2668" s="1">
        <v>241</v>
      </c>
      <c r="F2668" s="1" t="s">
        <v>3763</v>
      </c>
      <c r="G2668" s="1" t="s">
        <v>3755</v>
      </c>
      <c r="H2668" s="1" t="s">
        <v>141</v>
      </c>
      <c r="I2668" s="1" t="s">
        <v>65</v>
      </c>
      <c r="J2668" s="1">
        <v>3</v>
      </c>
      <c r="K2668" s="1" t="s">
        <v>142</v>
      </c>
      <c r="L2668" s="1" t="s">
        <v>153</v>
      </c>
      <c r="M2668" s="1" t="s">
        <v>28</v>
      </c>
      <c r="N2668" s="1" t="str">
        <f>HYPERLINK("https://klocwork.india.ti.com:443/review/insight-review.html#issuedetails_goto:problemid=130307,project=MCU_PLUS_SDK_AM263X,searchquery=taxonomy:'C and C++' build:Build_Apr_13_2023_11_11_AM grouping:off ","KW Issue Link")</f>
        <v>KW Issue Link</v>
      </c>
      <c r="O2668" s="1" t="s">
        <v>1083</v>
      </c>
    </row>
    <row r="2669" spans="1:15" ht="75" x14ac:dyDescent="0.25">
      <c r="A2669" s="1" t="s">
        <v>1252</v>
      </c>
      <c r="B2669" s="1"/>
      <c r="C2669" s="1" t="s">
        <v>3764</v>
      </c>
      <c r="D2669" s="1">
        <v>130595</v>
      </c>
      <c r="E2669" s="1">
        <v>152</v>
      </c>
      <c r="F2669" s="1" t="s">
        <v>3765</v>
      </c>
      <c r="G2669" s="1" t="s">
        <v>3766</v>
      </c>
      <c r="H2669" s="1" t="s">
        <v>141</v>
      </c>
      <c r="I2669" s="1" t="s">
        <v>65</v>
      </c>
      <c r="J2669" s="1">
        <v>3</v>
      </c>
      <c r="K2669" s="1" t="s">
        <v>142</v>
      </c>
      <c r="L2669" s="1" t="s">
        <v>153</v>
      </c>
      <c r="M2669" s="1" t="s">
        <v>1256</v>
      </c>
      <c r="N2669" s="1" t="str">
        <f>HYPERLINK("https://klocwork.india.ti.com:443/review/insight-review.html#issuedetails_goto:problemid=130595,project=MCU_PLUS_SDK_AM263X,searchquery=taxonomy:'C and C++' build:Build_Apr_13_2023_11_11_AM grouping:off ","KW Issue Link")</f>
        <v>KW Issue Link</v>
      </c>
      <c r="O2669" s="1" t="s">
        <v>1083</v>
      </c>
    </row>
    <row r="2670" spans="1:15" ht="75" x14ac:dyDescent="0.25">
      <c r="A2670" s="1" t="s">
        <v>1252</v>
      </c>
      <c r="B2670" s="1"/>
      <c r="C2670" s="1" t="s">
        <v>3764</v>
      </c>
      <c r="D2670" s="1">
        <v>130596</v>
      </c>
      <c r="E2670" s="1">
        <v>264</v>
      </c>
      <c r="F2670" s="1" t="s">
        <v>3767</v>
      </c>
      <c r="G2670" s="1" t="s">
        <v>3768</v>
      </c>
      <c r="H2670" s="1" t="s">
        <v>141</v>
      </c>
      <c r="I2670" s="1" t="s">
        <v>65</v>
      </c>
      <c r="J2670" s="1">
        <v>3</v>
      </c>
      <c r="K2670" s="1" t="s">
        <v>142</v>
      </c>
      <c r="L2670" s="1" t="s">
        <v>153</v>
      </c>
      <c r="M2670" s="1" t="s">
        <v>1256</v>
      </c>
      <c r="N2670" s="1" t="str">
        <f>HYPERLINK("https://klocwork.india.ti.com:443/review/insight-review.html#issuedetails_goto:problemid=130596,project=MCU_PLUS_SDK_AM263X,searchquery=taxonomy:'C and C++' build:Build_Apr_13_2023_11_11_AM grouping:off ","KW Issue Link")</f>
        <v>KW Issue Link</v>
      </c>
      <c r="O2670" s="1" t="s">
        <v>1083</v>
      </c>
    </row>
    <row r="2671" spans="1:15" ht="75" x14ac:dyDescent="0.25">
      <c r="A2671" s="1" t="s">
        <v>1252</v>
      </c>
      <c r="B2671" s="1"/>
      <c r="C2671" s="1" t="s">
        <v>3764</v>
      </c>
      <c r="D2671" s="1">
        <v>130597</v>
      </c>
      <c r="E2671" s="1">
        <v>376</v>
      </c>
      <c r="F2671" s="1" t="s">
        <v>3769</v>
      </c>
      <c r="G2671" s="1" t="s">
        <v>3770</v>
      </c>
      <c r="H2671" s="1" t="s">
        <v>141</v>
      </c>
      <c r="I2671" s="1" t="s">
        <v>65</v>
      </c>
      <c r="J2671" s="1">
        <v>3</v>
      </c>
      <c r="K2671" s="1" t="s">
        <v>142</v>
      </c>
      <c r="L2671" s="1" t="s">
        <v>153</v>
      </c>
      <c r="M2671" s="1" t="s">
        <v>1256</v>
      </c>
      <c r="N2671" s="1" t="str">
        <f>HYPERLINK("https://klocwork.india.ti.com:443/review/insight-review.html#issuedetails_goto:problemid=130597,project=MCU_PLUS_SDK_AM263X,searchquery=taxonomy:'C and C++' build:Build_Apr_13_2023_11_11_AM grouping:off ","KW Issue Link")</f>
        <v>KW Issue Link</v>
      </c>
      <c r="O2671" s="1" t="s">
        <v>1083</v>
      </c>
    </row>
    <row r="2672" spans="1:15" ht="75" x14ac:dyDescent="0.25">
      <c r="A2672" s="1" t="s">
        <v>1257</v>
      </c>
      <c r="B2672" s="1"/>
      <c r="C2672" s="1" t="s">
        <v>3764</v>
      </c>
      <c r="D2672" s="1">
        <v>130598</v>
      </c>
      <c r="E2672" s="1">
        <v>152</v>
      </c>
      <c r="F2672" s="1" t="s">
        <v>3771</v>
      </c>
      <c r="G2672" s="1" t="s">
        <v>3766</v>
      </c>
      <c r="H2672" s="1" t="s">
        <v>141</v>
      </c>
      <c r="I2672" s="1" t="s">
        <v>65</v>
      </c>
      <c r="J2672" s="1">
        <v>3</v>
      </c>
      <c r="K2672" s="1" t="s">
        <v>142</v>
      </c>
      <c r="L2672" s="1" t="s">
        <v>153</v>
      </c>
      <c r="M2672" s="1" t="s">
        <v>1256</v>
      </c>
      <c r="N2672" s="1" t="str">
        <f>HYPERLINK("https://klocwork.india.ti.com:443/review/insight-review.html#issuedetails_goto:problemid=130598,project=MCU_PLUS_SDK_AM263X,searchquery=taxonomy:'C and C++' build:Build_Apr_13_2023_11_11_AM grouping:off ","KW Issue Link")</f>
        <v>KW Issue Link</v>
      </c>
      <c r="O2672" s="1" t="s">
        <v>1083</v>
      </c>
    </row>
    <row r="2673" spans="1:15" ht="75" x14ac:dyDescent="0.25">
      <c r="A2673" s="1" t="s">
        <v>1257</v>
      </c>
      <c r="B2673" s="1"/>
      <c r="C2673" s="1" t="s">
        <v>3764</v>
      </c>
      <c r="D2673" s="1">
        <v>130599</v>
      </c>
      <c r="E2673" s="1">
        <v>264</v>
      </c>
      <c r="F2673" s="1" t="s">
        <v>3772</v>
      </c>
      <c r="G2673" s="1" t="s">
        <v>3768</v>
      </c>
      <c r="H2673" s="1" t="s">
        <v>141</v>
      </c>
      <c r="I2673" s="1" t="s">
        <v>65</v>
      </c>
      <c r="J2673" s="1">
        <v>3</v>
      </c>
      <c r="K2673" s="1" t="s">
        <v>142</v>
      </c>
      <c r="L2673" s="1" t="s">
        <v>153</v>
      </c>
      <c r="M2673" s="1" t="s">
        <v>1256</v>
      </c>
      <c r="N2673" s="1" t="str">
        <f>HYPERLINK("https://klocwork.india.ti.com:443/review/insight-review.html#issuedetails_goto:problemid=130599,project=MCU_PLUS_SDK_AM263X,searchquery=taxonomy:'C and C++' build:Build_Apr_13_2023_11_11_AM grouping:off ","KW Issue Link")</f>
        <v>KW Issue Link</v>
      </c>
      <c r="O2673" s="1" t="s">
        <v>1083</v>
      </c>
    </row>
    <row r="2674" spans="1:15" ht="75" x14ac:dyDescent="0.25">
      <c r="A2674" s="1" t="s">
        <v>1257</v>
      </c>
      <c r="B2674" s="1"/>
      <c r="C2674" s="1" t="s">
        <v>3764</v>
      </c>
      <c r="D2674" s="1">
        <v>130600</v>
      </c>
      <c r="E2674" s="1">
        <v>314</v>
      </c>
      <c r="F2674" s="1" t="s">
        <v>3773</v>
      </c>
      <c r="G2674" s="1" t="s">
        <v>3774</v>
      </c>
      <c r="H2674" s="1" t="s">
        <v>141</v>
      </c>
      <c r="I2674" s="1" t="s">
        <v>65</v>
      </c>
      <c r="J2674" s="1">
        <v>3</v>
      </c>
      <c r="K2674" s="1" t="s">
        <v>142</v>
      </c>
      <c r="L2674" s="1" t="s">
        <v>153</v>
      </c>
      <c r="M2674" s="1" t="s">
        <v>1256</v>
      </c>
      <c r="N2674" s="1" t="str">
        <f>HYPERLINK("https://klocwork.india.ti.com:443/review/insight-review.html#issuedetails_goto:problemid=130600,project=MCU_PLUS_SDK_AM263X,searchquery=taxonomy:'C and C++' build:Build_Apr_13_2023_11_11_AM grouping:off ","KW Issue Link")</f>
        <v>KW Issue Link</v>
      </c>
      <c r="O2674" s="1" t="s">
        <v>1083</v>
      </c>
    </row>
    <row r="2675" spans="1:15" ht="75" x14ac:dyDescent="0.25">
      <c r="A2675" s="1" t="s">
        <v>1257</v>
      </c>
      <c r="B2675" s="1"/>
      <c r="C2675" s="1" t="s">
        <v>3764</v>
      </c>
      <c r="D2675" s="1">
        <v>130601</v>
      </c>
      <c r="E2675" s="1">
        <v>376</v>
      </c>
      <c r="F2675" s="1" t="s">
        <v>3775</v>
      </c>
      <c r="G2675" s="1" t="s">
        <v>3770</v>
      </c>
      <c r="H2675" s="1" t="s">
        <v>141</v>
      </c>
      <c r="I2675" s="1" t="s">
        <v>65</v>
      </c>
      <c r="J2675" s="1">
        <v>3</v>
      </c>
      <c r="K2675" s="1" t="s">
        <v>142</v>
      </c>
      <c r="L2675" s="1" t="s">
        <v>153</v>
      </c>
      <c r="M2675" s="1" t="s">
        <v>1256</v>
      </c>
      <c r="N2675" s="1" t="str">
        <f>HYPERLINK("https://klocwork.india.ti.com:443/review/insight-review.html#issuedetails_goto:problemid=130601,project=MCU_PLUS_SDK_AM263X,searchquery=taxonomy:'C and C++' build:Build_Apr_13_2023_11_11_AM grouping:off ","KW Issue Link")</f>
        <v>KW Issue Link</v>
      </c>
      <c r="O2675" s="1" t="s">
        <v>1083</v>
      </c>
    </row>
    <row r="2676" spans="1:15" ht="75" x14ac:dyDescent="0.25">
      <c r="A2676" s="1" t="s">
        <v>1266</v>
      </c>
      <c r="B2676" s="1"/>
      <c r="C2676" s="1" t="s">
        <v>3764</v>
      </c>
      <c r="D2676" s="1">
        <v>130602</v>
      </c>
      <c r="E2676" s="1">
        <v>152</v>
      </c>
      <c r="F2676" s="1" t="s">
        <v>3776</v>
      </c>
      <c r="G2676" s="1" t="s">
        <v>3766</v>
      </c>
      <c r="H2676" s="1" t="s">
        <v>141</v>
      </c>
      <c r="I2676" s="1" t="s">
        <v>65</v>
      </c>
      <c r="J2676" s="1">
        <v>3</v>
      </c>
      <c r="K2676" s="1" t="s">
        <v>142</v>
      </c>
      <c r="L2676" s="1" t="s">
        <v>153</v>
      </c>
      <c r="M2676" s="1" t="s">
        <v>1256</v>
      </c>
      <c r="N2676" s="1" t="str">
        <f>HYPERLINK("https://klocwork.india.ti.com:443/review/insight-review.html#issuedetails_goto:problemid=130602,project=MCU_PLUS_SDK_AM263X,searchquery=taxonomy:'C and C++' build:Build_Apr_13_2023_11_11_AM grouping:off ","KW Issue Link")</f>
        <v>KW Issue Link</v>
      </c>
      <c r="O2676" s="1" t="s">
        <v>1083</v>
      </c>
    </row>
    <row r="2677" spans="1:15" ht="75" x14ac:dyDescent="0.25">
      <c r="A2677" s="1" t="s">
        <v>1266</v>
      </c>
      <c r="B2677" s="1"/>
      <c r="C2677" s="1" t="s">
        <v>3764</v>
      </c>
      <c r="D2677" s="1">
        <v>130603</v>
      </c>
      <c r="E2677" s="1">
        <v>264</v>
      </c>
      <c r="F2677" s="1" t="s">
        <v>3777</v>
      </c>
      <c r="G2677" s="1" t="s">
        <v>3768</v>
      </c>
      <c r="H2677" s="1" t="s">
        <v>141</v>
      </c>
      <c r="I2677" s="1" t="s">
        <v>65</v>
      </c>
      <c r="J2677" s="1">
        <v>3</v>
      </c>
      <c r="K2677" s="1" t="s">
        <v>142</v>
      </c>
      <c r="L2677" s="1" t="s">
        <v>153</v>
      </c>
      <c r="M2677" s="1" t="s">
        <v>1256</v>
      </c>
      <c r="N2677" s="1" t="str">
        <f>HYPERLINK("https://klocwork.india.ti.com:443/review/insight-review.html#issuedetails_goto:problemid=130603,project=MCU_PLUS_SDK_AM263X,searchquery=taxonomy:'C and C++' build:Build_Apr_13_2023_11_11_AM grouping:off ","KW Issue Link")</f>
        <v>KW Issue Link</v>
      </c>
      <c r="O2677" s="1" t="s">
        <v>1083</v>
      </c>
    </row>
    <row r="2678" spans="1:15" ht="75" x14ac:dyDescent="0.25">
      <c r="A2678" s="1" t="s">
        <v>1266</v>
      </c>
      <c r="B2678" s="1"/>
      <c r="C2678" s="1" t="s">
        <v>3764</v>
      </c>
      <c r="D2678" s="1">
        <v>130604</v>
      </c>
      <c r="E2678" s="1">
        <v>314</v>
      </c>
      <c r="F2678" s="1" t="s">
        <v>3778</v>
      </c>
      <c r="G2678" s="1" t="s">
        <v>3774</v>
      </c>
      <c r="H2678" s="1" t="s">
        <v>141</v>
      </c>
      <c r="I2678" s="1" t="s">
        <v>65</v>
      </c>
      <c r="J2678" s="1">
        <v>3</v>
      </c>
      <c r="K2678" s="1" t="s">
        <v>142</v>
      </c>
      <c r="L2678" s="1" t="s">
        <v>153</v>
      </c>
      <c r="M2678" s="1" t="s">
        <v>1256</v>
      </c>
      <c r="N2678" s="1" t="str">
        <f>HYPERLINK("https://klocwork.india.ti.com:443/review/insight-review.html#issuedetails_goto:problemid=130604,project=MCU_PLUS_SDK_AM263X,searchquery=taxonomy:'C and C++' build:Build_Apr_13_2023_11_11_AM grouping:off ","KW Issue Link")</f>
        <v>KW Issue Link</v>
      </c>
      <c r="O2678" s="1" t="s">
        <v>1083</v>
      </c>
    </row>
    <row r="2679" spans="1:15" ht="75" x14ac:dyDescent="0.25">
      <c r="A2679" s="1" t="s">
        <v>1266</v>
      </c>
      <c r="B2679" s="1"/>
      <c r="C2679" s="1" t="s">
        <v>3764</v>
      </c>
      <c r="D2679" s="1">
        <v>130605</v>
      </c>
      <c r="E2679" s="1">
        <v>376</v>
      </c>
      <c r="F2679" s="1" t="s">
        <v>3779</v>
      </c>
      <c r="G2679" s="1" t="s">
        <v>3770</v>
      </c>
      <c r="H2679" s="1" t="s">
        <v>141</v>
      </c>
      <c r="I2679" s="1" t="s">
        <v>65</v>
      </c>
      <c r="J2679" s="1">
        <v>3</v>
      </c>
      <c r="K2679" s="1" t="s">
        <v>142</v>
      </c>
      <c r="L2679" s="1" t="s">
        <v>153</v>
      </c>
      <c r="M2679" s="1" t="s">
        <v>1256</v>
      </c>
      <c r="N2679" s="1" t="str">
        <f>HYPERLINK("https://klocwork.india.ti.com:443/review/insight-review.html#issuedetails_goto:problemid=130605,project=MCU_PLUS_SDK_AM263X,searchquery=taxonomy:'C and C++' build:Build_Apr_13_2023_11_11_AM grouping:off ","KW Issue Link")</f>
        <v>KW Issue Link</v>
      </c>
      <c r="O2679" s="1" t="s">
        <v>1083</v>
      </c>
    </row>
    <row r="2680" spans="1:15" ht="75" x14ac:dyDescent="0.25">
      <c r="A2680" s="1" t="s">
        <v>1266</v>
      </c>
      <c r="B2680" s="1"/>
      <c r="C2680" s="1" t="s">
        <v>3764</v>
      </c>
      <c r="D2680" s="1">
        <v>130606</v>
      </c>
      <c r="E2680" s="1">
        <v>444</v>
      </c>
      <c r="F2680" s="1" t="s">
        <v>3780</v>
      </c>
      <c r="G2680" s="1" t="s">
        <v>3781</v>
      </c>
      <c r="H2680" s="1" t="s">
        <v>141</v>
      </c>
      <c r="I2680" s="1" t="s">
        <v>65</v>
      </c>
      <c r="J2680" s="1">
        <v>3</v>
      </c>
      <c r="K2680" s="1" t="s">
        <v>142</v>
      </c>
      <c r="L2680" s="1" t="s">
        <v>153</v>
      </c>
      <c r="M2680" s="1" t="s">
        <v>1256</v>
      </c>
      <c r="N2680" s="1" t="str">
        <f>HYPERLINK("https://klocwork.india.ti.com:443/review/insight-review.html#issuedetails_goto:problemid=130606,project=MCU_PLUS_SDK_AM263X,searchquery=taxonomy:'C and C++' build:Build_Apr_13_2023_11_11_AM grouping:off ","KW Issue Link")</f>
        <v>KW Issue Link</v>
      </c>
      <c r="O2680" s="1" t="s">
        <v>1083</v>
      </c>
    </row>
    <row r="2681" spans="1:15" ht="75" x14ac:dyDescent="0.25">
      <c r="A2681" s="1" t="s">
        <v>1268</v>
      </c>
      <c r="B2681" s="1"/>
      <c r="C2681" s="1" t="s">
        <v>3764</v>
      </c>
      <c r="D2681" s="1">
        <v>130607</v>
      </c>
      <c r="E2681" s="1">
        <v>152</v>
      </c>
      <c r="F2681" s="1" t="s">
        <v>3782</v>
      </c>
      <c r="G2681" s="1" t="s">
        <v>3766</v>
      </c>
      <c r="H2681" s="1" t="s">
        <v>141</v>
      </c>
      <c r="I2681" s="1" t="s">
        <v>65</v>
      </c>
      <c r="J2681" s="1">
        <v>3</v>
      </c>
      <c r="K2681" s="1" t="s">
        <v>142</v>
      </c>
      <c r="L2681" s="1" t="s">
        <v>153</v>
      </c>
      <c r="M2681" s="1" t="s">
        <v>1256</v>
      </c>
      <c r="N2681" s="1" t="str">
        <f>HYPERLINK("https://klocwork.india.ti.com:443/review/insight-review.html#issuedetails_goto:problemid=130607,project=MCU_PLUS_SDK_AM263X,searchquery=taxonomy:'C and C++' build:Build_Apr_13_2023_11_11_AM grouping:off ","KW Issue Link")</f>
        <v>KW Issue Link</v>
      </c>
      <c r="O2681" s="1" t="s">
        <v>1083</v>
      </c>
    </row>
    <row r="2682" spans="1:15" ht="75" x14ac:dyDescent="0.25">
      <c r="A2682" s="1" t="s">
        <v>1268</v>
      </c>
      <c r="B2682" s="1"/>
      <c r="C2682" s="1" t="s">
        <v>3764</v>
      </c>
      <c r="D2682" s="1">
        <v>130608</v>
      </c>
      <c r="E2682" s="1">
        <v>264</v>
      </c>
      <c r="F2682" s="1" t="s">
        <v>3783</v>
      </c>
      <c r="G2682" s="1" t="s">
        <v>3768</v>
      </c>
      <c r="H2682" s="1" t="s">
        <v>141</v>
      </c>
      <c r="I2682" s="1" t="s">
        <v>65</v>
      </c>
      <c r="J2682" s="1">
        <v>3</v>
      </c>
      <c r="K2682" s="1" t="s">
        <v>142</v>
      </c>
      <c r="L2682" s="1" t="s">
        <v>153</v>
      </c>
      <c r="M2682" s="1" t="s">
        <v>1256</v>
      </c>
      <c r="N2682" s="1" t="str">
        <f>HYPERLINK("https://klocwork.india.ti.com:443/review/insight-review.html#issuedetails_goto:problemid=130608,project=MCU_PLUS_SDK_AM263X,searchquery=taxonomy:'C and C++' build:Build_Apr_13_2023_11_11_AM grouping:off ","KW Issue Link")</f>
        <v>KW Issue Link</v>
      </c>
      <c r="O2682" s="1" t="s">
        <v>1083</v>
      </c>
    </row>
    <row r="2683" spans="1:15" ht="75" x14ac:dyDescent="0.25">
      <c r="A2683" s="1" t="s">
        <v>1268</v>
      </c>
      <c r="B2683" s="1"/>
      <c r="C2683" s="1" t="s">
        <v>3764</v>
      </c>
      <c r="D2683" s="1">
        <v>130609</v>
      </c>
      <c r="E2683" s="1">
        <v>314</v>
      </c>
      <c r="F2683" s="1" t="s">
        <v>3784</v>
      </c>
      <c r="G2683" s="1" t="s">
        <v>3774</v>
      </c>
      <c r="H2683" s="1" t="s">
        <v>141</v>
      </c>
      <c r="I2683" s="1" t="s">
        <v>65</v>
      </c>
      <c r="J2683" s="1">
        <v>3</v>
      </c>
      <c r="K2683" s="1" t="s">
        <v>142</v>
      </c>
      <c r="L2683" s="1" t="s">
        <v>153</v>
      </c>
      <c r="M2683" s="1" t="s">
        <v>1256</v>
      </c>
      <c r="N2683" s="1" t="str">
        <f>HYPERLINK("https://klocwork.india.ti.com:443/review/insight-review.html#issuedetails_goto:problemid=130609,project=MCU_PLUS_SDK_AM263X,searchquery=taxonomy:'C and C++' build:Build_Apr_13_2023_11_11_AM grouping:off ","KW Issue Link")</f>
        <v>KW Issue Link</v>
      </c>
      <c r="O2683" s="1" t="s">
        <v>1083</v>
      </c>
    </row>
    <row r="2684" spans="1:15" ht="75" x14ac:dyDescent="0.25">
      <c r="A2684" s="1" t="s">
        <v>1268</v>
      </c>
      <c r="B2684" s="1"/>
      <c r="C2684" s="1" t="s">
        <v>3764</v>
      </c>
      <c r="D2684" s="1">
        <v>130610</v>
      </c>
      <c r="E2684" s="1">
        <v>376</v>
      </c>
      <c r="F2684" s="1" t="s">
        <v>3785</v>
      </c>
      <c r="G2684" s="1" t="s">
        <v>3770</v>
      </c>
      <c r="H2684" s="1" t="s">
        <v>141</v>
      </c>
      <c r="I2684" s="1" t="s">
        <v>65</v>
      </c>
      <c r="J2684" s="1">
        <v>3</v>
      </c>
      <c r="K2684" s="1" t="s">
        <v>142</v>
      </c>
      <c r="L2684" s="1" t="s">
        <v>153</v>
      </c>
      <c r="M2684" s="1" t="s">
        <v>1256</v>
      </c>
      <c r="N2684" s="1" t="str">
        <f>HYPERLINK("https://klocwork.india.ti.com:443/review/insight-review.html#issuedetails_goto:problemid=130610,project=MCU_PLUS_SDK_AM263X,searchquery=taxonomy:'C and C++' build:Build_Apr_13_2023_11_11_AM grouping:off ","KW Issue Link")</f>
        <v>KW Issue Link</v>
      </c>
      <c r="O2684" s="1" t="s">
        <v>1083</v>
      </c>
    </row>
    <row r="2685" spans="1:15" ht="75" x14ac:dyDescent="0.25">
      <c r="A2685" s="1" t="s">
        <v>1268</v>
      </c>
      <c r="B2685" s="1"/>
      <c r="C2685" s="1" t="s">
        <v>3764</v>
      </c>
      <c r="D2685" s="1">
        <v>130611</v>
      </c>
      <c r="E2685" s="1">
        <v>444</v>
      </c>
      <c r="F2685" s="1" t="s">
        <v>3786</v>
      </c>
      <c r="G2685" s="1" t="s">
        <v>3781</v>
      </c>
      <c r="H2685" s="1" t="s">
        <v>141</v>
      </c>
      <c r="I2685" s="1" t="s">
        <v>65</v>
      </c>
      <c r="J2685" s="1">
        <v>3</v>
      </c>
      <c r="K2685" s="1" t="s">
        <v>142</v>
      </c>
      <c r="L2685" s="1" t="s">
        <v>153</v>
      </c>
      <c r="M2685" s="1" t="s">
        <v>1256</v>
      </c>
      <c r="N2685" s="1" t="str">
        <f>HYPERLINK("https://klocwork.india.ti.com:443/review/insight-review.html#issuedetails_goto:problemid=130611,project=MCU_PLUS_SDK_AM263X,searchquery=taxonomy:'C and C++' build:Build_Apr_13_2023_11_11_AM grouping:off ","KW Issue Link")</f>
        <v>KW Issue Link</v>
      </c>
      <c r="O2685" s="1" t="s">
        <v>1083</v>
      </c>
    </row>
    <row r="2686" spans="1:15" ht="75" x14ac:dyDescent="0.25">
      <c r="A2686" s="1" t="s">
        <v>997</v>
      </c>
      <c r="B2686" s="1"/>
      <c r="C2686" s="1" t="s">
        <v>3764</v>
      </c>
      <c r="D2686" s="1">
        <v>130627</v>
      </c>
      <c r="E2686" s="1">
        <v>338</v>
      </c>
      <c r="F2686" s="1" t="s">
        <v>3787</v>
      </c>
      <c r="G2686" s="1" t="s">
        <v>3774</v>
      </c>
      <c r="H2686" s="1" t="s">
        <v>141</v>
      </c>
      <c r="I2686" s="1" t="s">
        <v>66</v>
      </c>
      <c r="J2686" s="1">
        <v>4</v>
      </c>
      <c r="K2686" s="1" t="s">
        <v>142</v>
      </c>
      <c r="L2686" s="1" t="s">
        <v>153</v>
      </c>
      <c r="M2686" s="1" t="s">
        <v>28</v>
      </c>
      <c r="N2686" s="1" t="str">
        <f>HYPERLINK("https://klocwork.india.ti.com:443/review/insight-review.html#issuedetails_goto:problemid=130627,project=MCU_PLUS_SDK_AM263X,searchquery=taxonomy:'C and C++' build:Build_Apr_13_2023_11_11_AM grouping:off ","KW Issue Link")</f>
        <v>KW Issue Link</v>
      </c>
      <c r="O2686" s="1" t="s">
        <v>1083</v>
      </c>
    </row>
    <row r="2687" spans="1:15" ht="75" x14ac:dyDescent="0.25">
      <c r="A2687" s="1" t="s">
        <v>997</v>
      </c>
      <c r="B2687" s="1"/>
      <c r="C2687" s="1" t="s">
        <v>3764</v>
      </c>
      <c r="D2687" s="1">
        <v>130628</v>
      </c>
      <c r="E2687" s="1">
        <v>339</v>
      </c>
      <c r="F2687" s="1" t="s">
        <v>3787</v>
      </c>
      <c r="G2687" s="1" t="s">
        <v>3774</v>
      </c>
      <c r="H2687" s="1" t="s">
        <v>141</v>
      </c>
      <c r="I2687" s="1" t="s">
        <v>66</v>
      </c>
      <c r="J2687" s="1">
        <v>4</v>
      </c>
      <c r="K2687" s="1" t="s">
        <v>142</v>
      </c>
      <c r="L2687" s="1" t="s">
        <v>153</v>
      </c>
      <c r="M2687" s="1" t="s">
        <v>28</v>
      </c>
      <c r="N2687" s="1" t="str">
        <f>HYPERLINK("https://klocwork.india.ti.com:443/review/insight-review.html#issuedetails_goto:problemid=130628,project=MCU_PLUS_SDK_AM263X,searchquery=taxonomy:'C and C++' build:Build_Apr_13_2023_11_11_AM grouping:off ","KW Issue Link")</f>
        <v>KW Issue Link</v>
      </c>
      <c r="O2687" s="1" t="s">
        <v>1083</v>
      </c>
    </row>
    <row r="2688" spans="1:15" ht="75" x14ac:dyDescent="0.25">
      <c r="A2688" s="1" t="s">
        <v>997</v>
      </c>
      <c r="B2688" s="1"/>
      <c r="C2688" s="1" t="s">
        <v>3764</v>
      </c>
      <c r="D2688" s="1">
        <v>130629</v>
      </c>
      <c r="E2688" s="1">
        <v>341</v>
      </c>
      <c r="F2688" s="1" t="s">
        <v>3788</v>
      </c>
      <c r="G2688" s="1" t="s">
        <v>3774</v>
      </c>
      <c r="H2688" s="1" t="s">
        <v>141</v>
      </c>
      <c r="I2688" s="1" t="s">
        <v>66</v>
      </c>
      <c r="J2688" s="1">
        <v>4</v>
      </c>
      <c r="K2688" s="1" t="s">
        <v>142</v>
      </c>
      <c r="L2688" s="1" t="s">
        <v>153</v>
      </c>
      <c r="M2688" s="1" t="s">
        <v>28</v>
      </c>
      <c r="N2688" s="1" t="str">
        <f>HYPERLINK("https://klocwork.india.ti.com:443/review/insight-review.html#issuedetails_goto:problemid=130629,project=MCU_PLUS_SDK_AM263X,searchquery=taxonomy:'C and C++' build:Build_Apr_13_2023_11_11_AM grouping:off ","KW Issue Link")</f>
        <v>KW Issue Link</v>
      </c>
      <c r="O2688" s="1" t="s">
        <v>1083</v>
      </c>
    </row>
    <row r="2689" spans="1:15" ht="75" x14ac:dyDescent="0.25">
      <c r="A2689" s="1" t="s">
        <v>997</v>
      </c>
      <c r="B2689" s="1"/>
      <c r="C2689" s="1" t="s">
        <v>3764</v>
      </c>
      <c r="D2689" s="1">
        <v>130630</v>
      </c>
      <c r="E2689" s="1">
        <v>342</v>
      </c>
      <c r="F2689" s="1" t="s">
        <v>3788</v>
      </c>
      <c r="G2689" s="1" t="s">
        <v>3774</v>
      </c>
      <c r="H2689" s="1" t="s">
        <v>141</v>
      </c>
      <c r="I2689" s="1" t="s">
        <v>66</v>
      </c>
      <c r="J2689" s="1">
        <v>4</v>
      </c>
      <c r="K2689" s="1" t="s">
        <v>142</v>
      </c>
      <c r="L2689" s="1" t="s">
        <v>153</v>
      </c>
      <c r="M2689" s="1" t="s">
        <v>28</v>
      </c>
      <c r="N2689" s="1" t="str">
        <f>HYPERLINK("https://klocwork.india.ti.com:443/review/insight-review.html#issuedetails_goto:problemid=130630,project=MCU_PLUS_SDK_AM263X,searchquery=taxonomy:'C and C++' build:Build_Apr_13_2023_11_11_AM grouping:off ","KW Issue Link")</f>
        <v>KW Issue Link</v>
      </c>
      <c r="O2689" s="1" t="s">
        <v>1083</v>
      </c>
    </row>
    <row r="2690" spans="1:15" ht="75" x14ac:dyDescent="0.25">
      <c r="A2690" s="1" t="s">
        <v>997</v>
      </c>
      <c r="B2690" s="1"/>
      <c r="C2690" s="1" t="s">
        <v>3764</v>
      </c>
      <c r="D2690" s="1">
        <v>130631</v>
      </c>
      <c r="E2690" s="1">
        <v>367</v>
      </c>
      <c r="F2690" s="1" t="s">
        <v>3788</v>
      </c>
      <c r="G2690" s="1" t="s">
        <v>3774</v>
      </c>
      <c r="H2690" s="1" t="s">
        <v>141</v>
      </c>
      <c r="I2690" s="1" t="s">
        <v>66</v>
      </c>
      <c r="J2690" s="1">
        <v>4</v>
      </c>
      <c r="K2690" s="1" t="s">
        <v>142</v>
      </c>
      <c r="L2690" s="1" t="s">
        <v>153</v>
      </c>
      <c r="M2690" s="1" t="s">
        <v>28</v>
      </c>
      <c r="N2690" s="1" t="str">
        <f>HYPERLINK("https://klocwork.india.ti.com:443/review/insight-review.html#issuedetails_goto:problemid=130631,project=MCU_PLUS_SDK_AM263X,searchquery=taxonomy:'C and C++' build:Build_Apr_13_2023_11_11_AM grouping:off ","KW Issue Link")</f>
        <v>KW Issue Link</v>
      </c>
      <c r="O2690" s="1" t="s">
        <v>1083</v>
      </c>
    </row>
    <row r="2691" spans="1:15" ht="75" x14ac:dyDescent="0.25">
      <c r="A2691" s="1" t="s">
        <v>997</v>
      </c>
      <c r="B2691" s="1"/>
      <c r="C2691" s="1" t="s">
        <v>3764</v>
      </c>
      <c r="D2691" s="1">
        <v>130632</v>
      </c>
      <c r="E2691" s="1">
        <v>397</v>
      </c>
      <c r="F2691" s="1" t="s">
        <v>3789</v>
      </c>
      <c r="G2691" s="1" t="s">
        <v>3770</v>
      </c>
      <c r="H2691" s="1" t="s">
        <v>141</v>
      </c>
      <c r="I2691" s="1" t="s">
        <v>66</v>
      </c>
      <c r="J2691" s="1">
        <v>4</v>
      </c>
      <c r="K2691" s="1" t="s">
        <v>142</v>
      </c>
      <c r="L2691" s="1" t="s">
        <v>153</v>
      </c>
      <c r="M2691" s="1" t="s">
        <v>28</v>
      </c>
      <c r="N2691" s="1" t="str">
        <f>HYPERLINK("https://klocwork.india.ti.com:443/review/insight-review.html#issuedetails_goto:problemid=130632,project=MCU_PLUS_SDK_AM263X,searchquery=taxonomy:'C and C++' build:Build_Apr_13_2023_11_11_AM grouping:off ","KW Issue Link")</f>
        <v>KW Issue Link</v>
      </c>
      <c r="O2691" s="1" t="s">
        <v>1083</v>
      </c>
    </row>
    <row r="2692" spans="1:15" ht="75" x14ac:dyDescent="0.25">
      <c r="A2692" s="1" t="s">
        <v>997</v>
      </c>
      <c r="B2692" s="1"/>
      <c r="C2692" s="1" t="s">
        <v>3764</v>
      </c>
      <c r="D2692" s="1">
        <v>130633</v>
      </c>
      <c r="E2692" s="1">
        <v>409</v>
      </c>
      <c r="F2692" s="1" t="s">
        <v>3790</v>
      </c>
      <c r="G2692" s="1" t="s">
        <v>3770</v>
      </c>
      <c r="H2692" s="1" t="s">
        <v>141</v>
      </c>
      <c r="I2692" s="1" t="s">
        <v>66</v>
      </c>
      <c r="J2692" s="1">
        <v>4</v>
      </c>
      <c r="K2692" s="1" t="s">
        <v>142</v>
      </c>
      <c r="L2692" s="1" t="s">
        <v>153</v>
      </c>
      <c r="M2692" s="1" t="s">
        <v>28</v>
      </c>
      <c r="N2692" s="1" t="str">
        <f>HYPERLINK("https://klocwork.india.ti.com:443/review/insight-review.html#issuedetails_goto:problemid=130633,project=MCU_PLUS_SDK_AM263X,searchquery=taxonomy:'C and C++' build:Build_Apr_13_2023_11_11_AM grouping:off ","KW Issue Link")</f>
        <v>KW Issue Link</v>
      </c>
      <c r="O2692" s="1" t="s">
        <v>1083</v>
      </c>
    </row>
    <row r="2693" spans="1:15" ht="75" x14ac:dyDescent="0.25">
      <c r="A2693" s="1" t="s">
        <v>997</v>
      </c>
      <c r="B2693" s="1"/>
      <c r="C2693" s="1" t="s">
        <v>3764</v>
      </c>
      <c r="D2693" s="1">
        <v>130634</v>
      </c>
      <c r="E2693" s="1">
        <v>410</v>
      </c>
      <c r="F2693" s="1" t="s">
        <v>3790</v>
      </c>
      <c r="G2693" s="1" t="s">
        <v>3770</v>
      </c>
      <c r="H2693" s="1" t="s">
        <v>141</v>
      </c>
      <c r="I2693" s="1" t="s">
        <v>66</v>
      </c>
      <c r="J2693" s="1">
        <v>4</v>
      </c>
      <c r="K2693" s="1" t="s">
        <v>142</v>
      </c>
      <c r="L2693" s="1" t="s">
        <v>153</v>
      </c>
      <c r="M2693" s="1" t="s">
        <v>28</v>
      </c>
      <c r="N2693" s="1" t="str">
        <f>HYPERLINK("https://klocwork.india.ti.com:443/review/insight-review.html#issuedetails_goto:problemid=130634,project=MCU_PLUS_SDK_AM263X,searchquery=taxonomy:'C and C++' build:Build_Apr_13_2023_11_11_AM grouping:off ","KW Issue Link")</f>
        <v>KW Issue Link</v>
      </c>
      <c r="O2693" s="1" t="s">
        <v>1083</v>
      </c>
    </row>
    <row r="2694" spans="1:15" ht="90" x14ac:dyDescent="0.25">
      <c r="A2694" s="1" t="s">
        <v>163</v>
      </c>
      <c r="B2694" s="1"/>
      <c r="C2694" s="1" t="s">
        <v>3764</v>
      </c>
      <c r="D2694" s="1">
        <v>130640</v>
      </c>
      <c r="E2694" s="1">
        <v>533</v>
      </c>
      <c r="F2694" s="1" t="s">
        <v>3791</v>
      </c>
      <c r="G2694" s="1" t="s">
        <v>3781</v>
      </c>
      <c r="H2694" s="1" t="s">
        <v>141</v>
      </c>
      <c r="I2694" s="1" t="s">
        <v>65</v>
      </c>
      <c r="J2694" s="1">
        <v>3</v>
      </c>
      <c r="K2694" s="1" t="s">
        <v>142</v>
      </c>
      <c r="L2694" s="1" t="s">
        <v>153</v>
      </c>
      <c r="M2694" s="1" t="s">
        <v>28</v>
      </c>
      <c r="N2694" s="1" t="str">
        <f>HYPERLINK("https://klocwork.india.ti.com:443/review/insight-review.html#issuedetails_goto:problemid=130640,project=MCU_PLUS_SDK_AM263X,searchquery=taxonomy:'C and C++' build:Build_Apr_13_2023_11_11_AM grouping:off ","KW Issue Link")</f>
        <v>KW Issue Link</v>
      </c>
      <c r="O2694" s="1" t="s">
        <v>1083</v>
      </c>
    </row>
    <row r="2695" spans="1:15" ht="90" x14ac:dyDescent="0.25">
      <c r="A2695" s="1" t="s">
        <v>163</v>
      </c>
      <c r="B2695" s="1"/>
      <c r="C2695" s="1" t="s">
        <v>3764</v>
      </c>
      <c r="D2695" s="1">
        <v>130641</v>
      </c>
      <c r="E2695" s="1">
        <v>533</v>
      </c>
      <c r="F2695" s="1" t="s">
        <v>3792</v>
      </c>
      <c r="G2695" s="1" t="s">
        <v>3781</v>
      </c>
      <c r="H2695" s="1" t="s">
        <v>141</v>
      </c>
      <c r="I2695" s="1" t="s">
        <v>65</v>
      </c>
      <c r="J2695" s="1">
        <v>3</v>
      </c>
      <c r="K2695" s="1" t="s">
        <v>142</v>
      </c>
      <c r="L2695" s="1" t="s">
        <v>153</v>
      </c>
      <c r="M2695" s="1" t="s">
        <v>28</v>
      </c>
      <c r="N2695" s="1" t="str">
        <f>HYPERLINK("https://klocwork.india.ti.com:443/review/insight-review.html#issuedetails_goto:problemid=130641,project=MCU_PLUS_SDK_AM263X,searchquery=taxonomy:'C and C++' build:Build_Apr_13_2023_11_11_AM grouping:off ","KW Issue Link")</f>
        <v>KW Issue Link</v>
      </c>
      <c r="O2695" s="1" t="s">
        <v>1083</v>
      </c>
    </row>
    <row r="2696" spans="1:15" ht="90" x14ac:dyDescent="0.25">
      <c r="A2696" s="1" t="s">
        <v>163</v>
      </c>
      <c r="B2696" s="1"/>
      <c r="C2696" s="1" t="s">
        <v>3764</v>
      </c>
      <c r="D2696" s="1">
        <v>130642</v>
      </c>
      <c r="E2696" s="1">
        <v>533</v>
      </c>
      <c r="F2696" s="1" t="s">
        <v>3793</v>
      </c>
      <c r="G2696" s="1" t="s">
        <v>3781</v>
      </c>
      <c r="H2696" s="1" t="s">
        <v>141</v>
      </c>
      <c r="I2696" s="1" t="s">
        <v>65</v>
      </c>
      <c r="J2696" s="1">
        <v>3</v>
      </c>
      <c r="K2696" s="1" t="s">
        <v>142</v>
      </c>
      <c r="L2696" s="1" t="s">
        <v>153</v>
      </c>
      <c r="M2696" s="1" t="s">
        <v>28</v>
      </c>
      <c r="N2696" s="1" t="str">
        <f>HYPERLINK("https://klocwork.india.ti.com:443/review/insight-review.html#issuedetails_goto:problemid=130642,project=MCU_PLUS_SDK_AM263X,searchquery=taxonomy:'C and C++' build:Build_Apr_13_2023_11_11_AM grouping:off ","KW Issue Link")</f>
        <v>KW Issue Link</v>
      </c>
      <c r="O2696" s="1" t="s">
        <v>1083</v>
      </c>
    </row>
    <row r="2697" spans="1:15" ht="90" x14ac:dyDescent="0.25">
      <c r="A2697" s="1" t="s">
        <v>163</v>
      </c>
      <c r="B2697" s="1"/>
      <c r="C2697" s="1" t="s">
        <v>3764</v>
      </c>
      <c r="D2697" s="1">
        <v>130643</v>
      </c>
      <c r="E2697" s="1">
        <v>533</v>
      </c>
      <c r="F2697" s="1" t="s">
        <v>3794</v>
      </c>
      <c r="G2697" s="1" t="s">
        <v>3781</v>
      </c>
      <c r="H2697" s="1" t="s">
        <v>141</v>
      </c>
      <c r="I2697" s="1" t="s">
        <v>65</v>
      </c>
      <c r="J2697" s="1">
        <v>3</v>
      </c>
      <c r="K2697" s="1" t="s">
        <v>142</v>
      </c>
      <c r="L2697" s="1" t="s">
        <v>153</v>
      </c>
      <c r="M2697" s="1" t="s">
        <v>28</v>
      </c>
      <c r="N2697" s="1" t="str">
        <f>HYPERLINK("https://klocwork.india.ti.com:443/review/insight-review.html#issuedetails_goto:problemid=130643,project=MCU_PLUS_SDK_AM263X,searchquery=taxonomy:'C and C++' build:Build_Apr_13_2023_11_11_AM grouping:off ","KW Issue Link")</f>
        <v>KW Issue Link</v>
      </c>
      <c r="O2697" s="1" t="s">
        <v>1083</v>
      </c>
    </row>
    <row r="2698" spans="1:15" ht="90" x14ac:dyDescent="0.25">
      <c r="A2698" s="1" t="s">
        <v>163</v>
      </c>
      <c r="B2698" s="1"/>
      <c r="C2698" s="1" t="s">
        <v>3764</v>
      </c>
      <c r="D2698" s="1">
        <v>130644</v>
      </c>
      <c r="E2698" s="1">
        <v>533</v>
      </c>
      <c r="F2698" s="1" t="s">
        <v>3795</v>
      </c>
      <c r="G2698" s="1" t="s">
        <v>3781</v>
      </c>
      <c r="H2698" s="1" t="s">
        <v>141</v>
      </c>
      <c r="I2698" s="1" t="s">
        <v>65</v>
      </c>
      <c r="J2698" s="1">
        <v>3</v>
      </c>
      <c r="K2698" s="1" t="s">
        <v>142</v>
      </c>
      <c r="L2698" s="1" t="s">
        <v>153</v>
      </c>
      <c r="M2698" s="1" t="s">
        <v>28</v>
      </c>
      <c r="N2698" s="1" t="str">
        <f>HYPERLINK("https://klocwork.india.ti.com:443/review/insight-review.html#issuedetails_goto:problemid=130644,project=MCU_PLUS_SDK_AM263X,searchquery=taxonomy:'C and C++' build:Build_Apr_13_2023_11_11_AM grouping:off ","KW Issue Link")</f>
        <v>KW Issue Link</v>
      </c>
      <c r="O2698" s="1" t="s">
        <v>1083</v>
      </c>
    </row>
    <row r="2699" spans="1:15" ht="90" x14ac:dyDescent="0.25">
      <c r="A2699" s="1" t="s">
        <v>163</v>
      </c>
      <c r="B2699" s="1"/>
      <c r="C2699" s="1" t="s">
        <v>3764</v>
      </c>
      <c r="D2699" s="1">
        <v>130645</v>
      </c>
      <c r="E2699" s="1">
        <v>533</v>
      </c>
      <c r="F2699" s="1" t="s">
        <v>3796</v>
      </c>
      <c r="G2699" s="1" t="s">
        <v>3781</v>
      </c>
      <c r="H2699" s="1" t="s">
        <v>141</v>
      </c>
      <c r="I2699" s="1" t="s">
        <v>65</v>
      </c>
      <c r="J2699" s="1">
        <v>3</v>
      </c>
      <c r="K2699" s="1" t="s">
        <v>142</v>
      </c>
      <c r="L2699" s="1" t="s">
        <v>153</v>
      </c>
      <c r="M2699" s="1" t="s">
        <v>28</v>
      </c>
      <c r="N2699" s="1" t="str">
        <f>HYPERLINK("https://klocwork.india.ti.com:443/review/insight-review.html#issuedetails_goto:problemid=130645,project=MCU_PLUS_SDK_AM263X,searchquery=taxonomy:'C and C++' build:Build_Apr_13_2023_11_11_AM grouping:off ","KW Issue Link")</f>
        <v>KW Issue Link</v>
      </c>
      <c r="O2699" s="1" t="s">
        <v>1083</v>
      </c>
    </row>
    <row r="2700" spans="1:15" ht="90" x14ac:dyDescent="0.25">
      <c r="A2700" s="1" t="s">
        <v>163</v>
      </c>
      <c r="B2700" s="1"/>
      <c r="C2700" s="1" t="s">
        <v>3764</v>
      </c>
      <c r="D2700" s="1">
        <v>130646</v>
      </c>
      <c r="E2700" s="1">
        <v>533</v>
      </c>
      <c r="F2700" s="1" t="s">
        <v>3797</v>
      </c>
      <c r="G2700" s="1" t="s">
        <v>3781</v>
      </c>
      <c r="H2700" s="1" t="s">
        <v>141</v>
      </c>
      <c r="I2700" s="1" t="s">
        <v>65</v>
      </c>
      <c r="J2700" s="1">
        <v>3</v>
      </c>
      <c r="K2700" s="1" t="s">
        <v>142</v>
      </c>
      <c r="L2700" s="1" t="s">
        <v>153</v>
      </c>
      <c r="M2700" s="1" t="s">
        <v>28</v>
      </c>
      <c r="N2700" s="1" t="str">
        <f>HYPERLINK("https://klocwork.india.ti.com:443/review/insight-review.html#issuedetails_goto:problemid=130646,project=MCU_PLUS_SDK_AM263X,searchquery=taxonomy:'C and C++' build:Build_Apr_13_2023_11_11_AM grouping:off ","KW Issue Link")</f>
        <v>KW Issue Link</v>
      </c>
      <c r="O2700" s="1" t="s">
        <v>1083</v>
      </c>
    </row>
    <row r="2701" spans="1:15" ht="90" x14ac:dyDescent="0.25">
      <c r="A2701" s="1" t="s">
        <v>163</v>
      </c>
      <c r="B2701" s="1"/>
      <c r="C2701" s="1" t="s">
        <v>3764</v>
      </c>
      <c r="D2701" s="1">
        <v>130647</v>
      </c>
      <c r="E2701" s="1">
        <v>533</v>
      </c>
      <c r="F2701" s="1" t="s">
        <v>3798</v>
      </c>
      <c r="G2701" s="1" t="s">
        <v>3781</v>
      </c>
      <c r="H2701" s="1" t="s">
        <v>141</v>
      </c>
      <c r="I2701" s="1" t="s">
        <v>65</v>
      </c>
      <c r="J2701" s="1">
        <v>3</v>
      </c>
      <c r="K2701" s="1" t="s">
        <v>142</v>
      </c>
      <c r="L2701" s="1" t="s">
        <v>153</v>
      </c>
      <c r="M2701" s="1" t="s">
        <v>28</v>
      </c>
      <c r="N2701" s="1" t="str">
        <f>HYPERLINK("https://klocwork.india.ti.com:443/review/insight-review.html#issuedetails_goto:problemid=130647,project=MCU_PLUS_SDK_AM263X,searchquery=taxonomy:'C and C++' build:Build_Apr_13_2023_11_11_AM grouping:off ","KW Issue Link")</f>
        <v>KW Issue Link</v>
      </c>
      <c r="O2701" s="1" t="s">
        <v>1083</v>
      </c>
    </row>
    <row r="2702" spans="1:15" ht="75" x14ac:dyDescent="0.25">
      <c r="A2702" s="1" t="s">
        <v>1252</v>
      </c>
      <c r="B2702" s="1"/>
      <c r="C2702" s="1" t="s">
        <v>3799</v>
      </c>
      <c r="D2702" s="1">
        <v>130742</v>
      </c>
      <c r="E2702" s="1">
        <v>57</v>
      </c>
      <c r="F2702" s="1" t="s">
        <v>3800</v>
      </c>
      <c r="G2702" s="1" t="s">
        <v>3801</v>
      </c>
      <c r="H2702" s="1" t="s">
        <v>141</v>
      </c>
      <c r="I2702" s="1" t="s">
        <v>65</v>
      </c>
      <c r="J2702" s="1">
        <v>3</v>
      </c>
      <c r="K2702" s="1" t="s">
        <v>142</v>
      </c>
      <c r="L2702" s="1" t="s">
        <v>153</v>
      </c>
      <c r="M2702" s="1" t="s">
        <v>1256</v>
      </c>
      <c r="N2702" s="1" t="str">
        <f>HYPERLINK("https://klocwork.india.ti.com:443/review/insight-review.html#issuedetails_goto:problemid=130742,project=MCU_PLUS_SDK_AM263X,searchquery=taxonomy:'C and C++' build:Build_Apr_13_2023_11_11_AM grouping:off ","KW Issue Link")</f>
        <v>KW Issue Link</v>
      </c>
      <c r="O2702" s="1" t="s">
        <v>1083</v>
      </c>
    </row>
    <row r="2703" spans="1:15" ht="75" x14ac:dyDescent="0.25">
      <c r="A2703" s="1" t="s">
        <v>1252</v>
      </c>
      <c r="B2703" s="1"/>
      <c r="C2703" s="1" t="s">
        <v>3799</v>
      </c>
      <c r="D2703" s="1">
        <v>130743</v>
      </c>
      <c r="E2703" s="1">
        <v>122</v>
      </c>
      <c r="F2703" s="1" t="s">
        <v>3802</v>
      </c>
      <c r="G2703" s="1" t="s">
        <v>3803</v>
      </c>
      <c r="H2703" s="1" t="s">
        <v>141</v>
      </c>
      <c r="I2703" s="1" t="s">
        <v>65</v>
      </c>
      <c r="J2703" s="1">
        <v>3</v>
      </c>
      <c r="K2703" s="1" t="s">
        <v>142</v>
      </c>
      <c r="L2703" s="1" t="s">
        <v>153</v>
      </c>
      <c r="M2703" s="1" t="s">
        <v>1256</v>
      </c>
      <c r="N2703" s="1" t="str">
        <f>HYPERLINK("https://klocwork.india.ti.com:443/review/insight-review.html#issuedetails_goto:problemid=130743,project=MCU_PLUS_SDK_AM263X,searchquery=taxonomy:'C and C++' build:Build_Apr_13_2023_11_11_AM grouping:off ","KW Issue Link")</f>
        <v>KW Issue Link</v>
      </c>
      <c r="O2703" s="1" t="s">
        <v>1083</v>
      </c>
    </row>
    <row r="2704" spans="1:15" ht="75" x14ac:dyDescent="0.25">
      <c r="A2704" s="1" t="s">
        <v>1252</v>
      </c>
      <c r="B2704" s="1"/>
      <c r="C2704" s="1" t="s">
        <v>3799</v>
      </c>
      <c r="D2704" s="1">
        <v>130744</v>
      </c>
      <c r="E2704" s="1">
        <v>203</v>
      </c>
      <c r="F2704" s="1" t="s">
        <v>3804</v>
      </c>
      <c r="G2704" s="1" t="s">
        <v>3805</v>
      </c>
      <c r="H2704" s="1" t="s">
        <v>141</v>
      </c>
      <c r="I2704" s="1" t="s">
        <v>65</v>
      </c>
      <c r="J2704" s="1">
        <v>3</v>
      </c>
      <c r="K2704" s="1" t="s">
        <v>142</v>
      </c>
      <c r="L2704" s="1" t="s">
        <v>153</v>
      </c>
      <c r="M2704" s="1" t="s">
        <v>1256</v>
      </c>
      <c r="N2704" s="1" t="str">
        <f>HYPERLINK("https://klocwork.india.ti.com:443/review/insight-review.html#issuedetails_goto:problemid=130744,project=MCU_PLUS_SDK_AM263X,searchquery=taxonomy:'C and C++' build:Build_Apr_13_2023_11_11_AM grouping:off ","KW Issue Link")</f>
        <v>KW Issue Link</v>
      </c>
      <c r="O2704" s="1" t="s">
        <v>1083</v>
      </c>
    </row>
    <row r="2705" spans="1:15" ht="75" x14ac:dyDescent="0.25">
      <c r="A2705" s="1" t="s">
        <v>1252</v>
      </c>
      <c r="B2705" s="1"/>
      <c r="C2705" s="1" t="s">
        <v>3799</v>
      </c>
      <c r="D2705" s="1">
        <v>130745</v>
      </c>
      <c r="E2705" s="1">
        <v>245</v>
      </c>
      <c r="F2705" s="1" t="s">
        <v>3806</v>
      </c>
      <c r="G2705" s="1" t="s">
        <v>3807</v>
      </c>
      <c r="H2705" s="1" t="s">
        <v>141</v>
      </c>
      <c r="I2705" s="1" t="s">
        <v>65</v>
      </c>
      <c r="J2705" s="1">
        <v>3</v>
      </c>
      <c r="K2705" s="1" t="s">
        <v>142</v>
      </c>
      <c r="L2705" s="1" t="s">
        <v>153</v>
      </c>
      <c r="M2705" s="1" t="s">
        <v>1256</v>
      </c>
      <c r="N2705" s="1" t="str">
        <f>HYPERLINK("https://klocwork.india.ti.com:443/review/insight-review.html#issuedetails_goto:problemid=130745,project=MCU_PLUS_SDK_AM263X,searchquery=taxonomy:'C and C++' build:Build_Apr_13_2023_11_11_AM grouping:off ","KW Issue Link")</f>
        <v>KW Issue Link</v>
      </c>
      <c r="O2705" s="1" t="s">
        <v>1083</v>
      </c>
    </row>
    <row r="2706" spans="1:15" ht="105" x14ac:dyDescent="0.25">
      <c r="A2706" s="1" t="s">
        <v>149</v>
      </c>
      <c r="B2706" s="1"/>
      <c r="C2706" s="1" t="s">
        <v>3799</v>
      </c>
      <c r="D2706" s="1">
        <v>130826</v>
      </c>
      <c r="E2706" s="1">
        <v>190</v>
      </c>
      <c r="F2706" s="1" t="s">
        <v>3808</v>
      </c>
      <c r="G2706" s="1" t="s">
        <v>3809</v>
      </c>
      <c r="H2706" s="1" t="s">
        <v>141</v>
      </c>
      <c r="I2706" s="1" t="s">
        <v>65</v>
      </c>
      <c r="J2706" s="1">
        <v>3</v>
      </c>
      <c r="K2706" s="1" t="s">
        <v>142</v>
      </c>
      <c r="L2706" s="1" t="s">
        <v>153</v>
      </c>
      <c r="M2706" s="1" t="s">
        <v>28</v>
      </c>
      <c r="N2706" s="1" t="str">
        <f>HYPERLINK("https://klocwork.india.ti.com:443/review/insight-review.html#issuedetails_goto:problemid=130826,project=MCU_PLUS_SDK_AM263X,searchquery=taxonomy:'C and C++' build:Build_Apr_13_2023_11_11_AM grouping:off ","KW Issue Link")</f>
        <v>KW Issue Link</v>
      </c>
      <c r="O2706" s="1" t="s">
        <v>1083</v>
      </c>
    </row>
    <row r="2707" spans="1:15" ht="75" x14ac:dyDescent="0.25">
      <c r="A2707" s="1" t="s">
        <v>1252</v>
      </c>
      <c r="B2707" s="1"/>
      <c r="C2707" s="1" t="s">
        <v>3810</v>
      </c>
      <c r="D2707" s="1">
        <v>131058</v>
      </c>
      <c r="E2707" s="1">
        <v>73</v>
      </c>
      <c r="F2707" s="1" t="s">
        <v>3811</v>
      </c>
      <c r="G2707" s="1" t="s">
        <v>3812</v>
      </c>
      <c r="H2707" s="1" t="s">
        <v>141</v>
      </c>
      <c r="I2707" s="1" t="s">
        <v>65</v>
      </c>
      <c r="J2707" s="1">
        <v>3</v>
      </c>
      <c r="K2707" s="1" t="s">
        <v>142</v>
      </c>
      <c r="L2707" s="1" t="s">
        <v>153</v>
      </c>
      <c r="M2707" s="1" t="s">
        <v>1256</v>
      </c>
      <c r="N2707" s="1" t="str">
        <f>HYPERLINK("https://klocwork.india.ti.com:443/review/insight-review.html#issuedetails_goto:problemid=131058,project=MCU_PLUS_SDK_AM263X,searchquery=taxonomy:'C and C++' build:Build_Apr_13_2023_11_11_AM grouping:off ","KW Issue Link")</f>
        <v>KW Issue Link</v>
      </c>
      <c r="O2707" s="1" t="s">
        <v>1083</v>
      </c>
    </row>
    <row r="2708" spans="1:15" ht="75" x14ac:dyDescent="0.25">
      <c r="A2708" s="1" t="s">
        <v>1252</v>
      </c>
      <c r="B2708" s="1"/>
      <c r="C2708" s="1" t="s">
        <v>3810</v>
      </c>
      <c r="D2708" s="1">
        <v>131059</v>
      </c>
      <c r="E2708" s="1">
        <v>167</v>
      </c>
      <c r="F2708" s="1" t="s">
        <v>3813</v>
      </c>
      <c r="G2708" s="1" t="s">
        <v>3814</v>
      </c>
      <c r="H2708" s="1" t="s">
        <v>141</v>
      </c>
      <c r="I2708" s="1" t="s">
        <v>65</v>
      </c>
      <c r="J2708" s="1">
        <v>3</v>
      </c>
      <c r="K2708" s="1" t="s">
        <v>142</v>
      </c>
      <c r="L2708" s="1" t="s">
        <v>153</v>
      </c>
      <c r="M2708" s="1" t="s">
        <v>1256</v>
      </c>
      <c r="N2708" s="1" t="str">
        <f>HYPERLINK("https://klocwork.india.ti.com:443/review/insight-review.html#issuedetails_goto:problemid=131059,project=MCU_PLUS_SDK_AM263X,searchquery=taxonomy:'C and C++' build:Build_Apr_13_2023_11_11_AM grouping:off ","KW Issue Link")</f>
        <v>KW Issue Link</v>
      </c>
      <c r="O2708" s="1" t="s">
        <v>1083</v>
      </c>
    </row>
    <row r="2709" spans="1:15" ht="75" x14ac:dyDescent="0.25">
      <c r="A2709" s="1" t="s">
        <v>1252</v>
      </c>
      <c r="B2709" s="1"/>
      <c r="C2709" s="1" t="s">
        <v>3810</v>
      </c>
      <c r="D2709" s="1">
        <v>131060</v>
      </c>
      <c r="E2709" s="1">
        <v>206</v>
      </c>
      <c r="F2709" s="1" t="s">
        <v>3815</v>
      </c>
      <c r="G2709" s="1" t="s">
        <v>3816</v>
      </c>
      <c r="H2709" s="1" t="s">
        <v>141</v>
      </c>
      <c r="I2709" s="1" t="s">
        <v>65</v>
      </c>
      <c r="J2709" s="1">
        <v>3</v>
      </c>
      <c r="K2709" s="1" t="s">
        <v>142</v>
      </c>
      <c r="L2709" s="1" t="s">
        <v>153</v>
      </c>
      <c r="M2709" s="1" t="s">
        <v>1256</v>
      </c>
      <c r="N2709" s="1" t="str">
        <f>HYPERLINK("https://klocwork.india.ti.com:443/review/insight-review.html#issuedetails_goto:problemid=131060,project=MCU_PLUS_SDK_AM263X,searchquery=taxonomy:'C and C++' build:Build_Apr_13_2023_11_11_AM grouping:off ","KW Issue Link")</f>
        <v>KW Issue Link</v>
      </c>
      <c r="O2709" s="1" t="s">
        <v>1083</v>
      </c>
    </row>
    <row r="2710" spans="1:15" ht="75" x14ac:dyDescent="0.25">
      <c r="A2710" s="1" t="s">
        <v>1252</v>
      </c>
      <c r="B2710" s="1"/>
      <c r="C2710" s="1" t="s">
        <v>3810</v>
      </c>
      <c r="D2710" s="1">
        <v>131061</v>
      </c>
      <c r="E2710" s="1">
        <v>316</v>
      </c>
      <c r="F2710" s="1" t="s">
        <v>3817</v>
      </c>
      <c r="G2710" s="1" t="s">
        <v>3818</v>
      </c>
      <c r="H2710" s="1" t="s">
        <v>141</v>
      </c>
      <c r="I2710" s="1" t="s">
        <v>65</v>
      </c>
      <c r="J2710" s="1">
        <v>3</v>
      </c>
      <c r="K2710" s="1" t="s">
        <v>142</v>
      </c>
      <c r="L2710" s="1" t="s">
        <v>153</v>
      </c>
      <c r="M2710" s="1" t="s">
        <v>1256</v>
      </c>
      <c r="N2710" s="1" t="str">
        <f>HYPERLINK("https://klocwork.india.ti.com:443/review/insight-review.html#issuedetails_goto:problemid=131061,project=MCU_PLUS_SDK_AM263X,searchquery=taxonomy:'C and C++' build:Build_Apr_13_2023_11_11_AM grouping:off ","KW Issue Link")</f>
        <v>KW Issue Link</v>
      </c>
      <c r="O2710" s="1" t="s">
        <v>1083</v>
      </c>
    </row>
    <row r="2711" spans="1:15" ht="75" x14ac:dyDescent="0.25">
      <c r="A2711" s="1" t="s">
        <v>1252</v>
      </c>
      <c r="B2711" s="1"/>
      <c r="C2711" s="1" t="s">
        <v>3810</v>
      </c>
      <c r="D2711" s="1">
        <v>131062</v>
      </c>
      <c r="E2711" s="1">
        <v>352</v>
      </c>
      <c r="F2711" s="1" t="s">
        <v>3819</v>
      </c>
      <c r="G2711" s="1" t="s">
        <v>3820</v>
      </c>
      <c r="H2711" s="1" t="s">
        <v>141</v>
      </c>
      <c r="I2711" s="1" t="s">
        <v>65</v>
      </c>
      <c r="J2711" s="1">
        <v>3</v>
      </c>
      <c r="K2711" s="1" t="s">
        <v>142</v>
      </c>
      <c r="L2711" s="1" t="s">
        <v>153</v>
      </c>
      <c r="M2711" s="1" t="s">
        <v>1256</v>
      </c>
      <c r="N2711" s="1" t="str">
        <f>HYPERLINK("https://klocwork.india.ti.com:443/review/insight-review.html#issuedetails_goto:problemid=131062,project=MCU_PLUS_SDK_AM263X,searchquery=taxonomy:'C and C++' build:Build_Apr_13_2023_11_11_AM grouping:off ","KW Issue Link")</f>
        <v>KW Issue Link</v>
      </c>
      <c r="O2711" s="1" t="s">
        <v>1083</v>
      </c>
    </row>
    <row r="2712" spans="1:15" ht="75" x14ac:dyDescent="0.25">
      <c r="A2712" s="1" t="s">
        <v>1257</v>
      </c>
      <c r="B2712" s="1"/>
      <c r="C2712" s="1" t="s">
        <v>3810</v>
      </c>
      <c r="D2712" s="1">
        <v>131063</v>
      </c>
      <c r="E2712" s="1">
        <v>73</v>
      </c>
      <c r="F2712" s="1" t="s">
        <v>3821</v>
      </c>
      <c r="G2712" s="1" t="s">
        <v>3812</v>
      </c>
      <c r="H2712" s="1" t="s">
        <v>141</v>
      </c>
      <c r="I2712" s="1" t="s">
        <v>65</v>
      </c>
      <c r="J2712" s="1">
        <v>3</v>
      </c>
      <c r="K2712" s="1" t="s">
        <v>142</v>
      </c>
      <c r="L2712" s="1" t="s">
        <v>153</v>
      </c>
      <c r="M2712" s="1" t="s">
        <v>1256</v>
      </c>
      <c r="N2712" s="1" t="str">
        <f>HYPERLINK("https://klocwork.india.ti.com:443/review/insight-review.html#issuedetails_goto:problemid=131063,project=MCU_PLUS_SDK_AM263X,searchquery=taxonomy:'C and C++' build:Build_Apr_13_2023_11_11_AM grouping:off ","KW Issue Link")</f>
        <v>KW Issue Link</v>
      </c>
      <c r="O2712" s="1" t="s">
        <v>1083</v>
      </c>
    </row>
    <row r="2713" spans="1:15" ht="75" x14ac:dyDescent="0.25">
      <c r="A2713" s="1" t="s">
        <v>1266</v>
      </c>
      <c r="B2713" s="1"/>
      <c r="C2713" s="1" t="s">
        <v>3810</v>
      </c>
      <c r="D2713" s="1">
        <v>131064</v>
      </c>
      <c r="E2713" s="1">
        <v>73</v>
      </c>
      <c r="F2713" s="1" t="s">
        <v>3822</v>
      </c>
      <c r="G2713" s="1" t="s">
        <v>3812</v>
      </c>
      <c r="H2713" s="1" t="s">
        <v>141</v>
      </c>
      <c r="I2713" s="1" t="s">
        <v>65</v>
      </c>
      <c r="J2713" s="1">
        <v>3</v>
      </c>
      <c r="K2713" s="1" t="s">
        <v>142</v>
      </c>
      <c r="L2713" s="1" t="s">
        <v>153</v>
      </c>
      <c r="M2713" s="1" t="s">
        <v>1256</v>
      </c>
      <c r="N2713" s="1" t="str">
        <f>HYPERLINK("https://klocwork.india.ti.com:443/review/insight-review.html#issuedetails_goto:problemid=131064,project=MCU_PLUS_SDK_AM263X,searchquery=taxonomy:'C and C++' build:Build_Apr_13_2023_11_11_AM grouping:off ","KW Issue Link")</f>
        <v>KW Issue Link</v>
      </c>
      <c r="O2713" s="1" t="s">
        <v>1083</v>
      </c>
    </row>
    <row r="2714" spans="1:15" ht="75" x14ac:dyDescent="0.25">
      <c r="A2714" s="1" t="s">
        <v>1266</v>
      </c>
      <c r="B2714" s="1"/>
      <c r="C2714" s="1" t="s">
        <v>3810</v>
      </c>
      <c r="D2714" s="1">
        <v>131065</v>
      </c>
      <c r="E2714" s="1">
        <v>206</v>
      </c>
      <c r="F2714" s="1" t="s">
        <v>3823</v>
      </c>
      <c r="G2714" s="1" t="s">
        <v>3816</v>
      </c>
      <c r="H2714" s="1" t="s">
        <v>141</v>
      </c>
      <c r="I2714" s="1" t="s">
        <v>65</v>
      </c>
      <c r="J2714" s="1">
        <v>3</v>
      </c>
      <c r="K2714" s="1" t="s">
        <v>142</v>
      </c>
      <c r="L2714" s="1" t="s">
        <v>153</v>
      </c>
      <c r="M2714" s="1" t="s">
        <v>1256</v>
      </c>
      <c r="N2714" s="1" t="str">
        <f>HYPERLINK("https://klocwork.india.ti.com:443/review/insight-review.html#issuedetails_goto:problemid=131065,project=MCU_PLUS_SDK_AM263X,searchquery=taxonomy:'C and C++' build:Build_Apr_13_2023_11_11_AM grouping:off ","KW Issue Link")</f>
        <v>KW Issue Link</v>
      </c>
      <c r="O2714" s="1" t="s">
        <v>1083</v>
      </c>
    </row>
    <row r="2715" spans="1:15" ht="75" x14ac:dyDescent="0.25">
      <c r="A2715" s="1" t="s">
        <v>1268</v>
      </c>
      <c r="B2715" s="1"/>
      <c r="C2715" s="1" t="s">
        <v>3810</v>
      </c>
      <c r="D2715" s="1">
        <v>131066</v>
      </c>
      <c r="E2715" s="1">
        <v>73</v>
      </c>
      <c r="F2715" s="1" t="s">
        <v>3824</v>
      </c>
      <c r="G2715" s="1" t="s">
        <v>3812</v>
      </c>
      <c r="H2715" s="1" t="s">
        <v>141</v>
      </c>
      <c r="I2715" s="1" t="s">
        <v>65</v>
      </c>
      <c r="J2715" s="1">
        <v>3</v>
      </c>
      <c r="K2715" s="1" t="s">
        <v>142</v>
      </c>
      <c r="L2715" s="1" t="s">
        <v>153</v>
      </c>
      <c r="M2715" s="1" t="s">
        <v>1256</v>
      </c>
      <c r="N2715" s="1" t="str">
        <f>HYPERLINK("https://klocwork.india.ti.com:443/review/insight-review.html#issuedetails_goto:problemid=131066,project=MCU_PLUS_SDK_AM263X,searchquery=taxonomy:'C and C++' build:Build_Apr_13_2023_11_11_AM grouping:off ","KW Issue Link")</f>
        <v>KW Issue Link</v>
      </c>
      <c r="O2715" s="1" t="s">
        <v>1083</v>
      </c>
    </row>
    <row r="2716" spans="1:15" ht="75" x14ac:dyDescent="0.25">
      <c r="A2716" s="1" t="s">
        <v>1268</v>
      </c>
      <c r="B2716" s="1"/>
      <c r="C2716" s="1" t="s">
        <v>3810</v>
      </c>
      <c r="D2716" s="1">
        <v>131067</v>
      </c>
      <c r="E2716" s="1">
        <v>206</v>
      </c>
      <c r="F2716" s="1" t="s">
        <v>3825</v>
      </c>
      <c r="G2716" s="1" t="s">
        <v>3816</v>
      </c>
      <c r="H2716" s="1" t="s">
        <v>141</v>
      </c>
      <c r="I2716" s="1" t="s">
        <v>65</v>
      </c>
      <c r="J2716" s="1">
        <v>3</v>
      </c>
      <c r="K2716" s="1" t="s">
        <v>142</v>
      </c>
      <c r="L2716" s="1" t="s">
        <v>153</v>
      </c>
      <c r="M2716" s="1" t="s">
        <v>1256</v>
      </c>
      <c r="N2716" s="1" t="str">
        <f>HYPERLINK("https://klocwork.india.ti.com:443/review/insight-review.html#issuedetails_goto:problemid=131067,project=MCU_PLUS_SDK_AM263X,searchquery=taxonomy:'C and C++' build:Build_Apr_13_2023_11_11_AM grouping:off ","KW Issue Link")</f>
        <v>KW Issue Link</v>
      </c>
      <c r="O2716" s="1" t="s">
        <v>1083</v>
      </c>
    </row>
    <row r="2717" spans="1:15" ht="75" x14ac:dyDescent="0.25">
      <c r="A2717" s="1" t="s">
        <v>997</v>
      </c>
      <c r="B2717" s="1"/>
      <c r="C2717" s="1" t="s">
        <v>3810</v>
      </c>
      <c r="D2717" s="1">
        <v>131080</v>
      </c>
      <c r="E2717" s="1">
        <v>140</v>
      </c>
      <c r="F2717" s="1" t="s">
        <v>3826</v>
      </c>
      <c r="G2717" s="1" t="s">
        <v>3812</v>
      </c>
      <c r="H2717" s="1" t="s">
        <v>141</v>
      </c>
      <c r="I2717" s="1" t="s">
        <v>66</v>
      </c>
      <c r="J2717" s="1">
        <v>4</v>
      </c>
      <c r="K2717" s="1" t="s">
        <v>142</v>
      </c>
      <c r="L2717" s="1" t="s">
        <v>153</v>
      </c>
      <c r="M2717" s="1" t="s">
        <v>28</v>
      </c>
      <c r="N2717" s="1" t="str">
        <f>HYPERLINK("https://klocwork.india.ti.com:443/review/insight-review.html#issuedetails_goto:problemid=131080,project=MCU_PLUS_SDK_AM263X,searchquery=taxonomy:'C and C++' build:Build_Apr_13_2023_11_11_AM grouping:off ","KW Issue Link")</f>
        <v>KW Issue Link</v>
      </c>
      <c r="O2717" s="1" t="s">
        <v>1083</v>
      </c>
    </row>
    <row r="2718" spans="1:15" ht="75" x14ac:dyDescent="0.25">
      <c r="A2718" s="1" t="s">
        <v>997</v>
      </c>
      <c r="B2718" s="1"/>
      <c r="C2718" s="1" t="s">
        <v>3810</v>
      </c>
      <c r="D2718" s="1">
        <v>131081</v>
      </c>
      <c r="E2718" s="1">
        <v>141</v>
      </c>
      <c r="F2718" s="1" t="s">
        <v>3826</v>
      </c>
      <c r="G2718" s="1" t="s">
        <v>3812</v>
      </c>
      <c r="H2718" s="1" t="s">
        <v>141</v>
      </c>
      <c r="I2718" s="1" t="s">
        <v>66</v>
      </c>
      <c r="J2718" s="1">
        <v>4</v>
      </c>
      <c r="K2718" s="1" t="s">
        <v>142</v>
      </c>
      <c r="L2718" s="1" t="s">
        <v>153</v>
      </c>
      <c r="M2718" s="1" t="s">
        <v>28</v>
      </c>
      <c r="N2718" s="1" t="str">
        <f>HYPERLINK("https://klocwork.india.ti.com:443/review/insight-review.html#issuedetails_goto:problemid=131081,project=MCU_PLUS_SDK_AM263X,searchquery=taxonomy:'C and C++' build:Build_Apr_13_2023_11_11_AM grouping:off ","KW Issue Link")</f>
        <v>KW Issue Link</v>
      </c>
      <c r="O2718" s="1" t="s">
        <v>1083</v>
      </c>
    </row>
    <row r="2719" spans="1:15" ht="75" x14ac:dyDescent="0.25">
      <c r="A2719" s="1" t="s">
        <v>997</v>
      </c>
      <c r="B2719" s="1"/>
      <c r="C2719" s="1" t="s">
        <v>3810</v>
      </c>
      <c r="D2719" s="1">
        <v>131082</v>
      </c>
      <c r="E2719" s="1">
        <v>142</v>
      </c>
      <c r="F2719" s="1" t="s">
        <v>3827</v>
      </c>
      <c r="G2719" s="1" t="s">
        <v>3812</v>
      </c>
      <c r="H2719" s="1" t="s">
        <v>141</v>
      </c>
      <c r="I2719" s="1" t="s">
        <v>66</v>
      </c>
      <c r="J2719" s="1">
        <v>4</v>
      </c>
      <c r="K2719" s="1" t="s">
        <v>142</v>
      </c>
      <c r="L2719" s="1" t="s">
        <v>153</v>
      </c>
      <c r="M2719" s="1" t="s">
        <v>28</v>
      </c>
      <c r="N2719" s="1" t="str">
        <f>HYPERLINK("https://klocwork.india.ti.com:443/review/insight-review.html#issuedetails_goto:problemid=131082,project=MCU_PLUS_SDK_AM263X,searchquery=taxonomy:'C and C++' build:Build_Apr_13_2023_11_11_AM grouping:off ","KW Issue Link")</f>
        <v>KW Issue Link</v>
      </c>
      <c r="O2719" s="1" t="s">
        <v>1083</v>
      </c>
    </row>
    <row r="2720" spans="1:15" ht="75" x14ac:dyDescent="0.25">
      <c r="A2720" s="1" t="s">
        <v>997</v>
      </c>
      <c r="B2720" s="1"/>
      <c r="C2720" s="1" t="s">
        <v>3810</v>
      </c>
      <c r="D2720" s="1">
        <v>131083</v>
      </c>
      <c r="E2720" s="1">
        <v>247</v>
      </c>
      <c r="F2720" s="1" t="s">
        <v>3828</v>
      </c>
      <c r="G2720" s="1" t="s">
        <v>3816</v>
      </c>
      <c r="H2720" s="1" t="s">
        <v>141</v>
      </c>
      <c r="I2720" s="1" t="s">
        <v>66</v>
      </c>
      <c r="J2720" s="1">
        <v>4</v>
      </c>
      <c r="K2720" s="1" t="s">
        <v>142</v>
      </c>
      <c r="L2720" s="1" t="s">
        <v>153</v>
      </c>
      <c r="M2720" s="1" t="s">
        <v>28</v>
      </c>
      <c r="N2720" s="1" t="str">
        <f>HYPERLINK("https://klocwork.india.ti.com:443/review/insight-review.html#issuedetails_goto:problemid=131083,project=MCU_PLUS_SDK_AM263X,searchquery=taxonomy:'C and C++' build:Build_Apr_13_2023_11_11_AM grouping:off ","KW Issue Link")</f>
        <v>KW Issue Link</v>
      </c>
      <c r="O2720" s="1" t="s">
        <v>1083</v>
      </c>
    </row>
    <row r="2721" spans="1:15" ht="75" x14ac:dyDescent="0.25">
      <c r="A2721" s="1" t="s">
        <v>997</v>
      </c>
      <c r="B2721" s="1"/>
      <c r="C2721" s="1" t="s">
        <v>3810</v>
      </c>
      <c r="D2721" s="1">
        <v>131084</v>
      </c>
      <c r="E2721" s="1">
        <v>250</v>
      </c>
      <c r="F2721" s="1" t="s">
        <v>3829</v>
      </c>
      <c r="G2721" s="1" t="s">
        <v>3816</v>
      </c>
      <c r="H2721" s="1" t="s">
        <v>141</v>
      </c>
      <c r="I2721" s="1" t="s">
        <v>66</v>
      </c>
      <c r="J2721" s="1">
        <v>4</v>
      </c>
      <c r="K2721" s="1" t="s">
        <v>142</v>
      </c>
      <c r="L2721" s="1" t="s">
        <v>153</v>
      </c>
      <c r="M2721" s="1" t="s">
        <v>28</v>
      </c>
      <c r="N2721" s="1" t="str">
        <f>HYPERLINK("https://klocwork.india.ti.com:443/review/insight-review.html#issuedetails_goto:problemid=131084,project=MCU_PLUS_SDK_AM263X,searchquery=taxonomy:'C and C++' build:Build_Apr_13_2023_11_11_AM grouping:off ","KW Issue Link")</f>
        <v>KW Issue Link</v>
      </c>
      <c r="O2721" s="1" t="s">
        <v>1083</v>
      </c>
    </row>
    <row r="2722" spans="1:15" ht="75" x14ac:dyDescent="0.25">
      <c r="A2722" s="1" t="s">
        <v>997</v>
      </c>
      <c r="B2722" s="1"/>
      <c r="C2722" s="1" t="s">
        <v>3810</v>
      </c>
      <c r="D2722" s="1">
        <v>131085</v>
      </c>
      <c r="E2722" s="1">
        <v>270</v>
      </c>
      <c r="F2722" s="1" t="s">
        <v>3830</v>
      </c>
      <c r="G2722" s="1" t="s">
        <v>3816</v>
      </c>
      <c r="H2722" s="1" t="s">
        <v>141</v>
      </c>
      <c r="I2722" s="1" t="s">
        <v>66</v>
      </c>
      <c r="J2722" s="1">
        <v>4</v>
      </c>
      <c r="K2722" s="1" t="s">
        <v>142</v>
      </c>
      <c r="L2722" s="1" t="s">
        <v>153</v>
      </c>
      <c r="M2722" s="1" t="s">
        <v>28</v>
      </c>
      <c r="N2722" s="1" t="str">
        <f>HYPERLINK("https://klocwork.india.ti.com:443/review/insight-review.html#issuedetails_goto:problemid=131085,project=MCU_PLUS_SDK_AM263X,searchquery=taxonomy:'C and C++' build:Build_Apr_13_2023_11_11_AM grouping:off ","KW Issue Link")</f>
        <v>KW Issue Link</v>
      </c>
      <c r="O2722" s="1" t="s">
        <v>1083</v>
      </c>
    </row>
    <row r="2723" spans="1:15" ht="75" x14ac:dyDescent="0.25">
      <c r="A2723" s="1" t="s">
        <v>1252</v>
      </c>
      <c r="B2723" s="1"/>
      <c r="C2723" s="1" t="s">
        <v>3831</v>
      </c>
      <c r="D2723" s="1">
        <v>131161</v>
      </c>
      <c r="E2723" s="1">
        <v>577</v>
      </c>
      <c r="F2723" s="1" t="s">
        <v>3832</v>
      </c>
      <c r="G2723" s="1" t="s">
        <v>3833</v>
      </c>
      <c r="H2723" s="1" t="s">
        <v>141</v>
      </c>
      <c r="I2723" s="1" t="s">
        <v>65</v>
      </c>
      <c r="J2723" s="1">
        <v>3</v>
      </c>
      <c r="K2723" s="1" t="s">
        <v>142</v>
      </c>
      <c r="L2723" s="1" t="s">
        <v>153</v>
      </c>
      <c r="M2723" s="1" t="s">
        <v>1256</v>
      </c>
      <c r="N2723" s="1" t="str">
        <f>HYPERLINK("https://klocwork.india.ti.com:443/review/insight-review.html#issuedetails_goto:problemid=131161,project=MCU_PLUS_SDK_AM263X,searchquery=taxonomy:'C and C++' build:Build_Apr_13_2023_11_11_AM grouping:off ","KW Issue Link")</f>
        <v>KW Issue Link</v>
      </c>
      <c r="O2723" s="1" t="s">
        <v>1083</v>
      </c>
    </row>
    <row r="2724" spans="1:15" ht="75" x14ac:dyDescent="0.25">
      <c r="A2724" s="1" t="s">
        <v>1252</v>
      </c>
      <c r="B2724" s="1"/>
      <c r="C2724" s="1" t="s">
        <v>3831</v>
      </c>
      <c r="D2724" s="1">
        <v>131162</v>
      </c>
      <c r="E2724" s="1">
        <v>1343</v>
      </c>
      <c r="F2724" s="1" t="s">
        <v>3834</v>
      </c>
      <c r="G2724" s="1" t="s">
        <v>3835</v>
      </c>
      <c r="H2724" s="1" t="s">
        <v>141</v>
      </c>
      <c r="I2724" s="1" t="s">
        <v>65</v>
      </c>
      <c r="J2724" s="1">
        <v>3</v>
      </c>
      <c r="K2724" s="1" t="s">
        <v>142</v>
      </c>
      <c r="L2724" s="1" t="s">
        <v>153</v>
      </c>
      <c r="M2724" s="1" t="s">
        <v>1256</v>
      </c>
      <c r="N2724" s="1" t="str">
        <f>HYPERLINK("https://klocwork.india.ti.com:443/review/insight-review.html#issuedetails_goto:problemid=131162,project=MCU_PLUS_SDK_AM263X,searchquery=taxonomy:'C and C++' build:Build_Apr_13_2023_11_11_AM grouping:off ","KW Issue Link")</f>
        <v>KW Issue Link</v>
      </c>
      <c r="O2724" s="1" t="s">
        <v>1083</v>
      </c>
    </row>
    <row r="2725" spans="1:15" ht="75" x14ac:dyDescent="0.25">
      <c r="A2725" s="1" t="s">
        <v>1266</v>
      </c>
      <c r="B2725" s="1"/>
      <c r="C2725" s="1" t="s">
        <v>3831</v>
      </c>
      <c r="D2725" s="1">
        <v>131299</v>
      </c>
      <c r="E2725" s="1">
        <v>663</v>
      </c>
      <c r="F2725" s="1" t="s">
        <v>3836</v>
      </c>
      <c r="G2725" s="1" t="s">
        <v>3837</v>
      </c>
      <c r="H2725" s="1" t="s">
        <v>141</v>
      </c>
      <c r="I2725" s="1" t="s">
        <v>65</v>
      </c>
      <c r="J2725" s="1">
        <v>3</v>
      </c>
      <c r="K2725" s="1" t="s">
        <v>142</v>
      </c>
      <c r="L2725" s="1" t="s">
        <v>153</v>
      </c>
      <c r="M2725" s="1" t="s">
        <v>1256</v>
      </c>
      <c r="N2725" s="1" t="str">
        <f>HYPERLINK("https://klocwork.india.ti.com:443/review/insight-review.html#issuedetails_goto:problemid=131299,project=MCU_PLUS_SDK_AM263X,searchquery=taxonomy:'C and C++' build:Build_Apr_13_2023_11_11_AM grouping:off ","KW Issue Link")</f>
        <v>KW Issue Link</v>
      </c>
      <c r="O2725" s="1" t="s">
        <v>1083</v>
      </c>
    </row>
    <row r="2726" spans="1:15" ht="75" x14ac:dyDescent="0.25">
      <c r="A2726" s="1" t="s">
        <v>1266</v>
      </c>
      <c r="B2726" s="1"/>
      <c r="C2726" s="1" t="s">
        <v>3831</v>
      </c>
      <c r="D2726" s="1">
        <v>131300</v>
      </c>
      <c r="E2726" s="1">
        <v>702</v>
      </c>
      <c r="F2726" s="1" t="s">
        <v>3838</v>
      </c>
      <c r="G2726" s="1" t="s">
        <v>3839</v>
      </c>
      <c r="H2726" s="1" t="s">
        <v>141</v>
      </c>
      <c r="I2726" s="1" t="s">
        <v>65</v>
      </c>
      <c r="J2726" s="1">
        <v>3</v>
      </c>
      <c r="K2726" s="1" t="s">
        <v>142</v>
      </c>
      <c r="L2726" s="1" t="s">
        <v>153</v>
      </c>
      <c r="M2726" s="1" t="s">
        <v>1256</v>
      </c>
      <c r="N2726" s="1" t="str">
        <f>HYPERLINK("https://klocwork.india.ti.com:443/review/insight-review.html#issuedetails_goto:problemid=131300,project=MCU_PLUS_SDK_AM263X,searchquery=taxonomy:'C and C++' build:Build_Apr_13_2023_11_11_AM grouping:off ","KW Issue Link")</f>
        <v>KW Issue Link</v>
      </c>
      <c r="O2726" s="1" t="s">
        <v>1083</v>
      </c>
    </row>
    <row r="2727" spans="1:15" ht="75" x14ac:dyDescent="0.25">
      <c r="A2727" s="1" t="s">
        <v>1266</v>
      </c>
      <c r="B2727" s="1"/>
      <c r="C2727" s="1" t="s">
        <v>3831</v>
      </c>
      <c r="D2727" s="1">
        <v>131301</v>
      </c>
      <c r="E2727" s="1">
        <v>747</v>
      </c>
      <c r="F2727" s="1" t="s">
        <v>3840</v>
      </c>
      <c r="G2727" s="1" t="s">
        <v>3841</v>
      </c>
      <c r="H2727" s="1" t="s">
        <v>141</v>
      </c>
      <c r="I2727" s="1" t="s">
        <v>65</v>
      </c>
      <c r="J2727" s="1">
        <v>3</v>
      </c>
      <c r="K2727" s="1" t="s">
        <v>142</v>
      </c>
      <c r="L2727" s="1" t="s">
        <v>153</v>
      </c>
      <c r="M2727" s="1" t="s">
        <v>1256</v>
      </c>
      <c r="N2727" s="1" t="str">
        <f>HYPERLINK("https://klocwork.india.ti.com:443/review/insight-review.html#issuedetails_goto:problemid=131301,project=MCU_PLUS_SDK_AM263X,searchquery=taxonomy:'C and C++' build:Build_Apr_13_2023_11_11_AM grouping:off ","KW Issue Link")</f>
        <v>KW Issue Link</v>
      </c>
      <c r="O2727" s="1" t="s">
        <v>1083</v>
      </c>
    </row>
    <row r="2728" spans="1:15" ht="75" x14ac:dyDescent="0.25">
      <c r="A2728" s="1" t="s">
        <v>1266</v>
      </c>
      <c r="B2728" s="1"/>
      <c r="C2728" s="1" t="s">
        <v>3831</v>
      </c>
      <c r="D2728" s="1">
        <v>131302</v>
      </c>
      <c r="E2728" s="1">
        <v>1045</v>
      </c>
      <c r="F2728" s="1" t="s">
        <v>3842</v>
      </c>
      <c r="G2728" s="1" t="s">
        <v>3843</v>
      </c>
      <c r="H2728" s="1" t="s">
        <v>141</v>
      </c>
      <c r="I2728" s="1" t="s">
        <v>65</v>
      </c>
      <c r="J2728" s="1">
        <v>3</v>
      </c>
      <c r="K2728" s="1" t="s">
        <v>142</v>
      </c>
      <c r="L2728" s="1" t="s">
        <v>153</v>
      </c>
      <c r="M2728" s="1" t="s">
        <v>1256</v>
      </c>
      <c r="N2728" s="1" t="str">
        <f>HYPERLINK("https://klocwork.india.ti.com:443/review/insight-review.html#issuedetails_goto:problemid=131302,project=MCU_PLUS_SDK_AM263X,searchquery=taxonomy:'C and C++' build:Build_Apr_13_2023_11_11_AM grouping:off ","KW Issue Link")</f>
        <v>KW Issue Link</v>
      </c>
      <c r="O2728" s="1" t="s">
        <v>1083</v>
      </c>
    </row>
    <row r="2729" spans="1:15" ht="75" x14ac:dyDescent="0.25">
      <c r="A2729" s="1" t="s">
        <v>1266</v>
      </c>
      <c r="B2729" s="1"/>
      <c r="C2729" s="1" t="s">
        <v>3831</v>
      </c>
      <c r="D2729" s="1">
        <v>131303</v>
      </c>
      <c r="E2729" s="1">
        <v>1066</v>
      </c>
      <c r="F2729" s="1" t="s">
        <v>3844</v>
      </c>
      <c r="G2729" s="1" t="s">
        <v>3845</v>
      </c>
      <c r="H2729" s="1" t="s">
        <v>141</v>
      </c>
      <c r="I2729" s="1" t="s">
        <v>65</v>
      </c>
      <c r="J2729" s="1">
        <v>3</v>
      </c>
      <c r="K2729" s="1" t="s">
        <v>142</v>
      </c>
      <c r="L2729" s="1" t="s">
        <v>153</v>
      </c>
      <c r="M2729" s="1" t="s">
        <v>1256</v>
      </c>
      <c r="N2729" s="1" t="str">
        <f>HYPERLINK("https://klocwork.india.ti.com:443/review/insight-review.html#issuedetails_goto:problemid=131303,project=MCU_PLUS_SDK_AM263X,searchquery=taxonomy:'C and C++' build:Build_Apr_13_2023_11_11_AM grouping:off ","KW Issue Link")</f>
        <v>KW Issue Link</v>
      </c>
      <c r="O2729" s="1" t="s">
        <v>1083</v>
      </c>
    </row>
    <row r="2730" spans="1:15" ht="75" x14ac:dyDescent="0.25">
      <c r="A2730" s="1" t="s">
        <v>1266</v>
      </c>
      <c r="B2730" s="1"/>
      <c r="C2730" s="1" t="s">
        <v>3831</v>
      </c>
      <c r="D2730" s="1">
        <v>131304</v>
      </c>
      <c r="E2730" s="1">
        <v>1103</v>
      </c>
      <c r="F2730" s="1" t="s">
        <v>3846</v>
      </c>
      <c r="G2730" s="1" t="s">
        <v>3847</v>
      </c>
      <c r="H2730" s="1" t="s">
        <v>141</v>
      </c>
      <c r="I2730" s="1" t="s">
        <v>65</v>
      </c>
      <c r="J2730" s="1">
        <v>3</v>
      </c>
      <c r="K2730" s="1" t="s">
        <v>142</v>
      </c>
      <c r="L2730" s="1" t="s">
        <v>153</v>
      </c>
      <c r="M2730" s="1" t="s">
        <v>1256</v>
      </c>
      <c r="N2730" s="1" t="str">
        <f>HYPERLINK("https://klocwork.india.ti.com:443/review/insight-review.html#issuedetails_goto:problemid=131304,project=MCU_PLUS_SDK_AM263X,searchquery=taxonomy:'C and C++' build:Build_Apr_13_2023_11_11_AM grouping:off ","KW Issue Link")</f>
        <v>KW Issue Link</v>
      </c>
      <c r="O2730" s="1" t="s">
        <v>1083</v>
      </c>
    </row>
    <row r="2731" spans="1:15" ht="75" x14ac:dyDescent="0.25">
      <c r="A2731" s="1" t="s">
        <v>1266</v>
      </c>
      <c r="B2731" s="1"/>
      <c r="C2731" s="1" t="s">
        <v>3831</v>
      </c>
      <c r="D2731" s="1">
        <v>131305</v>
      </c>
      <c r="E2731" s="1">
        <v>1225</v>
      </c>
      <c r="F2731" s="1" t="s">
        <v>3848</v>
      </c>
      <c r="G2731" s="1" t="s">
        <v>3849</v>
      </c>
      <c r="H2731" s="1" t="s">
        <v>141</v>
      </c>
      <c r="I2731" s="1" t="s">
        <v>65</v>
      </c>
      <c r="J2731" s="1">
        <v>3</v>
      </c>
      <c r="K2731" s="1" t="s">
        <v>142</v>
      </c>
      <c r="L2731" s="1" t="s">
        <v>153</v>
      </c>
      <c r="M2731" s="1" t="s">
        <v>1256</v>
      </c>
      <c r="N2731" s="1" t="str">
        <f>HYPERLINK("https://klocwork.india.ti.com:443/review/insight-review.html#issuedetails_goto:problemid=131305,project=MCU_PLUS_SDK_AM263X,searchquery=taxonomy:'C and C++' build:Build_Apr_13_2023_11_11_AM grouping:off ","KW Issue Link")</f>
        <v>KW Issue Link</v>
      </c>
      <c r="O2731" s="1" t="s">
        <v>1083</v>
      </c>
    </row>
    <row r="2732" spans="1:15" ht="75" x14ac:dyDescent="0.25">
      <c r="A2732" s="1" t="s">
        <v>1266</v>
      </c>
      <c r="B2732" s="1"/>
      <c r="C2732" s="1" t="s">
        <v>3831</v>
      </c>
      <c r="D2732" s="1">
        <v>131306</v>
      </c>
      <c r="E2732" s="1">
        <v>1282</v>
      </c>
      <c r="F2732" s="1" t="s">
        <v>3850</v>
      </c>
      <c r="G2732" s="1" t="s">
        <v>3851</v>
      </c>
      <c r="H2732" s="1" t="s">
        <v>141</v>
      </c>
      <c r="I2732" s="1" t="s">
        <v>65</v>
      </c>
      <c r="J2732" s="1">
        <v>3</v>
      </c>
      <c r="K2732" s="1" t="s">
        <v>142</v>
      </c>
      <c r="L2732" s="1" t="s">
        <v>153</v>
      </c>
      <c r="M2732" s="1" t="s">
        <v>1256</v>
      </c>
      <c r="N2732" s="1" t="str">
        <f>HYPERLINK("https://klocwork.india.ti.com:443/review/insight-review.html#issuedetails_goto:problemid=131306,project=MCU_PLUS_SDK_AM263X,searchquery=taxonomy:'C and C++' build:Build_Apr_13_2023_11_11_AM grouping:off ","KW Issue Link")</f>
        <v>KW Issue Link</v>
      </c>
      <c r="O2732" s="1" t="s">
        <v>1083</v>
      </c>
    </row>
    <row r="2733" spans="1:15" ht="75" x14ac:dyDescent="0.25">
      <c r="A2733" s="1" t="s">
        <v>1266</v>
      </c>
      <c r="B2733" s="1"/>
      <c r="C2733" s="1" t="s">
        <v>3831</v>
      </c>
      <c r="D2733" s="1">
        <v>131307</v>
      </c>
      <c r="E2733" s="1">
        <v>1343</v>
      </c>
      <c r="F2733" s="1" t="s">
        <v>3852</v>
      </c>
      <c r="G2733" s="1" t="s">
        <v>3835</v>
      </c>
      <c r="H2733" s="1" t="s">
        <v>141</v>
      </c>
      <c r="I2733" s="1" t="s">
        <v>65</v>
      </c>
      <c r="J2733" s="1">
        <v>3</v>
      </c>
      <c r="K2733" s="1" t="s">
        <v>142</v>
      </c>
      <c r="L2733" s="1" t="s">
        <v>153</v>
      </c>
      <c r="M2733" s="1" t="s">
        <v>1256</v>
      </c>
      <c r="N2733" s="1" t="str">
        <f>HYPERLINK("https://klocwork.india.ti.com:443/review/insight-review.html#issuedetails_goto:problemid=131307,project=MCU_PLUS_SDK_AM263X,searchquery=taxonomy:'C and C++' build:Build_Apr_13_2023_11_11_AM grouping:off ","KW Issue Link")</f>
        <v>KW Issue Link</v>
      </c>
      <c r="O2733" s="1" t="s">
        <v>1083</v>
      </c>
    </row>
    <row r="2734" spans="1:15" ht="75" x14ac:dyDescent="0.25">
      <c r="A2734" s="1" t="s">
        <v>1268</v>
      </c>
      <c r="B2734" s="1"/>
      <c r="C2734" s="1" t="s">
        <v>3831</v>
      </c>
      <c r="D2734" s="1">
        <v>131308</v>
      </c>
      <c r="E2734" s="1">
        <v>663</v>
      </c>
      <c r="F2734" s="1" t="s">
        <v>3853</v>
      </c>
      <c r="G2734" s="1" t="s">
        <v>3837</v>
      </c>
      <c r="H2734" s="1" t="s">
        <v>141</v>
      </c>
      <c r="I2734" s="1" t="s">
        <v>65</v>
      </c>
      <c r="J2734" s="1">
        <v>3</v>
      </c>
      <c r="K2734" s="1" t="s">
        <v>142</v>
      </c>
      <c r="L2734" s="1" t="s">
        <v>153</v>
      </c>
      <c r="M2734" s="1" t="s">
        <v>1256</v>
      </c>
      <c r="N2734" s="1" t="str">
        <f>HYPERLINK("https://klocwork.india.ti.com:443/review/insight-review.html#issuedetails_goto:problemid=131308,project=MCU_PLUS_SDK_AM263X,searchquery=taxonomy:'C and C++' build:Build_Apr_13_2023_11_11_AM grouping:off ","KW Issue Link")</f>
        <v>KW Issue Link</v>
      </c>
      <c r="O2734" s="1" t="s">
        <v>1083</v>
      </c>
    </row>
    <row r="2735" spans="1:15" ht="75" x14ac:dyDescent="0.25">
      <c r="A2735" s="1" t="s">
        <v>1268</v>
      </c>
      <c r="B2735" s="1"/>
      <c r="C2735" s="1" t="s">
        <v>3831</v>
      </c>
      <c r="D2735" s="1">
        <v>131309</v>
      </c>
      <c r="E2735" s="1">
        <v>702</v>
      </c>
      <c r="F2735" s="1" t="s">
        <v>3854</v>
      </c>
      <c r="G2735" s="1" t="s">
        <v>3839</v>
      </c>
      <c r="H2735" s="1" t="s">
        <v>141</v>
      </c>
      <c r="I2735" s="1" t="s">
        <v>65</v>
      </c>
      <c r="J2735" s="1">
        <v>3</v>
      </c>
      <c r="K2735" s="1" t="s">
        <v>142</v>
      </c>
      <c r="L2735" s="1" t="s">
        <v>153</v>
      </c>
      <c r="M2735" s="1" t="s">
        <v>1256</v>
      </c>
      <c r="N2735" s="1" t="str">
        <f>HYPERLINK("https://klocwork.india.ti.com:443/review/insight-review.html#issuedetails_goto:problemid=131309,project=MCU_PLUS_SDK_AM263X,searchquery=taxonomy:'C and C++' build:Build_Apr_13_2023_11_11_AM grouping:off ","KW Issue Link")</f>
        <v>KW Issue Link</v>
      </c>
      <c r="O2735" s="1" t="s">
        <v>1083</v>
      </c>
    </row>
    <row r="2736" spans="1:15" ht="75" x14ac:dyDescent="0.25">
      <c r="A2736" s="1" t="s">
        <v>1268</v>
      </c>
      <c r="B2736" s="1"/>
      <c r="C2736" s="1" t="s">
        <v>3831</v>
      </c>
      <c r="D2736" s="1">
        <v>131310</v>
      </c>
      <c r="E2736" s="1">
        <v>1045</v>
      </c>
      <c r="F2736" s="1" t="s">
        <v>3855</v>
      </c>
      <c r="G2736" s="1" t="s">
        <v>3843</v>
      </c>
      <c r="H2736" s="1" t="s">
        <v>141</v>
      </c>
      <c r="I2736" s="1" t="s">
        <v>65</v>
      </c>
      <c r="J2736" s="1">
        <v>3</v>
      </c>
      <c r="K2736" s="1" t="s">
        <v>142</v>
      </c>
      <c r="L2736" s="1" t="s">
        <v>153</v>
      </c>
      <c r="M2736" s="1" t="s">
        <v>1256</v>
      </c>
      <c r="N2736" s="1" t="str">
        <f>HYPERLINK("https://klocwork.india.ti.com:443/review/insight-review.html#issuedetails_goto:problemid=131310,project=MCU_PLUS_SDK_AM263X,searchquery=taxonomy:'C and C++' build:Build_Apr_13_2023_11_11_AM grouping:off ","KW Issue Link")</f>
        <v>KW Issue Link</v>
      </c>
      <c r="O2736" s="1" t="s">
        <v>1083</v>
      </c>
    </row>
    <row r="2737" spans="1:15" ht="75" x14ac:dyDescent="0.25">
      <c r="A2737" s="1" t="s">
        <v>1268</v>
      </c>
      <c r="B2737" s="1"/>
      <c r="C2737" s="1" t="s">
        <v>3831</v>
      </c>
      <c r="D2737" s="1">
        <v>131311</v>
      </c>
      <c r="E2737" s="1">
        <v>1066</v>
      </c>
      <c r="F2737" s="1" t="s">
        <v>3856</v>
      </c>
      <c r="G2737" s="1" t="s">
        <v>3845</v>
      </c>
      <c r="H2737" s="1" t="s">
        <v>141</v>
      </c>
      <c r="I2737" s="1" t="s">
        <v>65</v>
      </c>
      <c r="J2737" s="1">
        <v>3</v>
      </c>
      <c r="K2737" s="1" t="s">
        <v>142</v>
      </c>
      <c r="L2737" s="1" t="s">
        <v>153</v>
      </c>
      <c r="M2737" s="1" t="s">
        <v>1256</v>
      </c>
      <c r="N2737" s="1" t="str">
        <f>HYPERLINK("https://klocwork.india.ti.com:443/review/insight-review.html#issuedetails_goto:problemid=131311,project=MCU_PLUS_SDK_AM263X,searchquery=taxonomy:'C and C++' build:Build_Apr_13_2023_11_11_AM grouping:off ","KW Issue Link")</f>
        <v>KW Issue Link</v>
      </c>
      <c r="O2737" s="1" t="s">
        <v>1083</v>
      </c>
    </row>
    <row r="2738" spans="1:15" ht="75" x14ac:dyDescent="0.25">
      <c r="A2738" s="1" t="s">
        <v>1268</v>
      </c>
      <c r="B2738" s="1"/>
      <c r="C2738" s="1" t="s">
        <v>3831</v>
      </c>
      <c r="D2738" s="1">
        <v>131312</v>
      </c>
      <c r="E2738" s="1">
        <v>1103</v>
      </c>
      <c r="F2738" s="1" t="s">
        <v>3857</v>
      </c>
      <c r="G2738" s="1" t="s">
        <v>3847</v>
      </c>
      <c r="H2738" s="1" t="s">
        <v>141</v>
      </c>
      <c r="I2738" s="1" t="s">
        <v>65</v>
      </c>
      <c r="J2738" s="1">
        <v>3</v>
      </c>
      <c r="K2738" s="1" t="s">
        <v>142</v>
      </c>
      <c r="L2738" s="1" t="s">
        <v>153</v>
      </c>
      <c r="M2738" s="1" t="s">
        <v>1256</v>
      </c>
      <c r="N2738" s="1" t="str">
        <f>HYPERLINK("https://klocwork.india.ti.com:443/review/insight-review.html#issuedetails_goto:problemid=131312,project=MCU_PLUS_SDK_AM263X,searchquery=taxonomy:'C and C++' build:Build_Apr_13_2023_11_11_AM grouping:off ","KW Issue Link")</f>
        <v>KW Issue Link</v>
      </c>
      <c r="O2738" s="1" t="s">
        <v>1083</v>
      </c>
    </row>
    <row r="2739" spans="1:15" ht="75" x14ac:dyDescent="0.25">
      <c r="A2739" s="1" t="s">
        <v>1268</v>
      </c>
      <c r="B2739" s="1"/>
      <c r="C2739" s="1" t="s">
        <v>3831</v>
      </c>
      <c r="D2739" s="1">
        <v>131313</v>
      </c>
      <c r="E2739" s="1">
        <v>1225</v>
      </c>
      <c r="F2739" s="1" t="s">
        <v>3858</v>
      </c>
      <c r="G2739" s="1" t="s">
        <v>3849</v>
      </c>
      <c r="H2739" s="1" t="s">
        <v>141</v>
      </c>
      <c r="I2739" s="1" t="s">
        <v>65</v>
      </c>
      <c r="J2739" s="1">
        <v>3</v>
      </c>
      <c r="K2739" s="1" t="s">
        <v>142</v>
      </c>
      <c r="L2739" s="1" t="s">
        <v>153</v>
      </c>
      <c r="M2739" s="1" t="s">
        <v>1256</v>
      </c>
      <c r="N2739" s="1" t="str">
        <f>HYPERLINK("https://klocwork.india.ti.com:443/review/insight-review.html#issuedetails_goto:problemid=131313,project=MCU_PLUS_SDK_AM263X,searchquery=taxonomy:'C and C++' build:Build_Apr_13_2023_11_11_AM grouping:off ","KW Issue Link")</f>
        <v>KW Issue Link</v>
      </c>
      <c r="O2739" s="1" t="s">
        <v>1083</v>
      </c>
    </row>
    <row r="2740" spans="1:15" ht="75" x14ac:dyDescent="0.25">
      <c r="A2740" s="1" t="s">
        <v>1268</v>
      </c>
      <c r="B2740" s="1"/>
      <c r="C2740" s="1" t="s">
        <v>3831</v>
      </c>
      <c r="D2740" s="1">
        <v>131314</v>
      </c>
      <c r="E2740" s="1">
        <v>1282</v>
      </c>
      <c r="F2740" s="1" t="s">
        <v>3859</v>
      </c>
      <c r="G2740" s="1" t="s">
        <v>3851</v>
      </c>
      <c r="H2740" s="1" t="s">
        <v>141</v>
      </c>
      <c r="I2740" s="1" t="s">
        <v>65</v>
      </c>
      <c r="J2740" s="1">
        <v>3</v>
      </c>
      <c r="K2740" s="1" t="s">
        <v>142</v>
      </c>
      <c r="L2740" s="1" t="s">
        <v>153</v>
      </c>
      <c r="M2740" s="1" t="s">
        <v>1256</v>
      </c>
      <c r="N2740" s="1" t="str">
        <f>HYPERLINK("https://klocwork.india.ti.com:443/review/insight-review.html#issuedetails_goto:problemid=131314,project=MCU_PLUS_SDK_AM263X,searchquery=taxonomy:'C and C++' build:Build_Apr_13_2023_11_11_AM grouping:off ","KW Issue Link")</f>
        <v>KW Issue Link</v>
      </c>
      <c r="O2740" s="1" t="s">
        <v>1083</v>
      </c>
    </row>
    <row r="2741" spans="1:15" ht="75" x14ac:dyDescent="0.25">
      <c r="A2741" s="1" t="s">
        <v>1268</v>
      </c>
      <c r="B2741" s="1"/>
      <c r="C2741" s="1" t="s">
        <v>3831</v>
      </c>
      <c r="D2741" s="1">
        <v>131315</v>
      </c>
      <c r="E2741" s="1">
        <v>1343</v>
      </c>
      <c r="F2741" s="1" t="s">
        <v>3860</v>
      </c>
      <c r="G2741" s="1" t="s">
        <v>3835</v>
      </c>
      <c r="H2741" s="1" t="s">
        <v>141</v>
      </c>
      <c r="I2741" s="1" t="s">
        <v>65</v>
      </c>
      <c r="J2741" s="1">
        <v>3</v>
      </c>
      <c r="K2741" s="1" t="s">
        <v>142</v>
      </c>
      <c r="L2741" s="1" t="s">
        <v>153</v>
      </c>
      <c r="M2741" s="1" t="s">
        <v>1256</v>
      </c>
      <c r="N2741" s="1" t="str">
        <f>HYPERLINK("https://klocwork.india.ti.com:443/review/insight-review.html#issuedetails_goto:problemid=131315,project=MCU_PLUS_SDK_AM263X,searchquery=taxonomy:'C and C++' build:Build_Apr_13_2023_11_11_AM grouping:off ","KW Issue Link")</f>
        <v>KW Issue Link</v>
      </c>
      <c r="O2741" s="1" t="s">
        <v>1083</v>
      </c>
    </row>
    <row r="2742" spans="1:15" ht="75" x14ac:dyDescent="0.25">
      <c r="A2742" s="1" t="s">
        <v>997</v>
      </c>
      <c r="B2742" s="1"/>
      <c r="C2742" s="1" t="s">
        <v>3831</v>
      </c>
      <c r="D2742" s="1">
        <v>131442</v>
      </c>
      <c r="E2742" s="1">
        <v>673</v>
      </c>
      <c r="F2742" s="1" t="s">
        <v>3861</v>
      </c>
      <c r="G2742" s="1" t="s">
        <v>3837</v>
      </c>
      <c r="H2742" s="1" t="s">
        <v>141</v>
      </c>
      <c r="I2742" s="1" t="s">
        <v>66</v>
      </c>
      <c r="J2742" s="1">
        <v>4</v>
      </c>
      <c r="K2742" s="1" t="s">
        <v>142</v>
      </c>
      <c r="L2742" s="1" t="s">
        <v>153</v>
      </c>
      <c r="M2742" s="1" t="s">
        <v>28</v>
      </c>
      <c r="N2742" s="1" t="str">
        <f>HYPERLINK("https://klocwork.india.ti.com:443/review/insight-review.html#issuedetails_goto:problemid=131442,project=MCU_PLUS_SDK_AM263X,searchquery=taxonomy:'C and C++' build:Build_Apr_13_2023_11_11_AM grouping:off ","KW Issue Link")</f>
        <v>KW Issue Link</v>
      </c>
      <c r="O2742" s="1" t="s">
        <v>1083</v>
      </c>
    </row>
    <row r="2743" spans="1:15" ht="75" x14ac:dyDescent="0.25">
      <c r="A2743" s="1" t="s">
        <v>997</v>
      </c>
      <c r="B2743" s="1"/>
      <c r="C2743" s="1" t="s">
        <v>3831</v>
      </c>
      <c r="D2743" s="1">
        <v>131443</v>
      </c>
      <c r="E2743" s="1">
        <v>715</v>
      </c>
      <c r="F2743" s="1" t="s">
        <v>3861</v>
      </c>
      <c r="G2743" s="1" t="s">
        <v>3839</v>
      </c>
      <c r="H2743" s="1" t="s">
        <v>141</v>
      </c>
      <c r="I2743" s="1" t="s">
        <v>66</v>
      </c>
      <c r="J2743" s="1">
        <v>4</v>
      </c>
      <c r="K2743" s="1" t="s">
        <v>142</v>
      </c>
      <c r="L2743" s="1" t="s">
        <v>153</v>
      </c>
      <c r="M2743" s="1" t="s">
        <v>28</v>
      </c>
      <c r="N2743" s="1" t="str">
        <f>HYPERLINK("https://klocwork.india.ti.com:443/review/insight-review.html#issuedetails_goto:problemid=131443,project=MCU_PLUS_SDK_AM263X,searchquery=taxonomy:'C and C++' build:Build_Apr_13_2023_11_11_AM grouping:off ","KW Issue Link")</f>
        <v>KW Issue Link</v>
      </c>
      <c r="O2743" s="1" t="s">
        <v>1083</v>
      </c>
    </row>
    <row r="2744" spans="1:15" ht="75" x14ac:dyDescent="0.25">
      <c r="A2744" s="1" t="s">
        <v>997</v>
      </c>
      <c r="B2744" s="1"/>
      <c r="C2744" s="1" t="s">
        <v>3831</v>
      </c>
      <c r="D2744" s="1">
        <v>131444</v>
      </c>
      <c r="E2744" s="1">
        <v>717</v>
      </c>
      <c r="F2744" s="1" t="s">
        <v>3861</v>
      </c>
      <c r="G2744" s="1" t="s">
        <v>3839</v>
      </c>
      <c r="H2744" s="1" t="s">
        <v>141</v>
      </c>
      <c r="I2744" s="1" t="s">
        <v>66</v>
      </c>
      <c r="J2744" s="1">
        <v>4</v>
      </c>
      <c r="K2744" s="1" t="s">
        <v>142</v>
      </c>
      <c r="L2744" s="1" t="s">
        <v>153</v>
      </c>
      <c r="M2744" s="1" t="s">
        <v>28</v>
      </c>
      <c r="N2744" s="1" t="str">
        <f>HYPERLINK("https://klocwork.india.ti.com:443/review/insight-review.html#issuedetails_goto:problemid=131444,project=MCU_PLUS_SDK_AM263X,searchquery=taxonomy:'C and C++' build:Build_Apr_13_2023_11_11_AM grouping:off ","KW Issue Link")</f>
        <v>KW Issue Link</v>
      </c>
      <c r="O2744" s="1" t="s">
        <v>1083</v>
      </c>
    </row>
    <row r="2745" spans="1:15" ht="75" x14ac:dyDescent="0.25">
      <c r="A2745" s="1" t="s">
        <v>997</v>
      </c>
      <c r="B2745" s="1"/>
      <c r="C2745" s="1" t="s">
        <v>3831</v>
      </c>
      <c r="D2745" s="1">
        <v>131445</v>
      </c>
      <c r="E2745" s="1">
        <v>730</v>
      </c>
      <c r="F2745" s="1" t="s">
        <v>3862</v>
      </c>
      <c r="G2745" s="1" t="s">
        <v>3839</v>
      </c>
      <c r="H2745" s="1" t="s">
        <v>141</v>
      </c>
      <c r="I2745" s="1" t="s">
        <v>66</v>
      </c>
      <c r="J2745" s="1">
        <v>4</v>
      </c>
      <c r="K2745" s="1" t="s">
        <v>142</v>
      </c>
      <c r="L2745" s="1" t="s">
        <v>153</v>
      </c>
      <c r="M2745" s="1" t="s">
        <v>28</v>
      </c>
      <c r="N2745" s="1" t="str">
        <f>HYPERLINK("https://klocwork.india.ti.com:443/review/insight-review.html#issuedetails_goto:problemid=131445,project=MCU_PLUS_SDK_AM263X,searchquery=taxonomy:'C and C++' build:Build_Apr_13_2023_11_11_AM grouping:off ","KW Issue Link")</f>
        <v>KW Issue Link</v>
      </c>
      <c r="O2745" s="1" t="s">
        <v>1083</v>
      </c>
    </row>
    <row r="2746" spans="1:15" ht="75" x14ac:dyDescent="0.25">
      <c r="A2746" s="1" t="s">
        <v>997</v>
      </c>
      <c r="B2746" s="1"/>
      <c r="C2746" s="1" t="s">
        <v>3831</v>
      </c>
      <c r="D2746" s="1">
        <v>131446</v>
      </c>
      <c r="E2746" s="1">
        <v>1252</v>
      </c>
      <c r="F2746" s="1" t="s">
        <v>3556</v>
      </c>
      <c r="G2746" s="1" t="s">
        <v>3849</v>
      </c>
      <c r="H2746" s="1" t="s">
        <v>141</v>
      </c>
      <c r="I2746" s="1" t="s">
        <v>66</v>
      </c>
      <c r="J2746" s="1">
        <v>4</v>
      </c>
      <c r="K2746" s="1" t="s">
        <v>142</v>
      </c>
      <c r="L2746" s="1" t="s">
        <v>153</v>
      </c>
      <c r="M2746" s="1" t="s">
        <v>28</v>
      </c>
      <c r="N2746" s="1" t="str">
        <f>HYPERLINK("https://klocwork.india.ti.com:443/review/insight-review.html#issuedetails_goto:problemid=131446,project=MCU_PLUS_SDK_AM263X,searchquery=taxonomy:'C and C++' build:Build_Apr_13_2023_11_11_AM grouping:off ","KW Issue Link")</f>
        <v>KW Issue Link</v>
      </c>
      <c r="O2746" s="1" t="s">
        <v>1083</v>
      </c>
    </row>
    <row r="2747" spans="1:15" ht="75" x14ac:dyDescent="0.25">
      <c r="A2747" s="1" t="s">
        <v>997</v>
      </c>
      <c r="B2747" s="1"/>
      <c r="C2747" s="1" t="s">
        <v>3831</v>
      </c>
      <c r="D2747" s="1">
        <v>131447</v>
      </c>
      <c r="E2747" s="1">
        <v>1321</v>
      </c>
      <c r="F2747" s="1" t="s">
        <v>3556</v>
      </c>
      <c r="G2747" s="1" t="s">
        <v>3851</v>
      </c>
      <c r="H2747" s="1" t="s">
        <v>141</v>
      </c>
      <c r="I2747" s="1" t="s">
        <v>66</v>
      </c>
      <c r="J2747" s="1">
        <v>4</v>
      </c>
      <c r="K2747" s="1" t="s">
        <v>142</v>
      </c>
      <c r="L2747" s="1" t="s">
        <v>153</v>
      </c>
      <c r="M2747" s="1" t="s">
        <v>28</v>
      </c>
      <c r="N2747" s="1" t="str">
        <f>HYPERLINK("https://klocwork.india.ti.com:443/review/insight-review.html#issuedetails_goto:problemid=131447,project=MCU_PLUS_SDK_AM263X,searchquery=taxonomy:'C and C++' build:Build_Apr_13_2023_11_11_AM grouping:off ","KW Issue Link")</f>
        <v>KW Issue Link</v>
      </c>
      <c r="O2747" s="1" t="s">
        <v>1083</v>
      </c>
    </row>
    <row r="2748" spans="1:15" ht="75" x14ac:dyDescent="0.25">
      <c r="A2748" s="1" t="s">
        <v>997</v>
      </c>
      <c r="B2748" s="1"/>
      <c r="C2748" s="1" t="s">
        <v>3831</v>
      </c>
      <c r="D2748" s="1">
        <v>131448</v>
      </c>
      <c r="E2748" s="1">
        <v>1380</v>
      </c>
      <c r="F2748" s="1" t="s">
        <v>3556</v>
      </c>
      <c r="G2748" s="1" t="s">
        <v>3835</v>
      </c>
      <c r="H2748" s="1" t="s">
        <v>141</v>
      </c>
      <c r="I2748" s="1" t="s">
        <v>66</v>
      </c>
      <c r="J2748" s="1">
        <v>4</v>
      </c>
      <c r="K2748" s="1" t="s">
        <v>142</v>
      </c>
      <c r="L2748" s="1" t="s">
        <v>153</v>
      </c>
      <c r="M2748" s="1" t="s">
        <v>28</v>
      </c>
      <c r="N2748" s="1" t="str">
        <f>HYPERLINK("https://klocwork.india.ti.com:443/review/insight-review.html#issuedetails_goto:problemid=131448,project=MCU_PLUS_SDK_AM263X,searchquery=taxonomy:'C and C++' build:Build_Apr_13_2023_11_11_AM grouping:off ","KW Issue Link")</f>
        <v>KW Issue Link</v>
      </c>
      <c r="O2748" s="1" t="s">
        <v>1083</v>
      </c>
    </row>
    <row r="2749" spans="1:15" ht="75" x14ac:dyDescent="0.25">
      <c r="A2749" s="1" t="s">
        <v>997</v>
      </c>
      <c r="B2749" s="1"/>
      <c r="C2749" s="1" t="s">
        <v>3831</v>
      </c>
      <c r="D2749" s="1">
        <v>131449</v>
      </c>
      <c r="E2749" s="1">
        <v>1402</v>
      </c>
      <c r="F2749" s="1" t="s">
        <v>3556</v>
      </c>
      <c r="G2749" s="1" t="s">
        <v>3835</v>
      </c>
      <c r="H2749" s="1" t="s">
        <v>141</v>
      </c>
      <c r="I2749" s="1" t="s">
        <v>66</v>
      </c>
      <c r="J2749" s="1">
        <v>4</v>
      </c>
      <c r="K2749" s="1" t="s">
        <v>142</v>
      </c>
      <c r="L2749" s="1" t="s">
        <v>153</v>
      </c>
      <c r="M2749" s="1" t="s">
        <v>28</v>
      </c>
      <c r="N2749" s="1" t="str">
        <f>HYPERLINK("https://klocwork.india.ti.com:443/review/insight-review.html#issuedetails_goto:problemid=131449,project=MCU_PLUS_SDK_AM263X,searchquery=taxonomy:'C and C++' build:Build_Apr_13_2023_11_11_AM grouping:off ","KW Issue Link")</f>
        <v>KW Issue Link</v>
      </c>
      <c r="O2749" s="1" t="s">
        <v>1083</v>
      </c>
    </row>
    <row r="2750" spans="1:15" ht="105" x14ac:dyDescent="0.25">
      <c r="A2750" s="1" t="s">
        <v>149</v>
      </c>
      <c r="B2750" s="1"/>
      <c r="C2750" s="1" t="s">
        <v>3831</v>
      </c>
      <c r="D2750" s="1">
        <v>131692</v>
      </c>
      <c r="E2750" s="1">
        <v>1317</v>
      </c>
      <c r="F2750" s="1" t="s">
        <v>3863</v>
      </c>
      <c r="G2750" s="1" t="s">
        <v>3851</v>
      </c>
      <c r="H2750" s="1" t="s">
        <v>141</v>
      </c>
      <c r="I2750" s="1" t="s">
        <v>65</v>
      </c>
      <c r="J2750" s="1">
        <v>3</v>
      </c>
      <c r="K2750" s="1" t="s">
        <v>142</v>
      </c>
      <c r="L2750" s="1" t="s">
        <v>153</v>
      </c>
      <c r="M2750" s="1" t="s">
        <v>28</v>
      </c>
      <c r="N2750" s="1" t="str">
        <f>HYPERLINK("https://klocwork.india.ti.com:443/review/insight-review.html#issuedetails_goto:problemid=131692,project=MCU_PLUS_SDK_AM263X,searchquery=taxonomy:'C and C++' build:Build_Apr_13_2023_11_11_AM grouping:off ","KW Issue Link")</f>
        <v>KW Issue Link</v>
      </c>
      <c r="O2750" s="1" t="s">
        <v>1083</v>
      </c>
    </row>
    <row r="2751" spans="1:15" ht="105" x14ac:dyDescent="0.25">
      <c r="A2751" s="1" t="s">
        <v>149</v>
      </c>
      <c r="B2751" s="1"/>
      <c r="C2751" s="1" t="s">
        <v>3864</v>
      </c>
      <c r="D2751" s="1">
        <v>131781</v>
      </c>
      <c r="E2751" s="1">
        <v>192</v>
      </c>
      <c r="F2751" s="1" t="s">
        <v>3865</v>
      </c>
      <c r="G2751" s="1" t="s">
        <v>3866</v>
      </c>
      <c r="H2751" s="1" t="s">
        <v>141</v>
      </c>
      <c r="I2751" s="1" t="s">
        <v>65</v>
      </c>
      <c r="J2751" s="1">
        <v>3</v>
      </c>
      <c r="K2751" s="1" t="s">
        <v>142</v>
      </c>
      <c r="L2751" s="1" t="s">
        <v>153</v>
      </c>
      <c r="M2751" s="1" t="s">
        <v>28</v>
      </c>
      <c r="N2751" s="1" t="str">
        <f>HYPERLINK("https://klocwork.india.ti.com:443/review/insight-review.html#issuedetails_goto:problemid=131781,project=MCU_PLUS_SDK_AM263X,searchquery=taxonomy:'C and C++' build:Build_Apr_13_2023_11_11_AM grouping:off ","KW Issue Link")</f>
        <v>KW Issue Link</v>
      </c>
      <c r="O2751" s="1" t="s">
        <v>1083</v>
      </c>
    </row>
    <row r="2752" spans="1:15" ht="105" x14ac:dyDescent="0.25">
      <c r="A2752" s="1" t="s">
        <v>149</v>
      </c>
      <c r="B2752" s="1"/>
      <c r="C2752" s="1" t="s">
        <v>3864</v>
      </c>
      <c r="D2752" s="1">
        <v>131782</v>
      </c>
      <c r="E2752" s="1">
        <v>212</v>
      </c>
      <c r="F2752" s="1" t="s">
        <v>3867</v>
      </c>
      <c r="G2752" s="1" t="s">
        <v>3866</v>
      </c>
      <c r="H2752" s="1" t="s">
        <v>141</v>
      </c>
      <c r="I2752" s="1" t="s">
        <v>65</v>
      </c>
      <c r="J2752" s="1">
        <v>3</v>
      </c>
      <c r="K2752" s="1" t="s">
        <v>142</v>
      </c>
      <c r="L2752" s="1" t="s">
        <v>153</v>
      </c>
      <c r="M2752" s="1" t="s">
        <v>28</v>
      </c>
      <c r="N2752" s="1" t="str">
        <f>HYPERLINK("https://klocwork.india.ti.com:443/review/insight-review.html#issuedetails_goto:problemid=131782,project=MCU_PLUS_SDK_AM263X,searchquery=taxonomy:'C and C++' build:Build_Apr_13_2023_11_11_AM grouping:off ","KW Issue Link")</f>
        <v>KW Issue Link</v>
      </c>
      <c r="O2752" s="1" t="s">
        <v>1083</v>
      </c>
    </row>
    <row r="2753" spans="1:15" ht="105" x14ac:dyDescent="0.25">
      <c r="A2753" s="1" t="s">
        <v>149</v>
      </c>
      <c r="B2753" s="1"/>
      <c r="C2753" s="1" t="s">
        <v>3864</v>
      </c>
      <c r="D2753" s="1">
        <v>131783</v>
      </c>
      <c r="E2753" s="1">
        <v>216</v>
      </c>
      <c r="F2753" s="1" t="s">
        <v>3868</v>
      </c>
      <c r="G2753" s="1" t="s">
        <v>3866</v>
      </c>
      <c r="H2753" s="1" t="s">
        <v>141</v>
      </c>
      <c r="I2753" s="1" t="s">
        <v>65</v>
      </c>
      <c r="J2753" s="1">
        <v>3</v>
      </c>
      <c r="K2753" s="1" t="s">
        <v>142</v>
      </c>
      <c r="L2753" s="1" t="s">
        <v>153</v>
      </c>
      <c r="M2753" s="1" t="s">
        <v>28</v>
      </c>
      <c r="N2753" s="1" t="str">
        <f>HYPERLINK("https://klocwork.india.ti.com:443/review/insight-review.html#issuedetails_goto:problemid=131783,project=MCU_PLUS_SDK_AM263X,searchquery=taxonomy:'C and C++' build:Build_Apr_13_2023_11_11_AM grouping:off ","KW Issue Link")</f>
        <v>KW Issue Link</v>
      </c>
      <c r="O2753" s="1" t="s">
        <v>1083</v>
      </c>
    </row>
    <row r="2754" spans="1:15" ht="105" x14ac:dyDescent="0.25">
      <c r="A2754" s="1" t="s">
        <v>149</v>
      </c>
      <c r="B2754" s="1"/>
      <c r="C2754" s="1" t="s">
        <v>3864</v>
      </c>
      <c r="D2754" s="1">
        <v>131784</v>
      </c>
      <c r="E2754" s="1">
        <v>288</v>
      </c>
      <c r="F2754" s="1" t="s">
        <v>3869</v>
      </c>
      <c r="G2754" s="1" t="s">
        <v>3870</v>
      </c>
      <c r="H2754" s="1" t="s">
        <v>141</v>
      </c>
      <c r="I2754" s="1" t="s">
        <v>65</v>
      </c>
      <c r="J2754" s="1">
        <v>3</v>
      </c>
      <c r="K2754" s="1" t="s">
        <v>142</v>
      </c>
      <c r="L2754" s="1" t="s">
        <v>153</v>
      </c>
      <c r="M2754" s="1" t="s">
        <v>28</v>
      </c>
      <c r="N2754" s="1" t="str">
        <f>HYPERLINK("https://klocwork.india.ti.com:443/review/insight-review.html#issuedetails_goto:problemid=131784,project=MCU_PLUS_SDK_AM263X,searchquery=taxonomy:'C and C++' build:Build_Apr_13_2023_11_11_AM grouping:off ","KW Issue Link")</f>
        <v>KW Issue Link</v>
      </c>
      <c r="O2754" s="1" t="s">
        <v>1083</v>
      </c>
    </row>
    <row r="2755" spans="1:15" ht="105" x14ac:dyDescent="0.25">
      <c r="A2755" s="1" t="s">
        <v>149</v>
      </c>
      <c r="B2755" s="1"/>
      <c r="C2755" s="1" t="s">
        <v>3864</v>
      </c>
      <c r="D2755" s="1">
        <v>131785</v>
      </c>
      <c r="E2755" s="1">
        <v>381</v>
      </c>
      <c r="F2755" s="1" t="s">
        <v>3871</v>
      </c>
      <c r="G2755" s="1" t="s">
        <v>3872</v>
      </c>
      <c r="H2755" s="1" t="s">
        <v>141</v>
      </c>
      <c r="I2755" s="1" t="s">
        <v>65</v>
      </c>
      <c r="J2755" s="1">
        <v>3</v>
      </c>
      <c r="K2755" s="1" t="s">
        <v>142</v>
      </c>
      <c r="L2755" s="1" t="s">
        <v>153</v>
      </c>
      <c r="M2755" s="1" t="s">
        <v>28</v>
      </c>
      <c r="N2755" s="1" t="str">
        <f>HYPERLINK("https://klocwork.india.ti.com:443/review/insight-review.html#issuedetails_goto:problemid=131785,project=MCU_PLUS_SDK_AM263X,searchquery=taxonomy:'C and C++' build:Build_Apr_13_2023_11_11_AM grouping:off ","KW Issue Link")</f>
        <v>KW Issue Link</v>
      </c>
      <c r="O2755" s="1" t="s">
        <v>1083</v>
      </c>
    </row>
    <row r="2756" spans="1:15" ht="105" x14ac:dyDescent="0.25">
      <c r="A2756" s="1" t="s">
        <v>149</v>
      </c>
      <c r="B2756" s="1"/>
      <c r="C2756" s="1" t="s">
        <v>3864</v>
      </c>
      <c r="D2756" s="1">
        <v>131786</v>
      </c>
      <c r="E2756" s="1">
        <v>389</v>
      </c>
      <c r="F2756" s="1" t="s">
        <v>3867</v>
      </c>
      <c r="G2756" s="1" t="s">
        <v>3872</v>
      </c>
      <c r="H2756" s="1" t="s">
        <v>141</v>
      </c>
      <c r="I2756" s="1" t="s">
        <v>65</v>
      </c>
      <c r="J2756" s="1">
        <v>3</v>
      </c>
      <c r="K2756" s="1" t="s">
        <v>142</v>
      </c>
      <c r="L2756" s="1" t="s">
        <v>153</v>
      </c>
      <c r="M2756" s="1" t="s">
        <v>28</v>
      </c>
      <c r="N2756" s="1" t="str">
        <f>HYPERLINK("https://klocwork.india.ti.com:443/review/insight-review.html#issuedetails_goto:problemid=131786,project=MCU_PLUS_SDK_AM263X,searchquery=taxonomy:'C and C++' build:Build_Apr_13_2023_11_11_AM grouping:off ","KW Issue Link")</f>
        <v>KW Issue Link</v>
      </c>
      <c r="O2756" s="1" t="s">
        <v>1083</v>
      </c>
    </row>
    <row r="2757" spans="1:15" ht="105" x14ac:dyDescent="0.25">
      <c r="A2757" s="1" t="s">
        <v>149</v>
      </c>
      <c r="B2757" s="1"/>
      <c r="C2757" s="1" t="s">
        <v>3864</v>
      </c>
      <c r="D2757" s="1">
        <v>131787</v>
      </c>
      <c r="E2757" s="1">
        <v>391</v>
      </c>
      <c r="F2757" s="1" t="s">
        <v>3868</v>
      </c>
      <c r="G2757" s="1" t="s">
        <v>3872</v>
      </c>
      <c r="H2757" s="1" t="s">
        <v>141</v>
      </c>
      <c r="I2757" s="1" t="s">
        <v>65</v>
      </c>
      <c r="J2757" s="1">
        <v>3</v>
      </c>
      <c r="K2757" s="1" t="s">
        <v>142</v>
      </c>
      <c r="L2757" s="1" t="s">
        <v>153</v>
      </c>
      <c r="M2757" s="1" t="s">
        <v>28</v>
      </c>
      <c r="N2757" s="1" t="str">
        <f>HYPERLINK("https://klocwork.india.ti.com:443/review/insight-review.html#issuedetails_goto:problemid=131787,project=MCU_PLUS_SDK_AM263X,searchquery=taxonomy:'C and C++' build:Build_Apr_13_2023_11_11_AM grouping:off ","KW Issue Link")</f>
        <v>KW Issue Link</v>
      </c>
      <c r="O2757" s="1" t="s">
        <v>1083</v>
      </c>
    </row>
    <row r="2758" spans="1:15" ht="105" x14ac:dyDescent="0.25">
      <c r="A2758" s="1" t="s">
        <v>149</v>
      </c>
      <c r="B2758" s="1"/>
      <c r="C2758" s="1" t="s">
        <v>3864</v>
      </c>
      <c r="D2758" s="1">
        <v>131788</v>
      </c>
      <c r="E2758" s="1">
        <v>398</v>
      </c>
      <c r="F2758" s="1" t="s">
        <v>3873</v>
      </c>
      <c r="G2758" s="1" t="s">
        <v>3872</v>
      </c>
      <c r="H2758" s="1" t="s">
        <v>141</v>
      </c>
      <c r="I2758" s="1" t="s">
        <v>65</v>
      </c>
      <c r="J2758" s="1">
        <v>3</v>
      </c>
      <c r="K2758" s="1" t="s">
        <v>142</v>
      </c>
      <c r="L2758" s="1" t="s">
        <v>153</v>
      </c>
      <c r="M2758" s="1" t="s">
        <v>28</v>
      </c>
      <c r="N2758" s="1" t="str">
        <f>HYPERLINK("https://klocwork.india.ti.com:443/review/insight-review.html#issuedetails_goto:problemid=131788,project=MCU_PLUS_SDK_AM263X,searchquery=taxonomy:'C and C++' build:Build_Apr_13_2023_11_11_AM grouping:off ","KW Issue Link")</f>
        <v>KW Issue Link</v>
      </c>
      <c r="O2758" s="1" t="s">
        <v>1083</v>
      </c>
    </row>
    <row r="2759" spans="1:15" ht="75" x14ac:dyDescent="0.25">
      <c r="A2759" s="1" t="s">
        <v>155</v>
      </c>
      <c r="B2759" s="1"/>
      <c r="C2759" s="1" t="s">
        <v>3864</v>
      </c>
      <c r="D2759" s="1">
        <v>131826</v>
      </c>
      <c r="E2759" s="1">
        <v>193</v>
      </c>
      <c r="F2759" s="1" t="s">
        <v>156</v>
      </c>
      <c r="G2759" s="1" t="s">
        <v>3866</v>
      </c>
      <c r="H2759" s="1" t="s">
        <v>141</v>
      </c>
      <c r="I2759" s="1" t="s">
        <v>65</v>
      </c>
      <c r="J2759" s="1">
        <v>3</v>
      </c>
      <c r="K2759" s="1" t="s">
        <v>142</v>
      </c>
      <c r="L2759" s="1" t="s">
        <v>153</v>
      </c>
      <c r="M2759" s="1" t="s">
        <v>28</v>
      </c>
      <c r="N2759" s="1" t="str">
        <f>HYPERLINK("https://klocwork.india.ti.com:443/review/insight-review.html#issuedetails_goto:problemid=131826,project=MCU_PLUS_SDK_AM263X,searchquery=taxonomy:'C and C++' build:Build_Apr_13_2023_11_11_AM grouping:off ","KW Issue Link")</f>
        <v>KW Issue Link</v>
      </c>
      <c r="O2759" s="1" t="s">
        <v>1083</v>
      </c>
    </row>
    <row r="2760" spans="1:15" ht="75" x14ac:dyDescent="0.25">
      <c r="A2760" s="1" t="s">
        <v>155</v>
      </c>
      <c r="B2760" s="1"/>
      <c r="C2760" s="1" t="s">
        <v>3864</v>
      </c>
      <c r="D2760" s="1">
        <v>131827</v>
      </c>
      <c r="E2760" s="1">
        <v>213</v>
      </c>
      <c r="F2760" s="1" t="s">
        <v>156</v>
      </c>
      <c r="G2760" s="1" t="s">
        <v>3866</v>
      </c>
      <c r="H2760" s="1" t="s">
        <v>141</v>
      </c>
      <c r="I2760" s="1" t="s">
        <v>65</v>
      </c>
      <c r="J2760" s="1">
        <v>3</v>
      </c>
      <c r="K2760" s="1" t="s">
        <v>142</v>
      </c>
      <c r="L2760" s="1" t="s">
        <v>153</v>
      </c>
      <c r="M2760" s="1" t="s">
        <v>28</v>
      </c>
      <c r="N2760" s="1" t="str">
        <f>HYPERLINK("https://klocwork.india.ti.com:443/review/insight-review.html#issuedetails_goto:problemid=131827,project=MCU_PLUS_SDK_AM263X,searchquery=taxonomy:'C and C++' build:Build_Apr_13_2023_11_11_AM grouping:off ","KW Issue Link")</f>
        <v>KW Issue Link</v>
      </c>
      <c r="O2760" s="1" t="s">
        <v>1083</v>
      </c>
    </row>
    <row r="2761" spans="1:15" ht="75" x14ac:dyDescent="0.25">
      <c r="A2761" s="1" t="s">
        <v>155</v>
      </c>
      <c r="B2761" s="1"/>
      <c r="C2761" s="1" t="s">
        <v>3864</v>
      </c>
      <c r="D2761" s="1">
        <v>131828</v>
      </c>
      <c r="E2761" s="1">
        <v>217</v>
      </c>
      <c r="F2761" s="1" t="s">
        <v>156</v>
      </c>
      <c r="G2761" s="1" t="s">
        <v>3866</v>
      </c>
      <c r="H2761" s="1" t="s">
        <v>141</v>
      </c>
      <c r="I2761" s="1" t="s">
        <v>65</v>
      </c>
      <c r="J2761" s="1">
        <v>3</v>
      </c>
      <c r="K2761" s="1" t="s">
        <v>142</v>
      </c>
      <c r="L2761" s="1" t="s">
        <v>153</v>
      </c>
      <c r="M2761" s="1" t="s">
        <v>28</v>
      </c>
      <c r="N2761" s="1" t="str">
        <f>HYPERLINK("https://klocwork.india.ti.com:443/review/insight-review.html#issuedetails_goto:problemid=131828,project=MCU_PLUS_SDK_AM263X,searchquery=taxonomy:'C and C++' build:Build_Apr_13_2023_11_11_AM grouping:off ","KW Issue Link")</f>
        <v>KW Issue Link</v>
      </c>
      <c r="O2761" s="1" t="s">
        <v>1083</v>
      </c>
    </row>
    <row r="2762" spans="1:15" ht="75" x14ac:dyDescent="0.25">
      <c r="A2762" s="1" t="s">
        <v>155</v>
      </c>
      <c r="B2762" s="1"/>
      <c r="C2762" s="1" t="s">
        <v>3864</v>
      </c>
      <c r="D2762" s="1">
        <v>131829</v>
      </c>
      <c r="E2762" s="1">
        <v>382</v>
      </c>
      <c r="F2762" s="1" t="s">
        <v>156</v>
      </c>
      <c r="G2762" s="1" t="s">
        <v>3872</v>
      </c>
      <c r="H2762" s="1" t="s">
        <v>141</v>
      </c>
      <c r="I2762" s="1" t="s">
        <v>65</v>
      </c>
      <c r="J2762" s="1">
        <v>3</v>
      </c>
      <c r="K2762" s="1" t="s">
        <v>142</v>
      </c>
      <c r="L2762" s="1" t="s">
        <v>153</v>
      </c>
      <c r="M2762" s="1" t="s">
        <v>28</v>
      </c>
      <c r="N2762" s="1" t="str">
        <f>HYPERLINK("https://klocwork.india.ti.com:443/review/insight-review.html#issuedetails_goto:problemid=131829,project=MCU_PLUS_SDK_AM263X,searchquery=taxonomy:'C and C++' build:Build_Apr_13_2023_11_11_AM grouping:off ","KW Issue Link")</f>
        <v>KW Issue Link</v>
      </c>
      <c r="O2762" s="1" t="s">
        <v>1083</v>
      </c>
    </row>
    <row r="2763" spans="1:15" ht="75" x14ac:dyDescent="0.25">
      <c r="A2763" s="1" t="s">
        <v>155</v>
      </c>
      <c r="B2763" s="1"/>
      <c r="C2763" s="1" t="s">
        <v>3864</v>
      </c>
      <c r="D2763" s="1">
        <v>131830</v>
      </c>
      <c r="E2763" s="1">
        <v>390</v>
      </c>
      <c r="F2763" s="1" t="s">
        <v>156</v>
      </c>
      <c r="G2763" s="1" t="s">
        <v>3872</v>
      </c>
      <c r="H2763" s="1" t="s">
        <v>141</v>
      </c>
      <c r="I2763" s="1" t="s">
        <v>65</v>
      </c>
      <c r="J2763" s="1">
        <v>3</v>
      </c>
      <c r="K2763" s="1" t="s">
        <v>142</v>
      </c>
      <c r="L2763" s="1" t="s">
        <v>153</v>
      </c>
      <c r="M2763" s="1" t="s">
        <v>28</v>
      </c>
      <c r="N2763" s="1" t="str">
        <f>HYPERLINK("https://klocwork.india.ti.com:443/review/insight-review.html#issuedetails_goto:problemid=131830,project=MCU_PLUS_SDK_AM263X,searchquery=taxonomy:'C and C++' build:Build_Apr_13_2023_11_11_AM grouping:off ","KW Issue Link")</f>
        <v>KW Issue Link</v>
      </c>
      <c r="O2763" s="1" t="s">
        <v>1083</v>
      </c>
    </row>
    <row r="2764" spans="1:15" ht="75" x14ac:dyDescent="0.25">
      <c r="A2764" s="1" t="s">
        <v>155</v>
      </c>
      <c r="B2764" s="1"/>
      <c r="C2764" s="1" t="s">
        <v>3864</v>
      </c>
      <c r="D2764" s="1">
        <v>131831</v>
      </c>
      <c r="E2764" s="1">
        <v>393</v>
      </c>
      <c r="F2764" s="1" t="s">
        <v>156</v>
      </c>
      <c r="G2764" s="1" t="s">
        <v>3872</v>
      </c>
      <c r="H2764" s="1" t="s">
        <v>141</v>
      </c>
      <c r="I2764" s="1" t="s">
        <v>65</v>
      </c>
      <c r="J2764" s="1">
        <v>3</v>
      </c>
      <c r="K2764" s="1" t="s">
        <v>142</v>
      </c>
      <c r="L2764" s="1" t="s">
        <v>153</v>
      </c>
      <c r="M2764" s="1" t="s">
        <v>28</v>
      </c>
      <c r="N2764" s="1" t="str">
        <f>HYPERLINK("https://klocwork.india.ti.com:443/review/insight-review.html#issuedetails_goto:problemid=131831,project=MCU_PLUS_SDK_AM263X,searchquery=taxonomy:'C and C++' build:Build_Apr_13_2023_11_11_AM grouping:off ","KW Issue Link")</f>
        <v>KW Issue Link</v>
      </c>
      <c r="O2764" s="1" t="s">
        <v>1083</v>
      </c>
    </row>
    <row r="2765" spans="1:15" ht="75" x14ac:dyDescent="0.25">
      <c r="A2765" s="1" t="s">
        <v>155</v>
      </c>
      <c r="B2765" s="1"/>
      <c r="C2765" s="1" t="s">
        <v>3864</v>
      </c>
      <c r="D2765" s="1">
        <v>131832</v>
      </c>
      <c r="E2765" s="1">
        <v>400</v>
      </c>
      <c r="F2765" s="1" t="s">
        <v>156</v>
      </c>
      <c r="G2765" s="1" t="s">
        <v>3872</v>
      </c>
      <c r="H2765" s="1" t="s">
        <v>141</v>
      </c>
      <c r="I2765" s="1" t="s">
        <v>65</v>
      </c>
      <c r="J2765" s="1">
        <v>3</v>
      </c>
      <c r="K2765" s="1" t="s">
        <v>142</v>
      </c>
      <c r="L2765" s="1" t="s">
        <v>153</v>
      </c>
      <c r="M2765" s="1" t="s">
        <v>28</v>
      </c>
      <c r="N2765" s="1" t="str">
        <f>HYPERLINK("https://klocwork.india.ti.com:443/review/insight-review.html#issuedetails_goto:problemid=131832,project=MCU_PLUS_SDK_AM263X,searchquery=taxonomy:'C and C++' build:Build_Apr_13_2023_11_11_AM grouping:off ","KW Issue Link")</f>
        <v>KW Issue Link</v>
      </c>
      <c r="O2765" s="1" t="s">
        <v>1083</v>
      </c>
    </row>
    <row r="2766" spans="1:15" ht="75" x14ac:dyDescent="0.25">
      <c r="A2766" s="1" t="s">
        <v>1266</v>
      </c>
      <c r="B2766" s="1"/>
      <c r="C2766" s="1" t="s">
        <v>3864</v>
      </c>
      <c r="D2766" s="1">
        <v>131844</v>
      </c>
      <c r="E2766" s="1">
        <v>326</v>
      </c>
      <c r="F2766" s="1" t="s">
        <v>3874</v>
      </c>
      <c r="G2766" s="1" t="s">
        <v>3872</v>
      </c>
      <c r="H2766" s="1" t="s">
        <v>141</v>
      </c>
      <c r="I2766" s="1" t="s">
        <v>65</v>
      </c>
      <c r="J2766" s="1">
        <v>3</v>
      </c>
      <c r="K2766" s="1" t="s">
        <v>142</v>
      </c>
      <c r="L2766" s="1" t="s">
        <v>153</v>
      </c>
      <c r="M2766" s="1" t="s">
        <v>1256</v>
      </c>
      <c r="N2766" s="1" t="str">
        <f>HYPERLINK("https://klocwork.india.ti.com:443/review/insight-review.html#issuedetails_goto:problemid=131844,project=MCU_PLUS_SDK_AM263X,searchquery=taxonomy:'C and C++' build:Build_Apr_13_2023_11_11_AM grouping:off ","KW Issue Link")</f>
        <v>KW Issue Link</v>
      </c>
      <c r="O2766" s="1" t="s">
        <v>1083</v>
      </c>
    </row>
    <row r="2767" spans="1:15" ht="75" x14ac:dyDescent="0.25">
      <c r="A2767" s="1" t="s">
        <v>1268</v>
      </c>
      <c r="B2767" s="1"/>
      <c r="C2767" s="1" t="s">
        <v>3864</v>
      </c>
      <c r="D2767" s="1">
        <v>131846</v>
      </c>
      <c r="E2767" s="1">
        <v>326</v>
      </c>
      <c r="F2767" s="1" t="s">
        <v>3875</v>
      </c>
      <c r="G2767" s="1" t="s">
        <v>3872</v>
      </c>
      <c r="H2767" s="1" t="s">
        <v>141</v>
      </c>
      <c r="I2767" s="1" t="s">
        <v>65</v>
      </c>
      <c r="J2767" s="1">
        <v>3</v>
      </c>
      <c r="K2767" s="1" t="s">
        <v>142</v>
      </c>
      <c r="L2767" s="1" t="s">
        <v>153</v>
      </c>
      <c r="M2767" s="1" t="s">
        <v>1256</v>
      </c>
      <c r="N2767" s="1" t="str">
        <f>HYPERLINK("https://klocwork.india.ti.com:443/review/insight-review.html#issuedetails_goto:problemid=131846,project=MCU_PLUS_SDK_AM263X,searchquery=taxonomy:'C and C++' build:Build_Apr_13_2023_11_11_AM grouping:off ","KW Issue Link")</f>
        <v>KW Issue Link</v>
      </c>
      <c r="O2767" s="1" t="s">
        <v>1083</v>
      </c>
    </row>
    <row r="2768" spans="1:15" ht="75" x14ac:dyDescent="0.25">
      <c r="A2768" s="1" t="s">
        <v>1266</v>
      </c>
      <c r="B2768" s="1"/>
      <c r="C2768" s="1" t="s">
        <v>3876</v>
      </c>
      <c r="D2768" s="1">
        <v>131861</v>
      </c>
      <c r="E2768" s="1">
        <v>209</v>
      </c>
      <c r="F2768" s="1" t="s">
        <v>3877</v>
      </c>
      <c r="G2768" s="1" t="s">
        <v>3878</v>
      </c>
      <c r="H2768" s="1" t="s">
        <v>141</v>
      </c>
      <c r="I2768" s="1" t="s">
        <v>65</v>
      </c>
      <c r="J2768" s="1">
        <v>3</v>
      </c>
      <c r="K2768" s="1" t="s">
        <v>142</v>
      </c>
      <c r="L2768" s="1" t="s">
        <v>153</v>
      </c>
      <c r="M2768" s="1" t="s">
        <v>1256</v>
      </c>
      <c r="N2768" s="1" t="str">
        <f>HYPERLINK("https://klocwork.india.ti.com:443/review/insight-review.html#issuedetails_goto:problemid=131861,project=MCU_PLUS_SDK_AM263X,searchquery=taxonomy:'C and C++' build:Build_Apr_13_2023_11_11_AM grouping:off ","KW Issue Link")</f>
        <v>KW Issue Link</v>
      </c>
      <c r="O2768" s="1" t="s">
        <v>1083</v>
      </c>
    </row>
    <row r="2769" spans="1:15" ht="75" x14ac:dyDescent="0.25">
      <c r="A2769" s="1" t="s">
        <v>1268</v>
      </c>
      <c r="B2769" s="1"/>
      <c r="C2769" s="1" t="s">
        <v>3876</v>
      </c>
      <c r="D2769" s="1">
        <v>131862</v>
      </c>
      <c r="E2769" s="1">
        <v>209</v>
      </c>
      <c r="F2769" s="1" t="s">
        <v>3879</v>
      </c>
      <c r="G2769" s="1" t="s">
        <v>3878</v>
      </c>
      <c r="H2769" s="1" t="s">
        <v>141</v>
      </c>
      <c r="I2769" s="1" t="s">
        <v>65</v>
      </c>
      <c r="J2769" s="1">
        <v>3</v>
      </c>
      <c r="K2769" s="1" t="s">
        <v>142</v>
      </c>
      <c r="L2769" s="1" t="s">
        <v>153</v>
      </c>
      <c r="M2769" s="1" t="s">
        <v>1256</v>
      </c>
      <c r="N2769" s="1" t="str">
        <f>HYPERLINK("https://klocwork.india.ti.com:443/review/insight-review.html#issuedetails_goto:problemid=131862,project=MCU_PLUS_SDK_AM263X,searchquery=taxonomy:'C and C++' build:Build_Apr_13_2023_11_11_AM grouping:off ","KW Issue Link")</f>
        <v>KW Issue Link</v>
      </c>
      <c r="O2769" s="1" t="s">
        <v>1083</v>
      </c>
    </row>
    <row r="2770" spans="1:15" ht="75" x14ac:dyDescent="0.25">
      <c r="A2770" s="1" t="s">
        <v>1252</v>
      </c>
      <c r="B2770" s="1"/>
      <c r="C2770" s="1" t="s">
        <v>3880</v>
      </c>
      <c r="D2770" s="1">
        <v>132561</v>
      </c>
      <c r="E2770" s="1">
        <v>265</v>
      </c>
      <c r="F2770" s="1" t="s">
        <v>3881</v>
      </c>
      <c r="G2770" s="1" t="s">
        <v>3882</v>
      </c>
      <c r="H2770" s="1" t="s">
        <v>141</v>
      </c>
      <c r="I2770" s="1" t="s">
        <v>65</v>
      </c>
      <c r="J2770" s="1">
        <v>3</v>
      </c>
      <c r="K2770" s="1" t="s">
        <v>142</v>
      </c>
      <c r="L2770" s="1" t="s">
        <v>153</v>
      </c>
      <c r="M2770" s="1" t="s">
        <v>1256</v>
      </c>
      <c r="N2770" s="1" t="str">
        <f>HYPERLINK("https://klocwork.india.ti.com:443/review/insight-review.html#issuedetails_goto:problemid=132561,project=MCU_PLUS_SDK_AM263X,searchquery=taxonomy:'C and C++' build:Build_Apr_13_2023_11_11_AM grouping:off ","KW Issue Link")</f>
        <v>KW Issue Link</v>
      </c>
      <c r="O2770" s="1" t="s">
        <v>1083</v>
      </c>
    </row>
    <row r="2771" spans="1:15" ht="75" x14ac:dyDescent="0.25">
      <c r="A2771" s="1" t="s">
        <v>1252</v>
      </c>
      <c r="B2771" s="1"/>
      <c r="C2771" s="1" t="s">
        <v>3880</v>
      </c>
      <c r="D2771" s="1">
        <v>132562</v>
      </c>
      <c r="E2771" s="1">
        <v>442</v>
      </c>
      <c r="F2771" s="1" t="s">
        <v>3883</v>
      </c>
      <c r="G2771" s="1" t="s">
        <v>3884</v>
      </c>
      <c r="H2771" s="1" t="s">
        <v>141</v>
      </c>
      <c r="I2771" s="1" t="s">
        <v>65</v>
      </c>
      <c r="J2771" s="1">
        <v>3</v>
      </c>
      <c r="K2771" s="1" t="s">
        <v>142</v>
      </c>
      <c r="L2771" s="1" t="s">
        <v>153</v>
      </c>
      <c r="M2771" s="1" t="s">
        <v>1256</v>
      </c>
      <c r="N2771" s="1" t="str">
        <f>HYPERLINK("https://klocwork.india.ti.com:443/review/insight-review.html#issuedetails_goto:problemid=132562,project=MCU_PLUS_SDK_AM263X,searchquery=taxonomy:'C and C++' build:Build_Apr_13_2023_11_11_AM grouping:off ","KW Issue Link")</f>
        <v>KW Issue Link</v>
      </c>
      <c r="O2771" s="1" t="s">
        <v>1083</v>
      </c>
    </row>
    <row r="2772" spans="1:15" ht="75" x14ac:dyDescent="0.25">
      <c r="A2772" s="1" t="s">
        <v>1252</v>
      </c>
      <c r="B2772" s="1"/>
      <c r="C2772" s="1" t="s">
        <v>3880</v>
      </c>
      <c r="D2772" s="1">
        <v>132563</v>
      </c>
      <c r="E2772" s="1">
        <v>468</v>
      </c>
      <c r="F2772" s="1" t="s">
        <v>3885</v>
      </c>
      <c r="G2772" s="1" t="s">
        <v>3886</v>
      </c>
      <c r="H2772" s="1" t="s">
        <v>141</v>
      </c>
      <c r="I2772" s="1" t="s">
        <v>65</v>
      </c>
      <c r="J2772" s="1">
        <v>3</v>
      </c>
      <c r="K2772" s="1" t="s">
        <v>142</v>
      </c>
      <c r="L2772" s="1" t="s">
        <v>153</v>
      </c>
      <c r="M2772" s="1" t="s">
        <v>1256</v>
      </c>
      <c r="N2772" s="1" t="str">
        <f>HYPERLINK("https://klocwork.india.ti.com:443/review/insight-review.html#issuedetails_goto:problemid=132563,project=MCU_PLUS_SDK_AM263X,searchquery=taxonomy:'C and C++' build:Build_Apr_13_2023_11_11_AM grouping:off ","KW Issue Link")</f>
        <v>KW Issue Link</v>
      </c>
      <c r="O2772" s="1" t="s">
        <v>1083</v>
      </c>
    </row>
    <row r="2773" spans="1:15" ht="75" x14ac:dyDescent="0.25">
      <c r="A2773" s="1" t="s">
        <v>1266</v>
      </c>
      <c r="B2773" s="1"/>
      <c r="C2773" s="1" t="s">
        <v>3880</v>
      </c>
      <c r="D2773" s="1">
        <v>132564</v>
      </c>
      <c r="E2773" s="1">
        <v>265</v>
      </c>
      <c r="F2773" s="1" t="s">
        <v>3887</v>
      </c>
      <c r="G2773" s="1" t="s">
        <v>3882</v>
      </c>
      <c r="H2773" s="1" t="s">
        <v>141</v>
      </c>
      <c r="I2773" s="1" t="s">
        <v>65</v>
      </c>
      <c r="J2773" s="1">
        <v>3</v>
      </c>
      <c r="K2773" s="1" t="s">
        <v>142</v>
      </c>
      <c r="L2773" s="1" t="s">
        <v>153</v>
      </c>
      <c r="M2773" s="1" t="s">
        <v>1256</v>
      </c>
      <c r="N2773" s="1" t="str">
        <f>HYPERLINK("https://klocwork.india.ti.com:443/review/insight-review.html#issuedetails_goto:problemid=132564,project=MCU_PLUS_SDK_AM263X,searchquery=taxonomy:'C and C++' build:Build_Apr_13_2023_11_11_AM grouping:off ","KW Issue Link")</f>
        <v>KW Issue Link</v>
      </c>
      <c r="O2773" s="1" t="s">
        <v>1083</v>
      </c>
    </row>
    <row r="2774" spans="1:15" ht="75" x14ac:dyDescent="0.25">
      <c r="A2774" s="1" t="s">
        <v>1266</v>
      </c>
      <c r="B2774" s="1"/>
      <c r="C2774" s="1" t="s">
        <v>3880</v>
      </c>
      <c r="D2774" s="1">
        <v>132565</v>
      </c>
      <c r="E2774" s="1">
        <v>348</v>
      </c>
      <c r="F2774" s="1" t="s">
        <v>3888</v>
      </c>
      <c r="G2774" s="1" t="s">
        <v>3889</v>
      </c>
      <c r="H2774" s="1" t="s">
        <v>141</v>
      </c>
      <c r="I2774" s="1" t="s">
        <v>65</v>
      </c>
      <c r="J2774" s="1">
        <v>3</v>
      </c>
      <c r="K2774" s="1" t="s">
        <v>142</v>
      </c>
      <c r="L2774" s="1" t="s">
        <v>153</v>
      </c>
      <c r="M2774" s="1" t="s">
        <v>1256</v>
      </c>
      <c r="N2774" s="1" t="str">
        <f>HYPERLINK("https://klocwork.india.ti.com:443/review/insight-review.html#issuedetails_goto:problemid=132565,project=MCU_PLUS_SDK_AM263X,searchquery=taxonomy:'C and C++' build:Build_Apr_13_2023_11_11_AM grouping:off ","KW Issue Link")</f>
        <v>KW Issue Link</v>
      </c>
      <c r="O2774" s="1" t="s">
        <v>1083</v>
      </c>
    </row>
    <row r="2775" spans="1:15" ht="75" x14ac:dyDescent="0.25">
      <c r="A2775" s="1" t="s">
        <v>157</v>
      </c>
      <c r="B2775" s="1"/>
      <c r="C2775" s="1" t="s">
        <v>3880</v>
      </c>
      <c r="D2775" s="1">
        <v>132567</v>
      </c>
      <c r="E2775" s="1">
        <v>282</v>
      </c>
      <c r="F2775" s="1" t="s">
        <v>3890</v>
      </c>
      <c r="G2775" s="1" t="s">
        <v>3882</v>
      </c>
      <c r="H2775" s="1" t="s">
        <v>141</v>
      </c>
      <c r="I2775" s="1" t="s">
        <v>65</v>
      </c>
      <c r="J2775" s="1">
        <v>3</v>
      </c>
      <c r="K2775" s="1" t="s">
        <v>142</v>
      </c>
      <c r="L2775" s="1" t="s">
        <v>153</v>
      </c>
      <c r="M2775" s="1" t="s">
        <v>28</v>
      </c>
      <c r="N2775" s="1" t="str">
        <f>HYPERLINK("https://klocwork.india.ti.com:443/review/insight-review.html#issuedetails_goto:problemid=132567,project=MCU_PLUS_SDK_AM263X,searchquery=taxonomy:'C and C++' build:Build_Apr_13_2023_11_11_AM grouping:off ","KW Issue Link")</f>
        <v>KW Issue Link</v>
      </c>
      <c r="O2775" s="1" t="s">
        <v>1083</v>
      </c>
    </row>
    <row r="2776" spans="1:15" ht="75" x14ac:dyDescent="0.25">
      <c r="A2776" s="1" t="s">
        <v>1252</v>
      </c>
      <c r="B2776" s="1"/>
      <c r="C2776" s="1" t="s">
        <v>3891</v>
      </c>
      <c r="D2776" s="1">
        <v>132656</v>
      </c>
      <c r="E2776" s="1">
        <v>33</v>
      </c>
      <c r="F2776" s="1" t="s">
        <v>3892</v>
      </c>
      <c r="G2776" s="1" t="s">
        <v>3893</v>
      </c>
      <c r="H2776" s="1" t="s">
        <v>141</v>
      </c>
      <c r="I2776" s="1" t="s">
        <v>65</v>
      </c>
      <c r="J2776" s="1">
        <v>3</v>
      </c>
      <c r="K2776" s="1" t="s">
        <v>142</v>
      </c>
      <c r="L2776" s="1" t="s">
        <v>153</v>
      </c>
      <c r="M2776" s="1" t="s">
        <v>1256</v>
      </c>
      <c r="N2776" s="1" t="str">
        <f>HYPERLINK("https://klocwork.india.ti.com:443/review/insight-review.html#issuedetails_goto:problemid=132656,project=MCU_PLUS_SDK_AM263X,searchquery=taxonomy:'C and C++' build:Build_Apr_13_2023_11_11_AM grouping:off ","KW Issue Link")</f>
        <v>KW Issue Link</v>
      </c>
      <c r="O2776" s="1" t="s">
        <v>1083</v>
      </c>
    </row>
    <row r="2777" spans="1:15" ht="75" x14ac:dyDescent="0.25">
      <c r="A2777" s="1" t="s">
        <v>1252</v>
      </c>
      <c r="B2777" s="1"/>
      <c r="C2777" s="1" t="s">
        <v>3891</v>
      </c>
      <c r="D2777" s="1">
        <v>132657</v>
      </c>
      <c r="E2777" s="1">
        <v>54</v>
      </c>
      <c r="F2777" s="1" t="s">
        <v>3894</v>
      </c>
      <c r="G2777" s="1" t="s">
        <v>3895</v>
      </c>
      <c r="H2777" s="1" t="s">
        <v>141</v>
      </c>
      <c r="I2777" s="1" t="s">
        <v>65</v>
      </c>
      <c r="J2777" s="1">
        <v>3</v>
      </c>
      <c r="K2777" s="1" t="s">
        <v>142</v>
      </c>
      <c r="L2777" s="1" t="s">
        <v>153</v>
      </c>
      <c r="M2777" s="1" t="s">
        <v>1256</v>
      </c>
      <c r="N2777" s="1" t="str">
        <f>HYPERLINK("https://klocwork.india.ti.com:443/review/insight-review.html#issuedetails_goto:problemid=132657,project=MCU_PLUS_SDK_AM263X,searchquery=taxonomy:'C and C++' build:Build_Apr_13_2023_11_11_AM grouping:off ","KW Issue Link")</f>
        <v>KW Issue Link</v>
      </c>
      <c r="O2777" s="1" t="s">
        <v>1083</v>
      </c>
    </row>
    <row r="2778" spans="1:15" ht="75" x14ac:dyDescent="0.25">
      <c r="A2778" s="1" t="s">
        <v>1252</v>
      </c>
      <c r="B2778" s="1"/>
      <c r="C2778" s="1" t="s">
        <v>3891</v>
      </c>
      <c r="D2778" s="1">
        <v>132658</v>
      </c>
      <c r="E2778" s="1">
        <v>84</v>
      </c>
      <c r="F2778" s="1" t="s">
        <v>3896</v>
      </c>
      <c r="G2778" s="1" t="s">
        <v>3897</v>
      </c>
      <c r="H2778" s="1" t="s">
        <v>141</v>
      </c>
      <c r="I2778" s="1" t="s">
        <v>65</v>
      </c>
      <c r="J2778" s="1">
        <v>3</v>
      </c>
      <c r="K2778" s="1" t="s">
        <v>142</v>
      </c>
      <c r="L2778" s="1" t="s">
        <v>153</v>
      </c>
      <c r="M2778" s="1" t="s">
        <v>1256</v>
      </c>
      <c r="N2778" s="1" t="str">
        <f>HYPERLINK("https://klocwork.india.ti.com:443/review/insight-review.html#issuedetails_goto:problemid=132658,project=MCU_PLUS_SDK_AM263X,searchquery=taxonomy:'C and C++' build:Build_Apr_13_2023_11_11_AM grouping:off ","KW Issue Link")</f>
        <v>KW Issue Link</v>
      </c>
      <c r="O2778" s="1" t="s">
        <v>1083</v>
      </c>
    </row>
    <row r="2779" spans="1:15" ht="75" x14ac:dyDescent="0.25">
      <c r="A2779" s="1" t="s">
        <v>1266</v>
      </c>
      <c r="B2779" s="1"/>
      <c r="C2779" s="1" t="s">
        <v>3891</v>
      </c>
      <c r="D2779" s="1">
        <v>132694</v>
      </c>
      <c r="E2779" s="1">
        <v>84</v>
      </c>
      <c r="F2779" s="1" t="s">
        <v>3898</v>
      </c>
      <c r="G2779" s="1" t="s">
        <v>3897</v>
      </c>
      <c r="H2779" s="1" t="s">
        <v>141</v>
      </c>
      <c r="I2779" s="1" t="s">
        <v>65</v>
      </c>
      <c r="J2779" s="1">
        <v>3</v>
      </c>
      <c r="K2779" s="1" t="s">
        <v>142</v>
      </c>
      <c r="L2779" s="1" t="s">
        <v>153</v>
      </c>
      <c r="M2779" s="1" t="s">
        <v>1256</v>
      </c>
      <c r="N2779" s="1" t="str">
        <f>HYPERLINK("https://klocwork.india.ti.com:443/review/insight-review.html#issuedetails_goto:problemid=132694,project=MCU_PLUS_SDK_AM263X,searchquery=taxonomy:'C and C++' build:Build_Apr_13_2023_11_11_AM grouping:off ","KW Issue Link")</f>
        <v>KW Issue Link</v>
      </c>
      <c r="O2779" s="1" t="s">
        <v>1083</v>
      </c>
    </row>
    <row r="2780" spans="1:15" ht="75" x14ac:dyDescent="0.25">
      <c r="A2780" s="1" t="s">
        <v>1268</v>
      </c>
      <c r="B2780" s="1"/>
      <c r="C2780" s="1" t="s">
        <v>3891</v>
      </c>
      <c r="D2780" s="1">
        <v>132695</v>
      </c>
      <c r="E2780" s="1">
        <v>84</v>
      </c>
      <c r="F2780" s="1" t="s">
        <v>3899</v>
      </c>
      <c r="G2780" s="1" t="s">
        <v>3897</v>
      </c>
      <c r="H2780" s="1" t="s">
        <v>141</v>
      </c>
      <c r="I2780" s="1" t="s">
        <v>65</v>
      </c>
      <c r="J2780" s="1">
        <v>3</v>
      </c>
      <c r="K2780" s="1" t="s">
        <v>142</v>
      </c>
      <c r="L2780" s="1" t="s">
        <v>153</v>
      </c>
      <c r="M2780" s="1" t="s">
        <v>1256</v>
      </c>
      <c r="N2780" s="1" t="str">
        <f>HYPERLINK("https://klocwork.india.ti.com:443/review/insight-review.html#issuedetails_goto:problemid=132695,project=MCU_PLUS_SDK_AM263X,searchquery=taxonomy:'C and C++' build:Build_Apr_13_2023_11_11_AM grouping:off ","KW Issue Link")</f>
        <v>KW Issue Link</v>
      </c>
      <c r="O2780" s="1" t="s">
        <v>1083</v>
      </c>
    </row>
    <row r="2781" spans="1:15" ht="75" x14ac:dyDescent="0.25">
      <c r="A2781" s="1" t="s">
        <v>1252</v>
      </c>
      <c r="B2781" s="1"/>
      <c r="C2781" s="1" t="s">
        <v>3900</v>
      </c>
      <c r="D2781" s="1">
        <v>132859</v>
      </c>
      <c r="E2781" s="1">
        <v>163</v>
      </c>
      <c r="F2781" s="1" t="s">
        <v>3901</v>
      </c>
      <c r="G2781" s="1" t="s">
        <v>3902</v>
      </c>
      <c r="H2781" s="1" t="s">
        <v>141</v>
      </c>
      <c r="I2781" s="1" t="s">
        <v>65</v>
      </c>
      <c r="J2781" s="1">
        <v>3</v>
      </c>
      <c r="K2781" s="1" t="s">
        <v>142</v>
      </c>
      <c r="L2781" s="1" t="s">
        <v>153</v>
      </c>
      <c r="M2781" s="1" t="s">
        <v>1256</v>
      </c>
      <c r="N2781" s="1" t="str">
        <f>HYPERLINK("https://klocwork.india.ti.com:443/review/insight-review.html#issuedetails_goto:problemid=132859,project=MCU_PLUS_SDK_AM263X,searchquery=taxonomy:'C and C++' build:Build_Apr_13_2023_11_11_AM grouping:off ","KW Issue Link")</f>
        <v>KW Issue Link</v>
      </c>
      <c r="O2781" s="1" t="s">
        <v>1083</v>
      </c>
    </row>
    <row r="2782" spans="1:15" ht="75" x14ac:dyDescent="0.25">
      <c r="A2782" s="1" t="s">
        <v>199</v>
      </c>
      <c r="B2782" s="1"/>
      <c r="C2782" s="1" t="s">
        <v>3900</v>
      </c>
      <c r="D2782" s="1">
        <v>132864</v>
      </c>
      <c r="E2782" s="1">
        <v>287</v>
      </c>
      <c r="F2782" s="1" t="s">
        <v>3903</v>
      </c>
      <c r="G2782" s="1" t="s">
        <v>3904</v>
      </c>
      <c r="H2782" s="1" t="s">
        <v>141</v>
      </c>
      <c r="I2782" s="1" t="s">
        <v>63</v>
      </c>
      <c r="J2782" s="1">
        <v>1</v>
      </c>
      <c r="K2782" s="1" t="s">
        <v>142</v>
      </c>
      <c r="L2782" s="11" t="s">
        <v>177</v>
      </c>
      <c r="M2782" s="1" t="s">
        <v>28</v>
      </c>
      <c r="N2782" s="1" t="str">
        <f>HYPERLINK("https://klocwork.india.ti.com:443/review/insight-review.html#issuedetails_goto:problemid=132864,project=MCU_PLUS_SDK_AM263X,searchquery=taxonomy:'C and C++' build:Build_Apr_13_2023_11_11_AM grouping:off ","KW Issue Link")</f>
        <v>KW Issue Link</v>
      </c>
      <c r="O2782" s="1" t="s">
        <v>1083</v>
      </c>
    </row>
    <row r="2783" spans="1:15" ht="90" x14ac:dyDescent="0.25">
      <c r="A2783" s="1" t="s">
        <v>163</v>
      </c>
      <c r="B2783" s="1"/>
      <c r="C2783" s="1" t="s">
        <v>3905</v>
      </c>
      <c r="D2783" s="1">
        <v>133063</v>
      </c>
      <c r="E2783" s="1">
        <v>194</v>
      </c>
      <c r="F2783" s="1" t="s">
        <v>3906</v>
      </c>
      <c r="G2783" s="1" t="s">
        <v>3907</v>
      </c>
      <c r="H2783" s="1" t="s">
        <v>141</v>
      </c>
      <c r="I2783" s="1" t="s">
        <v>65</v>
      </c>
      <c r="J2783" s="1">
        <v>3</v>
      </c>
      <c r="K2783" s="1" t="s">
        <v>142</v>
      </c>
      <c r="L2783" s="1" t="s">
        <v>153</v>
      </c>
      <c r="M2783" s="1" t="s">
        <v>28</v>
      </c>
      <c r="N2783" s="1" t="str">
        <f>HYPERLINK("https://klocwork.india.ti.com:443/review/insight-review.html#issuedetails_goto:problemid=133063,project=MCU_PLUS_SDK_AM263X,searchquery=taxonomy:'C and C++' build:Build_Apr_13_2023_11_11_AM grouping:off ","KW Issue Link")</f>
        <v>KW Issue Link</v>
      </c>
      <c r="O2783" s="1" t="s">
        <v>1083</v>
      </c>
    </row>
    <row r="2784" spans="1:15" ht="75" x14ac:dyDescent="0.25">
      <c r="A2784" s="1" t="s">
        <v>1252</v>
      </c>
      <c r="B2784" s="1"/>
      <c r="C2784" s="1" t="s">
        <v>3905</v>
      </c>
      <c r="D2784" s="1">
        <v>133096</v>
      </c>
      <c r="E2784" s="1">
        <v>414</v>
      </c>
      <c r="F2784" s="1" t="s">
        <v>3908</v>
      </c>
      <c r="G2784" s="1" t="s">
        <v>3909</v>
      </c>
      <c r="H2784" s="1" t="s">
        <v>141</v>
      </c>
      <c r="I2784" s="1" t="s">
        <v>65</v>
      </c>
      <c r="J2784" s="1">
        <v>3</v>
      </c>
      <c r="K2784" s="1" t="s">
        <v>142</v>
      </c>
      <c r="L2784" s="1" t="s">
        <v>153</v>
      </c>
      <c r="M2784" s="1" t="s">
        <v>1256</v>
      </c>
      <c r="N2784" s="1" t="str">
        <f>HYPERLINK("https://klocwork.india.ti.com:443/review/insight-review.html#issuedetails_goto:problemid=133096,project=MCU_PLUS_SDK_AM263X,searchquery=taxonomy:'C and C++' build:Build_Apr_13_2023_11_11_AM grouping:off ","KW Issue Link")</f>
        <v>KW Issue Link</v>
      </c>
      <c r="O2784" s="1" t="s">
        <v>1083</v>
      </c>
    </row>
    <row r="2785" spans="1:15" ht="75" x14ac:dyDescent="0.25">
      <c r="A2785" s="1" t="s">
        <v>1257</v>
      </c>
      <c r="B2785" s="1"/>
      <c r="C2785" s="1" t="s">
        <v>3910</v>
      </c>
      <c r="D2785" s="1">
        <v>133447</v>
      </c>
      <c r="E2785" s="1">
        <v>715</v>
      </c>
      <c r="F2785" s="1" t="s">
        <v>3911</v>
      </c>
      <c r="G2785" s="1" t="s">
        <v>3912</v>
      </c>
      <c r="H2785" s="1" t="s">
        <v>141</v>
      </c>
      <c r="I2785" s="1" t="s">
        <v>65</v>
      </c>
      <c r="J2785" s="1">
        <v>3</v>
      </c>
      <c r="K2785" s="1" t="s">
        <v>142</v>
      </c>
      <c r="L2785" s="1" t="s">
        <v>153</v>
      </c>
      <c r="M2785" s="1" t="s">
        <v>1256</v>
      </c>
      <c r="N2785" s="1" t="str">
        <f>HYPERLINK("https://klocwork.india.ti.com:443/review/insight-review.html#issuedetails_goto:problemid=133447,project=MCU_PLUS_SDK_AM263X,searchquery=taxonomy:'C and C++' build:Build_Apr_13_2023_11_11_AM grouping:off ","KW Issue Link")</f>
        <v>KW Issue Link</v>
      </c>
      <c r="O2785" s="1" t="s">
        <v>1083</v>
      </c>
    </row>
    <row r="2786" spans="1:15" ht="75" x14ac:dyDescent="0.25">
      <c r="A2786" s="1" t="s">
        <v>1257</v>
      </c>
      <c r="B2786" s="1"/>
      <c r="C2786" s="1" t="s">
        <v>3913</v>
      </c>
      <c r="D2786" s="1">
        <v>133463</v>
      </c>
      <c r="E2786" s="1">
        <v>59</v>
      </c>
      <c r="F2786" s="1" t="s">
        <v>3914</v>
      </c>
      <c r="G2786" s="1" t="s">
        <v>3915</v>
      </c>
      <c r="H2786" s="1" t="s">
        <v>141</v>
      </c>
      <c r="I2786" s="1" t="s">
        <v>65</v>
      </c>
      <c r="J2786" s="1">
        <v>3</v>
      </c>
      <c r="K2786" s="1" t="s">
        <v>142</v>
      </c>
      <c r="L2786" s="1" t="s">
        <v>153</v>
      </c>
      <c r="M2786" s="1" t="s">
        <v>1256</v>
      </c>
      <c r="N2786" s="1" t="str">
        <f>HYPERLINK("https://klocwork.india.ti.com:443/review/insight-review.html#issuedetails_goto:problemid=133463,project=MCU_PLUS_SDK_AM263X,searchquery=taxonomy:'C and C++' build:Build_Apr_13_2023_11_11_AM grouping:off ","KW Issue Link")</f>
        <v>KW Issue Link</v>
      </c>
      <c r="O2786" s="1" t="s">
        <v>1083</v>
      </c>
    </row>
    <row r="2787" spans="1:15" ht="75" x14ac:dyDescent="0.25">
      <c r="A2787" s="1" t="s">
        <v>1257</v>
      </c>
      <c r="B2787" s="1"/>
      <c r="C2787" s="1" t="s">
        <v>3913</v>
      </c>
      <c r="D2787" s="1">
        <v>133464</v>
      </c>
      <c r="E2787" s="1">
        <v>230</v>
      </c>
      <c r="F2787" s="1" t="s">
        <v>3916</v>
      </c>
      <c r="G2787" s="1" t="s">
        <v>3917</v>
      </c>
      <c r="H2787" s="1" t="s">
        <v>141</v>
      </c>
      <c r="I2787" s="1" t="s">
        <v>65</v>
      </c>
      <c r="J2787" s="1">
        <v>3</v>
      </c>
      <c r="K2787" s="1" t="s">
        <v>142</v>
      </c>
      <c r="L2787" s="1" t="s">
        <v>153</v>
      </c>
      <c r="M2787" s="1" t="s">
        <v>1256</v>
      </c>
      <c r="N2787" s="1" t="str">
        <f>HYPERLINK("https://klocwork.india.ti.com:443/review/insight-review.html#issuedetails_goto:problemid=133464,project=MCU_PLUS_SDK_AM263X,searchquery=taxonomy:'C and C++' build:Build_Apr_13_2023_11_11_AM grouping:off ","KW Issue Link")</f>
        <v>KW Issue Link</v>
      </c>
      <c r="O2787" s="1" t="s">
        <v>1083</v>
      </c>
    </row>
    <row r="2788" spans="1:15" ht="75" x14ac:dyDescent="0.25">
      <c r="A2788" s="1" t="s">
        <v>1266</v>
      </c>
      <c r="B2788" s="1"/>
      <c r="C2788" s="1" t="s">
        <v>3913</v>
      </c>
      <c r="D2788" s="1">
        <v>133638</v>
      </c>
      <c r="E2788" s="1">
        <v>81</v>
      </c>
      <c r="F2788" s="1" t="s">
        <v>3918</v>
      </c>
      <c r="G2788" s="1" t="s">
        <v>3919</v>
      </c>
      <c r="H2788" s="1" t="s">
        <v>141</v>
      </c>
      <c r="I2788" s="1" t="s">
        <v>65</v>
      </c>
      <c r="J2788" s="1">
        <v>3</v>
      </c>
      <c r="K2788" s="1" t="s">
        <v>142</v>
      </c>
      <c r="L2788" s="1" t="s">
        <v>153</v>
      </c>
      <c r="M2788" s="1" t="s">
        <v>1256</v>
      </c>
      <c r="N2788" s="1" t="str">
        <f>HYPERLINK("https://klocwork.india.ti.com:443/review/insight-review.html#issuedetails_goto:problemid=133638,project=MCU_PLUS_SDK_AM263X,searchquery=taxonomy:'C and C++' build:Build_Apr_13_2023_11_11_AM grouping:off ","KW Issue Link")</f>
        <v>KW Issue Link</v>
      </c>
      <c r="O2788" s="1" t="s">
        <v>1083</v>
      </c>
    </row>
    <row r="2789" spans="1:15" ht="75" x14ac:dyDescent="0.25">
      <c r="A2789" s="1" t="s">
        <v>1266</v>
      </c>
      <c r="B2789" s="1"/>
      <c r="C2789" s="1" t="s">
        <v>3913</v>
      </c>
      <c r="D2789" s="1">
        <v>133639</v>
      </c>
      <c r="E2789" s="1">
        <v>230</v>
      </c>
      <c r="F2789" s="1" t="s">
        <v>3920</v>
      </c>
      <c r="G2789" s="1" t="s">
        <v>3917</v>
      </c>
      <c r="H2789" s="1" t="s">
        <v>141</v>
      </c>
      <c r="I2789" s="1" t="s">
        <v>65</v>
      </c>
      <c r="J2789" s="1">
        <v>3</v>
      </c>
      <c r="K2789" s="1" t="s">
        <v>142</v>
      </c>
      <c r="L2789" s="1" t="s">
        <v>153</v>
      </c>
      <c r="M2789" s="1" t="s">
        <v>1256</v>
      </c>
      <c r="N2789" s="1" t="str">
        <f>HYPERLINK("https://klocwork.india.ti.com:443/review/insight-review.html#issuedetails_goto:problemid=133639,project=MCU_PLUS_SDK_AM263X,searchquery=taxonomy:'C and C++' build:Build_Apr_13_2023_11_11_AM grouping:off ","KW Issue Link")</f>
        <v>KW Issue Link</v>
      </c>
      <c r="O2789" s="1" t="s">
        <v>1083</v>
      </c>
    </row>
    <row r="2790" spans="1:15" ht="75" x14ac:dyDescent="0.25">
      <c r="A2790" s="1" t="s">
        <v>1268</v>
      </c>
      <c r="B2790" s="1"/>
      <c r="C2790" s="1" t="s">
        <v>3913</v>
      </c>
      <c r="D2790" s="1">
        <v>133640</v>
      </c>
      <c r="E2790" s="1">
        <v>81</v>
      </c>
      <c r="F2790" s="1" t="s">
        <v>3921</v>
      </c>
      <c r="G2790" s="1" t="s">
        <v>3919</v>
      </c>
      <c r="H2790" s="1" t="s">
        <v>141</v>
      </c>
      <c r="I2790" s="1" t="s">
        <v>65</v>
      </c>
      <c r="J2790" s="1">
        <v>3</v>
      </c>
      <c r="K2790" s="1" t="s">
        <v>142</v>
      </c>
      <c r="L2790" s="1" t="s">
        <v>153</v>
      </c>
      <c r="M2790" s="1" t="s">
        <v>1256</v>
      </c>
      <c r="N2790" s="1" t="str">
        <f>HYPERLINK("https://klocwork.india.ti.com:443/review/insight-review.html#issuedetails_goto:problemid=133640,project=MCU_PLUS_SDK_AM263X,searchquery=taxonomy:'C and C++' build:Build_Apr_13_2023_11_11_AM grouping:off ","KW Issue Link")</f>
        <v>KW Issue Link</v>
      </c>
      <c r="O2790" s="1" t="s">
        <v>1083</v>
      </c>
    </row>
    <row r="2791" spans="1:15" ht="75" x14ac:dyDescent="0.25">
      <c r="A2791" s="1" t="s">
        <v>1268</v>
      </c>
      <c r="B2791" s="1"/>
      <c r="C2791" s="1" t="s">
        <v>3913</v>
      </c>
      <c r="D2791" s="1">
        <v>133641</v>
      </c>
      <c r="E2791" s="1">
        <v>230</v>
      </c>
      <c r="F2791" s="1" t="s">
        <v>3922</v>
      </c>
      <c r="G2791" s="1" t="s">
        <v>3917</v>
      </c>
      <c r="H2791" s="1" t="s">
        <v>141</v>
      </c>
      <c r="I2791" s="1" t="s">
        <v>65</v>
      </c>
      <c r="J2791" s="1">
        <v>3</v>
      </c>
      <c r="K2791" s="1" t="s">
        <v>142</v>
      </c>
      <c r="L2791" s="1" t="s">
        <v>153</v>
      </c>
      <c r="M2791" s="1" t="s">
        <v>1256</v>
      </c>
      <c r="N2791" s="1" t="str">
        <f>HYPERLINK("https://klocwork.india.ti.com:443/review/insight-review.html#issuedetails_goto:problemid=133641,project=MCU_PLUS_SDK_AM263X,searchquery=taxonomy:'C and C++' build:Build_Apr_13_2023_11_11_AM grouping:off ","KW Issue Link")</f>
        <v>KW Issue Link</v>
      </c>
      <c r="O2791" s="1" t="s">
        <v>1083</v>
      </c>
    </row>
    <row r="2792" spans="1:15" ht="105" x14ac:dyDescent="0.25">
      <c r="A2792" s="1" t="s">
        <v>149</v>
      </c>
      <c r="B2792" s="1"/>
      <c r="C2792" s="1" t="s">
        <v>3913</v>
      </c>
      <c r="D2792" s="1">
        <v>133643</v>
      </c>
      <c r="E2792" s="1">
        <v>95</v>
      </c>
      <c r="F2792" s="1" t="s">
        <v>3923</v>
      </c>
      <c r="G2792" s="1" t="s">
        <v>3919</v>
      </c>
      <c r="H2792" s="1" t="s">
        <v>141</v>
      </c>
      <c r="I2792" s="1" t="s">
        <v>65</v>
      </c>
      <c r="J2792" s="1">
        <v>3</v>
      </c>
      <c r="K2792" s="1" t="s">
        <v>142</v>
      </c>
      <c r="L2792" s="1" t="s">
        <v>153</v>
      </c>
      <c r="M2792" s="1" t="s">
        <v>28</v>
      </c>
      <c r="N2792" s="1" t="str">
        <f>HYPERLINK("https://klocwork.india.ti.com:443/review/insight-review.html#issuedetails_goto:problemid=133643,project=MCU_PLUS_SDK_AM263X,searchquery=taxonomy:'C and C++' build:Build_Apr_13_2023_11_11_AM grouping:off ","KW Issue Link")</f>
        <v>KW Issue Link</v>
      </c>
      <c r="O2792" s="1" t="s">
        <v>1083</v>
      </c>
    </row>
    <row r="2793" spans="1:15" ht="105" x14ac:dyDescent="0.25">
      <c r="A2793" s="1" t="s">
        <v>149</v>
      </c>
      <c r="B2793" s="1"/>
      <c r="C2793" s="1" t="s">
        <v>3913</v>
      </c>
      <c r="D2793" s="1">
        <v>133644</v>
      </c>
      <c r="E2793" s="1">
        <v>97</v>
      </c>
      <c r="F2793" s="1" t="s">
        <v>3924</v>
      </c>
      <c r="G2793" s="1" t="s">
        <v>3919</v>
      </c>
      <c r="H2793" s="1" t="s">
        <v>141</v>
      </c>
      <c r="I2793" s="1" t="s">
        <v>65</v>
      </c>
      <c r="J2793" s="1">
        <v>3</v>
      </c>
      <c r="K2793" s="1" t="s">
        <v>142</v>
      </c>
      <c r="L2793" s="1" t="s">
        <v>153</v>
      </c>
      <c r="M2793" s="1" t="s">
        <v>28</v>
      </c>
      <c r="N2793" s="1" t="str">
        <f>HYPERLINK("https://klocwork.india.ti.com:443/review/insight-review.html#issuedetails_goto:problemid=133644,project=MCU_PLUS_SDK_AM263X,searchquery=taxonomy:'C and C++' build:Build_Apr_13_2023_11_11_AM grouping:off ","KW Issue Link")</f>
        <v>KW Issue Link</v>
      </c>
      <c r="O2793" s="1" t="s">
        <v>1083</v>
      </c>
    </row>
    <row r="2794" spans="1:15" ht="105" x14ac:dyDescent="0.25">
      <c r="A2794" s="1" t="s">
        <v>149</v>
      </c>
      <c r="B2794" s="1"/>
      <c r="C2794" s="1" t="s">
        <v>3913</v>
      </c>
      <c r="D2794" s="1">
        <v>133645</v>
      </c>
      <c r="E2794" s="1">
        <v>99</v>
      </c>
      <c r="F2794" s="1" t="s">
        <v>3924</v>
      </c>
      <c r="G2794" s="1" t="s">
        <v>3919</v>
      </c>
      <c r="H2794" s="1" t="s">
        <v>141</v>
      </c>
      <c r="I2794" s="1" t="s">
        <v>65</v>
      </c>
      <c r="J2794" s="1">
        <v>3</v>
      </c>
      <c r="K2794" s="1" t="s">
        <v>142</v>
      </c>
      <c r="L2794" s="1" t="s">
        <v>153</v>
      </c>
      <c r="M2794" s="1" t="s">
        <v>28</v>
      </c>
      <c r="N2794" s="1" t="str">
        <f>HYPERLINK("https://klocwork.india.ti.com:443/review/insight-review.html#issuedetails_goto:problemid=133645,project=MCU_PLUS_SDK_AM263X,searchquery=taxonomy:'C and C++' build:Build_Apr_13_2023_11_11_AM grouping:off ","KW Issue Link")</f>
        <v>KW Issue Link</v>
      </c>
      <c r="O2794" s="1" t="s">
        <v>1083</v>
      </c>
    </row>
    <row r="2795" spans="1:15" ht="105" x14ac:dyDescent="0.25">
      <c r="A2795" s="1" t="s">
        <v>149</v>
      </c>
      <c r="B2795" s="1"/>
      <c r="C2795" s="1" t="s">
        <v>3913</v>
      </c>
      <c r="D2795" s="1">
        <v>133646</v>
      </c>
      <c r="E2795" s="1">
        <v>101</v>
      </c>
      <c r="F2795" s="1" t="s">
        <v>3925</v>
      </c>
      <c r="G2795" s="1" t="s">
        <v>3919</v>
      </c>
      <c r="H2795" s="1" t="s">
        <v>141</v>
      </c>
      <c r="I2795" s="1" t="s">
        <v>65</v>
      </c>
      <c r="J2795" s="1">
        <v>3</v>
      </c>
      <c r="K2795" s="1" t="s">
        <v>142</v>
      </c>
      <c r="L2795" s="1" t="s">
        <v>153</v>
      </c>
      <c r="M2795" s="1" t="s">
        <v>28</v>
      </c>
      <c r="N2795" s="1" t="str">
        <f>HYPERLINK("https://klocwork.india.ti.com:443/review/insight-review.html#issuedetails_goto:problemid=133646,project=MCU_PLUS_SDK_AM263X,searchquery=taxonomy:'C and C++' build:Build_Apr_13_2023_11_11_AM grouping:off ","KW Issue Link")</f>
        <v>KW Issue Link</v>
      </c>
      <c r="O2795" s="1" t="s">
        <v>1083</v>
      </c>
    </row>
    <row r="2796" spans="1:15" ht="105" x14ac:dyDescent="0.25">
      <c r="A2796" s="1" t="s">
        <v>149</v>
      </c>
      <c r="B2796" s="1"/>
      <c r="C2796" s="1" t="s">
        <v>3913</v>
      </c>
      <c r="D2796" s="1">
        <v>133647</v>
      </c>
      <c r="E2796" s="1">
        <v>115</v>
      </c>
      <c r="F2796" s="1" t="s">
        <v>3923</v>
      </c>
      <c r="G2796" s="1" t="s">
        <v>3919</v>
      </c>
      <c r="H2796" s="1" t="s">
        <v>141</v>
      </c>
      <c r="I2796" s="1" t="s">
        <v>65</v>
      </c>
      <c r="J2796" s="1">
        <v>3</v>
      </c>
      <c r="K2796" s="1" t="s">
        <v>142</v>
      </c>
      <c r="L2796" s="1" t="s">
        <v>153</v>
      </c>
      <c r="M2796" s="1" t="s">
        <v>28</v>
      </c>
      <c r="N2796" s="1" t="str">
        <f>HYPERLINK("https://klocwork.india.ti.com:443/review/insight-review.html#issuedetails_goto:problemid=133647,project=MCU_PLUS_SDK_AM263X,searchquery=taxonomy:'C and C++' build:Build_Apr_13_2023_11_11_AM grouping:off ","KW Issue Link")</f>
        <v>KW Issue Link</v>
      </c>
      <c r="O2796" s="1" t="s">
        <v>1083</v>
      </c>
    </row>
    <row r="2797" spans="1:15" ht="105" x14ac:dyDescent="0.25">
      <c r="A2797" s="1" t="s">
        <v>149</v>
      </c>
      <c r="B2797" s="1"/>
      <c r="C2797" s="1" t="s">
        <v>3913</v>
      </c>
      <c r="D2797" s="1">
        <v>133648</v>
      </c>
      <c r="E2797" s="1">
        <v>117</v>
      </c>
      <c r="F2797" s="1" t="s">
        <v>3924</v>
      </c>
      <c r="G2797" s="1" t="s">
        <v>3919</v>
      </c>
      <c r="H2797" s="1" t="s">
        <v>141</v>
      </c>
      <c r="I2797" s="1" t="s">
        <v>65</v>
      </c>
      <c r="J2797" s="1">
        <v>3</v>
      </c>
      <c r="K2797" s="1" t="s">
        <v>142</v>
      </c>
      <c r="L2797" s="1" t="s">
        <v>153</v>
      </c>
      <c r="M2797" s="1" t="s">
        <v>28</v>
      </c>
      <c r="N2797" s="1" t="str">
        <f>HYPERLINK("https://klocwork.india.ti.com:443/review/insight-review.html#issuedetails_goto:problemid=133648,project=MCU_PLUS_SDK_AM263X,searchquery=taxonomy:'C and C++' build:Build_Apr_13_2023_11_11_AM grouping:off ","KW Issue Link")</f>
        <v>KW Issue Link</v>
      </c>
      <c r="O2797" s="1" t="s">
        <v>1083</v>
      </c>
    </row>
    <row r="2798" spans="1:15" ht="105" x14ac:dyDescent="0.25">
      <c r="A2798" s="1" t="s">
        <v>149</v>
      </c>
      <c r="B2798" s="1"/>
      <c r="C2798" s="1" t="s">
        <v>3913</v>
      </c>
      <c r="D2798" s="1">
        <v>133649</v>
      </c>
      <c r="E2798" s="1">
        <v>119</v>
      </c>
      <c r="F2798" s="1" t="s">
        <v>3924</v>
      </c>
      <c r="G2798" s="1" t="s">
        <v>3919</v>
      </c>
      <c r="H2798" s="1" t="s">
        <v>141</v>
      </c>
      <c r="I2798" s="1" t="s">
        <v>65</v>
      </c>
      <c r="J2798" s="1">
        <v>3</v>
      </c>
      <c r="K2798" s="1" t="s">
        <v>142</v>
      </c>
      <c r="L2798" s="1" t="s">
        <v>153</v>
      </c>
      <c r="M2798" s="1" t="s">
        <v>28</v>
      </c>
      <c r="N2798" s="1" t="str">
        <f>HYPERLINK("https://klocwork.india.ti.com:443/review/insight-review.html#issuedetails_goto:problemid=133649,project=MCU_PLUS_SDK_AM263X,searchquery=taxonomy:'C and C++' build:Build_Apr_13_2023_11_11_AM grouping:off ","KW Issue Link")</f>
        <v>KW Issue Link</v>
      </c>
      <c r="O2798" s="1" t="s">
        <v>1083</v>
      </c>
    </row>
    <row r="2799" spans="1:15" ht="105" x14ac:dyDescent="0.25">
      <c r="A2799" s="1" t="s">
        <v>149</v>
      </c>
      <c r="B2799" s="1"/>
      <c r="C2799" s="1" t="s">
        <v>3913</v>
      </c>
      <c r="D2799" s="1">
        <v>133650</v>
      </c>
      <c r="E2799" s="1">
        <v>121</v>
      </c>
      <c r="F2799" s="1" t="s">
        <v>3924</v>
      </c>
      <c r="G2799" s="1" t="s">
        <v>3919</v>
      </c>
      <c r="H2799" s="1" t="s">
        <v>141</v>
      </c>
      <c r="I2799" s="1" t="s">
        <v>65</v>
      </c>
      <c r="J2799" s="1">
        <v>3</v>
      </c>
      <c r="K2799" s="1" t="s">
        <v>142</v>
      </c>
      <c r="L2799" s="1" t="s">
        <v>153</v>
      </c>
      <c r="M2799" s="1" t="s">
        <v>28</v>
      </c>
      <c r="N2799" s="1" t="str">
        <f>HYPERLINK("https://klocwork.india.ti.com:443/review/insight-review.html#issuedetails_goto:problemid=133650,project=MCU_PLUS_SDK_AM263X,searchquery=taxonomy:'C and C++' build:Build_Apr_13_2023_11_11_AM grouping:off ","KW Issue Link")</f>
        <v>KW Issue Link</v>
      </c>
      <c r="O2799" s="1" t="s">
        <v>1083</v>
      </c>
    </row>
    <row r="2800" spans="1:15" ht="105" x14ac:dyDescent="0.25">
      <c r="A2800" s="1" t="s">
        <v>149</v>
      </c>
      <c r="B2800" s="1"/>
      <c r="C2800" s="1" t="s">
        <v>3913</v>
      </c>
      <c r="D2800" s="1">
        <v>133651</v>
      </c>
      <c r="E2800" s="1">
        <v>123</v>
      </c>
      <c r="F2800" s="1" t="s">
        <v>3925</v>
      </c>
      <c r="G2800" s="1" t="s">
        <v>3919</v>
      </c>
      <c r="H2800" s="1" t="s">
        <v>141</v>
      </c>
      <c r="I2800" s="1" t="s">
        <v>65</v>
      </c>
      <c r="J2800" s="1">
        <v>3</v>
      </c>
      <c r="K2800" s="1" t="s">
        <v>142</v>
      </c>
      <c r="L2800" s="1" t="s">
        <v>153</v>
      </c>
      <c r="M2800" s="1" t="s">
        <v>28</v>
      </c>
      <c r="N2800" s="1" t="str">
        <f>HYPERLINK("https://klocwork.india.ti.com:443/review/insight-review.html#issuedetails_goto:problemid=133651,project=MCU_PLUS_SDK_AM263X,searchquery=taxonomy:'C and C++' build:Build_Apr_13_2023_11_11_AM grouping:off ","KW Issue Link")</f>
        <v>KW Issue Link</v>
      </c>
      <c r="O2800" s="1" t="s">
        <v>1083</v>
      </c>
    </row>
    <row r="2801" spans="1:15" ht="105" x14ac:dyDescent="0.25">
      <c r="A2801" s="1" t="s">
        <v>149</v>
      </c>
      <c r="B2801" s="1"/>
      <c r="C2801" s="1" t="s">
        <v>3913</v>
      </c>
      <c r="D2801" s="1">
        <v>133652</v>
      </c>
      <c r="E2801" s="1">
        <v>211</v>
      </c>
      <c r="F2801" s="1" t="s">
        <v>3926</v>
      </c>
      <c r="G2801" s="1" t="s">
        <v>3927</v>
      </c>
      <c r="H2801" s="1" t="s">
        <v>141</v>
      </c>
      <c r="I2801" s="1" t="s">
        <v>65</v>
      </c>
      <c r="J2801" s="1">
        <v>3</v>
      </c>
      <c r="K2801" s="1" t="s">
        <v>142</v>
      </c>
      <c r="L2801" s="1" t="s">
        <v>153</v>
      </c>
      <c r="M2801" s="1" t="s">
        <v>28</v>
      </c>
      <c r="N2801" s="1" t="str">
        <f>HYPERLINK("https://klocwork.india.ti.com:443/review/insight-review.html#issuedetails_goto:problemid=133652,project=MCU_PLUS_SDK_AM263X,searchquery=taxonomy:'C and C++' build:Build_Apr_13_2023_11_11_AM grouping:off ","KW Issue Link")</f>
        <v>KW Issue Link</v>
      </c>
      <c r="O2801" s="1" t="s">
        <v>1083</v>
      </c>
    </row>
    <row r="2802" spans="1:15" ht="75" x14ac:dyDescent="0.25">
      <c r="A2802" s="1" t="s">
        <v>155</v>
      </c>
      <c r="B2802" s="1"/>
      <c r="C2802" s="1" t="s">
        <v>3913</v>
      </c>
      <c r="D2802" s="1">
        <v>133680</v>
      </c>
      <c r="E2802" s="1">
        <v>96</v>
      </c>
      <c r="F2802" s="1" t="s">
        <v>156</v>
      </c>
      <c r="G2802" s="1" t="s">
        <v>3919</v>
      </c>
      <c r="H2802" s="1" t="s">
        <v>141</v>
      </c>
      <c r="I2802" s="1" t="s">
        <v>65</v>
      </c>
      <c r="J2802" s="1">
        <v>3</v>
      </c>
      <c r="K2802" s="1" t="s">
        <v>142</v>
      </c>
      <c r="L2802" s="1" t="s">
        <v>153</v>
      </c>
      <c r="M2802" s="1" t="s">
        <v>28</v>
      </c>
      <c r="N2802" s="1" t="str">
        <f>HYPERLINK("https://klocwork.india.ti.com:443/review/insight-review.html#issuedetails_goto:problemid=133680,project=MCU_PLUS_SDK_AM263X,searchquery=taxonomy:'C and C++' build:Build_Apr_13_2023_11_11_AM grouping:off ","KW Issue Link")</f>
        <v>KW Issue Link</v>
      </c>
      <c r="O2802" s="1" t="s">
        <v>1083</v>
      </c>
    </row>
    <row r="2803" spans="1:15" ht="75" x14ac:dyDescent="0.25">
      <c r="A2803" s="1" t="s">
        <v>155</v>
      </c>
      <c r="B2803" s="1"/>
      <c r="C2803" s="1" t="s">
        <v>3913</v>
      </c>
      <c r="D2803" s="1">
        <v>133681</v>
      </c>
      <c r="E2803" s="1">
        <v>98</v>
      </c>
      <c r="F2803" s="1" t="s">
        <v>156</v>
      </c>
      <c r="G2803" s="1" t="s">
        <v>3919</v>
      </c>
      <c r="H2803" s="1" t="s">
        <v>141</v>
      </c>
      <c r="I2803" s="1" t="s">
        <v>65</v>
      </c>
      <c r="J2803" s="1">
        <v>3</v>
      </c>
      <c r="K2803" s="1" t="s">
        <v>142</v>
      </c>
      <c r="L2803" s="1" t="s">
        <v>153</v>
      </c>
      <c r="M2803" s="1" t="s">
        <v>28</v>
      </c>
      <c r="N2803" s="1" t="str">
        <f>HYPERLINK("https://klocwork.india.ti.com:443/review/insight-review.html#issuedetails_goto:problemid=133681,project=MCU_PLUS_SDK_AM263X,searchquery=taxonomy:'C and C++' build:Build_Apr_13_2023_11_11_AM grouping:off ","KW Issue Link")</f>
        <v>KW Issue Link</v>
      </c>
      <c r="O2803" s="1" t="s">
        <v>1083</v>
      </c>
    </row>
    <row r="2804" spans="1:15" ht="75" x14ac:dyDescent="0.25">
      <c r="A2804" s="1" t="s">
        <v>155</v>
      </c>
      <c r="B2804" s="1"/>
      <c r="C2804" s="1" t="s">
        <v>3913</v>
      </c>
      <c r="D2804" s="1">
        <v>133682</v>
      </c>
      <c r="E2804" s="1">
        <v>100</v>
      </c>
      <c r="F2804" s="1" t="s">
        <v>156</v>
      </c>
      <c r="G2804" s="1" t="s">
        <v>3919</v>
      </c>
      <c r="H2804" s="1" t="s">
        <v>141</v>
      </c>
      <c r="I2804" s="1" t="s">
        <v>65</v>
      </c>
      <c r="J2804" s="1">
        <v>3</v>
      </c>
      <c r="K2804" s="1" t="s">
        <v>142</v>
      </c>
      <c r="L2804" s="1" t="s">
        <v>153</v>
      </c>
      <c r="M2804" s="1" t="s">
        <v>28</v>
      </c>
      <c r="N2804" s="1" t="str">
        <f>HYPERLINK("https://klocwork.india.ti.com:443/review/insight-review.html#issuedetails_goto:problemid=133682,project=MCU_PLUS_SDK_AM263X,searchquery=taxonomy:'C and C++' build:Build_Apr_13_2023_11_11_AM grouping:off ","KW Issue Link")</f>
        <v>KW Issue Link</v>
      </c>
      <c r="O2804" s="1" t="s">
        <v>1083</v>
      </c>
    </row>
    <row r="2805" spans="1:15" ht="75" x14ac:dyDescent="0.25">
      <c r="A2805" s="1" t="s">
        <v>155</v>
      </c>
      <c r="B2805" s="1"/>
      <c r="C2805" s="1" t="s">
        <v>3913</v>
      </c>
      <c r="D2805" s="1">
        <v>133683</v>
      </c>
      <c r="E2805" s="1">
        <v>102</v>
      </c>
      <c r="F2805" s="1" t="s">
        <v>156</v>
      </c>
      <c r="G2805" s="1" t="s">
        <v>3919</v>
      </c>
      <c r="H2805" s="1" t="s">
        <v>141</v>
      </c>
      <c r="I2805" s="1" t="s">
        <v>65</v>
      </c>
      <c r="J2805" s="1">
        <v>3</v>
      </c>
      <c r="K2805" s="1" t="s">
        <v>142</v>
      </c>
      <c r="L2805" s="1" t="s">
        <v>153</v>
      </c>
      <c r="M2805" s="1" t="s">
        <v>28</v>
      </c>
      <c r="N2805" s="1" t="str">
        <f>HYPERLINK("https://klocwork.india.ti.com:443/review/insight-review.html#issuedetails_goto:problemid=133683,project=MCU_PLUS_SDK_AM263X,searchquery=taxonomy:'C and C++' build:Build_Apr_13_2023_11_11_AM grouping:off ","KW Issue Link")</f>
        <v>KW Issue Link</v>
      </c>
      <c r="O2805" s="1" t="s">
        <v>1083</v>
      </c>
    </row>
    <row r="2806" spans="1:15" ht="75" x14ac:dyDescent="0.25">
      <c r="A2806" s="1" t="s">
        <v>155</v>
      </c>
      <c r="B2806" s="1"/>
      <c r="C2806" s="1" t="s">
        <v>3913</v>
      </c>
      <c r="D2806" s="1">
        <v>133684</v>
      </c>
      <c r="E2806" s="1">
        <v>116</v>
      </c>
      <c r="F2806" s="1" t="s">
        <v>156</v>
      </c>
      <c r="G2806" s="1" t="s">
        <v>3919</v>
      </c>
      <c r="H2806" s="1" t="s">
        <v>141</v>
      </c>
      <c r="I2806" s="1" t="s">
        <v>65</v>
      </c>
      <c r="J2806" s="1">
        <v>3</v>
      </c>
      <c r="K2806" s="1" t="s">
        <v>142</v>
      </c>
      <c r="L2806" s="1" t="s">
        <v>153</v>
      </c>
      <c r="M2806" s="1" t="s">
        <v>28</v>
      </c>
      <c r="N2806" s="1" t="str">
        <f>HYPERLINK("https://klocwork.india.ti.com:443/review/insight-review.html#issuedetails_goto:problemid=133684,project=MCU_PLUS_SDK_AM263X,searchquery=taxonomy:'C and C++' build:Build_Apr_13_2023_11_11_AM grouping:off ","KW Issue Link")</f>
        <v>KW Issue Link</v>
      </c>
      <c r="O2806" s="1" t="s">
        <v>1083</v>
      </c>
    </row>
    <row r="2807" spans="1:15" ht="75" x14ac:dyDescent="0.25">
      <c r="A2807" s="1" t="s">
        <v>155</v>
      </c>
      <c r="B2807" s="1"/>
      <c r="C2807" s="1" t="s">
        <v>3913</v>
      </c>
      <c r="D2807" s="1">
        <v>133685</v>
      </c>
      <c r="E2807" s="1">
        <v>118</v>
      </c>
      <c r="F2807" s="1" t="s">
        <v>156</v>
      </c>
      <c r="G2807" s="1" t="s">
        <v>3919</v>
      </c>
      <c r="H2807" s="1" t="s">
        <v>141</v>
      </c>
      <c r="I2807" s="1" t="s">
        <v>65</v>
      </c>
      <c r="J2807" s="1">
        <v>3</v>
      </c>
      <c r="K2807" s="1" t="s">
        <v>142</v>
      </c>
      <c r="L2807" s="1" t="s">
        <v>153</v>
      </c>
      <c r="M2807" s="1" t="s">
        <v>28</v>
      </c>
      <c r="N2807" s="1" t="str">
        <f>HYPERLINK("https://klocwork.india.ti.com:443/review/insight-review.html#issuedetails_goto:problemid=133685,project=MCU_PLUS_SDK_AM263X,searchquery=taxonomy:'C and C++' build:Build_Apr_13_2023_11_11_AM grouping:off ","KW Issue Link")</f>
        <v>KW Issue Link</v>
      </c>
      <c r="O2807" s="1" t="s">
        <v>1083</v>
      </c>
    </row>
    <row r="2808" spans="1:15" ht="75" x14ac:dyDescent="0.25">
      <c r="A2808" s="1" t="s">
        <v>155</v>
      </c>
      <c r="B2808" s="1"/>
      <c r="C2808" s="1" t="s">
        <v>3913</v>
      </c>
      <c r="D2808" s="1">
        <v>133686</v>
      </c>
      <c r="E2808" s="1">
        <v>120</v>
      </c>
      <c r="F2808" s="1" t="s">
        <v>156</v>
      </c>
      <c r="G2808" s="1" t="s">
        <v>3919</v>
      </c>
      <c r="H2808" s="1" t="s">
        <v>141</v>
      </c>
      <c r="I2808" s="1" t="s">
        <v>65</v>
      </c>
      <c r="J2808" s="1">
        <v>3</v>
      </c>
      <c r="K2808" s="1" t="s">
        <v>142</v>
      </c>
      <c r="L2808" s="1" t="s">
        <v>153</v>
      </c>
      <c r="M2808" s="1" t="s">
        <v>28</v>
      </c>
      <c r="N2808" s="1" t="str">
        <f>HYPERLINK("https://klocwork.india.ti.com:443/review/insight-review.html#issuedetails_goto:problemid=133686,project=MCU_PLUS_SDK_AM263X,searchquery=taxonomy:'C and C++' build:Build_Apr_13_2023_11_11_AM grouping:off ","KW Issue Link")</f>
        <v>KW Issue Link</v>
      </c>
      <c r="O2808" s="1" t="s">
        <v>1083</v>
      </c>
    </row>
    <row r="2809" spans="1:15" ht="75" x14ac:dyDescent="0.25">
      <c r="A2809" s="1" t="s">
        <v>155</v>
      </c>
      <c r="B2809" s="1"/>
      <c r="C2809" s="1" t="s">
        <v>3913</v>
      </c>
      <c r="D2809" s="1">
        <v>133687</v>
      </c>
      <c r="E2809" s="1">
        <v>122</v>
      </c>
      <c r="F2809" s="1" t="s">
        <v>156</v>
      </c>
      <c r="G2809" s="1" t="s">
        <v>3919</v>
      </c>
      <c r="H2809" s="1" t="s">
        <v>141</v>
      </c>
      <c r="I2809" s="1" t="s">
        <v>65</v>
      </c>
      <c r="J2809" s="1">
        <v>3</v>
      </c>
      <c r="K2809" s="1" t="s">
        <v>142</v>
      </c>
      <c r="L2809" s="1" t="s">
        <v>153</v>
      </c>
      <c r="M2809" s="1" t="s">
        <v>28</v>
      </c>
      <c r="N2809" s="1" t="str">
        <f>HYPERLINK("https://klocwork.india.ti.com:443/review/insight-review.html#issuedetails_goto:problemid=133687,project=MCU_PLUS_SDK_AM263X,searchquery=taxonomy:'C and C++' build:Build_Apr_13_2023_11_11_AM grouping:off ","KW Issue Link")</f>
        <v>KW Issue Link</v>
      </c>
      <c r="O2809" s="1" t="s">
        <v>1083</v>
      </c>
    </row>
    <row r="2810" spans="1:15" ht="75" x14ac:dyDescent="0.25">
      <c r="A2810" s="1" t="s">
        <v>155</v>
      </c>
      <c r="B2810" s="1"/>
      <c r="C2810" s="1" t="s">
        <v>3913</v>
      </c>
      <c r="D2810" s="1">
        <v>133688</v>
      </c>
      <c r="E2810" s="1">
        <v>124</v>
      </c>
      <c r="F2810" s="1" t="s">
        <v>156</v>
      </c>
      <c r="G2810" s="1" t="s">
        <v>3919</v>
      </c>
      <c r="H2810" s="1" t="s">
        <v>141</v>
      </c>
      <c r="I2810" s="1" t="s">
        <v>65</v>
      </c>
      <c r="J2810" s="1">
        <v>3</v>
      </c>
      <c r="K2810" s="1" t="s">
        <v>142</v>
      </c>
      <c r="L2810" s="1" t="s">
        <v>153</v>
      </c>
      <c r="M2810" s="1" t="s">
        <v>28</v>
      </c>
      <c r="N2810" s="1" t="str">
        <f>HYPERLINK("https://klocwork.india.ti.com:443/review/insight-review.html#issuedetails_goto:problemid=133688,project=MCU_PLUS_SDK_AM263X,searchquery=taxonomy:'C and C++' build:Build_Apr_13_2023_11_11_AM grouping:off ","KW Issue Link")</f>
        <v>KW Issue Link</v>
      </c>
      <c r="O2810" s="1" t="s">
        <v>1083</v>
      </c>
    </row>
    <row r="2811" spans="1:15" ht="75" x14ac:dyDescent="0.25">
      <c r="A2811" s="1" t="s">
        <v>155</v>
      </c>
      <c r="B2811" s="1"/>
      <c r="C2811" s="1" t="s">
        <v>3913</v>
      </c>
      <c r="D2811" s="1">
        <v>133689</v>
      </c>
      <c r="E2811" s="1">
        <v>212</v>
      </c>
      <c r="F2811" s="1" t="s">
        <v>156</v>
      </c>
      <c r="G2811" s="1" t="s">
        <v>3927</v>
      </c>
      <c r="H2811" s="1" t="s">
        <v>141</v>
      </c>
      <c r="I2811" s="1" t="s">
        <v>65</v>
      </c>
      <c r="J2811" s="1">
        <v>3</v>
      </c>
      <c r="K2811" s="1" t="s">
        <v>142</v>
      </c>
      <c r="L2811" s="1" t="s">
        <v>153</v>
      </c>
      <c r="M2811" s="1" t="s">
        <v>28</v>
      </c>
      <c r="N2811" s="1" t="str">
        <f>HYPERLINK("https://klocwork.india.ti.com:443/review/insight-review.html#issuedetails_goto:problemid=133689,project=MCU_PLUS_SDK_AM263X,searchquery=taxonomy:'C and C++' build:Build_Apr_13_2023_11_11_AM grouping:off ","KW Issue Link")</f>
        <v>KW Issue Link</v>
      </c>
      <c r="O2811" s="1" t="s">
        <v>1083</v>
      </c>
    </row>
    <row r="2812" spans="1:15" ht="75" x14ac:dyDescent="0.25">
      <c r="A2812" s="1" t="s">
        <v>1252</v>
      </c>
      <c r="B2812" s="1"/>
      <c r="C2812" s="1" t="s">
        <v>3913</v>
      </c>
      <c r="D2812" s="1">
        <v>133700</v>
      </c>
      <c r="E2812" s="1">
        <v>201</v>
      </c>
      <c r="F2812" s="1" t="s">
        <v>3928</v>
      </c>
      <c r="G2812" s="1" t="s">
        <v>3927</v>
      </c>
      <c r="H2812" s="1" t="s">
        <v>141</v>
      </c>
      <c r="I2812" s="1" t="s">
        <v>65</v>
      </c>
      <c r="J2812" s="1">
        <v>3</v>
      </c>
      <c r="K2812" s="1" t="s">
        <v>142</v>
      </c>
      <c r="L2812" s="1" t="s">
        <v>153</v>
      </c>
      <c r="M2812" s="1" t="s">
        <v>1256</v>
      </c>
      <c r="N2812" s="1" t="str">
        <f>HYPERLINK("https://klocwork.india.ti.com:443/review/insight-review.html#issuedetails_goto:problemid=133700,project=MCU_PLUS_SDK_AM263X,searchquery=taxonomy:'C and C++' build:Build_Apr_13_2023_11_11_AM grouping:off ","KW Issue Link")</f>
        <v>KW Issue Link</v>
      </c>
      <c r="O2812" s="1" t="s">
        <v>1083</v>
      </c>
    </row>
    <row r="2813" spans="1:15" ht="75" x14ac:dyDescent="0.25">
      <c r="A2813" s="1" t="s">
        <v>1252</v>
      </c>
      <c r="B2813" s="1"/>
      <c r="C2813" s="1" t="s">
        <v>3913</v>
      </c>
      <c r="D2813" s="1">
        <v>133701</v>
      </c>
      <c r="E2813" s="1">
        <v>230</v>
      </c>
      <c r="F2813" s="1" t="s">
        <v>3929</v>
      </c>
      <c r="G2813" s="1" t="s">
        <v>3917</v>
      </c>
      <c r="H2813" s="1" t="s">
        <v>141</v>
      </c>
      <c r="I2813" s="1" t="s">
        <v>65</v>
      </c>
      <c r="J2813" s="1">
        <v>3</v>
      </c>
      <c r="K2813" s="1" t="s">
        <v>142</v>
      </c>
      <c r="L2813" s="1" t="s">
        <v>153</v>
      </c>
      <c r="M2813" s="1" t="s">
        <v>1256</v>
      </c>
      <c r="N2813" s="1" t="str">
        <f>HYPERLINK("https://klocwork.india.ti.com:443/review/insight-review.html#issuedetails_goto:problemid=133701,project=MCU_PLUS_SDK_AM263X,searchquery=taxonomy:'C and C++' build:Build_Apr_13_2023_11_11_AM grouping:off ","KW Issue Link")</f>
        <v>KW Issue Link</v>
      </c>
      <c r="O2813" s="1" t="s">
        <v>1083</v>
      </c>
    </row>
    <row r="2814" spans="1:15" ht="75" x14ac:dyDescent="0.25">
      <c r="A2814" s="1" t="s">
        <v>1252</v>
      </c>
      <c r="B2814" s="1"/>
      <c r="C2814" s="1" t="s">
        <v>3913</v>
      </c>
      <c r="D2814" s="1">
        <v>133702</v>
      </c>
      <c r="E2814" s="1">
        <v>436</v>
      </c>
      <c r="F2814" s="1" t="s">
        <v>3930</v>
      </c>
      <c r="G2814" s="1" t="s">
        <v>3931</v>
      </c>
      <c r="H2814" s="1" t="s">
        <v>141</v>
      </c>
      <c r="I2814" s="1" t="s">
        <v>65</v>
      </c>
      <c r="J2814" s="1">
        <v>3</v>
      </c>
      <c r="K2814" s="1" t="s">
        <v>142</v>
      </c>
      <c r="L2814" s="1" t="s">
        <v>153</v>
      </c>
      <c r="M2814" s="1" t="s">
        <v>1256</v>
      </c>
      <c r="N2814" s="1" t="str">
        <f>HYPERLINK("https://klocwork.india.ti.com:443/review/insight-review.html#issuedetails_goto:problemid=133702,project=MCU_PLUS_SDK_AM263X,searchquery=taxonomy:'C and C++' build:Build_Apr_13_2023_11_11_AM grouping:off ","KW Issue Link")</f>
        <v>KW Issue Link</v>
      </c>
      <c r="O2814" s="1" t="s">
        <v>1083</v>
      </c>
    </row>
    <row r="2815" spans="1:15" ht="75" x14ac:dyDescent="0.25">
      <c r="A2815" s="1" t="s">
        <v>327</v>
      </c>
      <c r="B2815" s="1"/>
      <c r="C2815" s="1" t="s">
        <v>3913</v>
      </c>
      <c r="D2815" s="1">
        <v>133725</v>
      </c>
      <c r="E2815" s="1">
        <v>471</v>
      </c>
      <c r="F2815" s="1" t="s">
        <v>3932</v>
      </c>
      <c r="G2815" s="1" t="s">
        <v>3931</v>
      </c>
      <c r="H2815" s="1" t="s">
        <v>141</v>
      </c>
      <c r="I2815" s="1" t="s">
        <v>63</v>
      </c>
      <c r="J2815" s="1">
        <v>1</v>
      </c>
      <c r="K2815" s="1" t="s">
        <v>142</v>
      </c>
      <c r="L2815" s="11" t="s">
        <v>177</v>
      </c>
      <c r="M2815" s="1" t="s">
        <v>28</v>
      </c>
      <c r="N2815" s="1" t="str">
        <f>HYPERLINK("https://klocwork.india.ti.com:443/review/insight-review.html#issuedetails_goto:problemid=133725,project=MCU_PLUS_SDK_AM263X,searchquery=taxonomy:'C and C++' build:Build_Apr_13_2023_11_11_AM grouping:off ","KW Issue Link")</f>
        <v>KW Issue Link</v>
      </c>
      <c r="O2815" s="1" t="s">
        <v>1083</v>
      </c>
    </row>
    <row r="2816" spans="1:15" ht="75" x14ac:dyDescent="0.25">
      <c r="A2816" s="1" t="s">
        <v>1252</v>
      </c>
      <c r="B2816" s="1"/>
      <c r="C2816" s="1" t="s">
        <v>3933</v>
      </c>
      <c r="D2816" s="1">
        <v>134021</v>
      </c>
      <c r="E2816" s="1">
        <v>177</v>
      </c>
      <c r="F2816" s="1" t="s">
        <v>3934</v>
      </c>
      <c r="G2816" s="1" t="s">
        <v>3935</v>
      </c>
      <c r="H2816" s="1" t="s">
        <v>141</v>
      </c>
      <c r="I2816" s="1" t="s">
        <v>65</v>
      </c>
      <c r="J2816" s="1">
        <v>3</v>
      </c>
      <c r="K2816" s="1" t="s">
        <v>142</v>
      </c>
      <c r="L2816" s="1" t="s">
        <v>153</v>
      </c>
      <c r="M2816" s="1" t="s">
        <v>1256</v>
      </c>
      <c r="N2816" s="1" t="str">
        <f>HYPERLINK("https://klocwork.india.ti.com:443/review/insight-review.html#issuedetails_goto:problemid=134021,project=MCU_PLUS_SDK_AM263X,searchquery=taxonomy:'C and C++' build:Build_Apr_13_2023_11_11_AM grouping:off ","KW Issue Link")</f>
        <v>KW Issue Link</v>
      </c>
      <c r="O2816" s="1" t="s">
        <v>1083</v>
      </c>
    </row>
    <row r="2817" spans="1:15" ht="75" x14ac:dyDescent="0.25">
      <c r="A2817" s="1" t="s">
        <v>1252</v>
      </c>
      <c r="B2817" s="1"/>
      <c r="C2817" s="1" t="s">
        <v>3933</v>
      </c>
      <c r="D2817" s="1">
        <v>134022</v>
      </c>
      <c r="E2817" s="1">
        <v>195</v>
      </c>
      <c r="F2817" s="1" t="s">
        <v>3936</v>
      </c>
      <c r="G2817" s="1" t="s">
        <v>3937</v>
      </c>
      <c r="H2817" s="1" t="s">
        <v>141</v>
      </c>
      <c r="I2817" s="1" t="s">
        <v>65</v>
      </c>
      <c r="J2817" s="1">
        <v>3</v>
      </c>
      <c r="K2817" s="1" t="s">
        <v>142</v>
      </c>
      <c r="L2817" s="1" t="s">
        <v>153</v>
      </c>
      <c r="M2817" s="1" t="s">
        <v>1256</v>
      </c>
      <c r="N2817" s="1" t="str">
        <f>HYPERLINK("https://klocwork.india.ti.com:443/review/insight-review.html#issuedetails_goto:problemid=134022,project=MCU_PLUS_SDK_AM263X,searchquery=taxonomy:'C and C++' build:Build_Apr_13_2023_11_11_AM grouping:off ","KW Issue Link")</f>
        <v>KW Issue Link</v>
      </c>
      <c r="O2817" s="1" t="s">
        <v>1083</v>
      </c>
    </row>
    <row r="2818" spans="1:15" ht="75" x14ac:dyDescent="0.25">
      <c r="A2818" s="1" t="s">
        <v>1252</v>
      </c>
      <c r="B2818" s="1"/>
      <c r="C2818" s="1" t="s">
        <v>3933</v>
      </c>
      <c r="D2818" s="1">
        <v>134023</v>
      </c>
      <c r="E2818" s="1">
        <v>253</v>
      </c>
      <c r="F2818" s="1" t="s">
        <v>3938</v>
      </c>
      <c r="G2818" s="1" t="s">
        <v>3939</v>
      </c>
      <c r="H2818" s="1" t="s">
        <v>141</v>
      </c>
      <c r="I2818" s="1" t="s">
        <v>65</v>
      </c>
      <c r="J2818" s="1">
        <v>3</v>
      </c>
      <c r="K2818" s="1" t="s">
        <v>142</v>
      </c>
      <c r="L2818" s="1" t="s">
        <v>153</v>
      </c>
      <c r="M2818" s="1" t="s">
        <v>1256</v>
      </c>
      <c r="N2818" s="1" t="str">
        <f>HYPERLINK("https://klocwork.india.ti.com:443/review/insight-review.html#issuedetails_goto:problemid=134023,project=MCU_PLUS_SDK_AM263X,searchquery=taxonomy:'C and C++' build:Build_Apr_13_2023_11_11_AM grouping:off ","KW Issue Link")</f>
        <v>KW Issue Link</v>
      </c>
      <c r="O2818" s="1" t="s">
        <v>1083</v>
      </c>
    </row>
    <row r="2819" spans="1:15" ht="75" x14ac:dyDescent="0.25">
      <c r="A2819" s="1" t="s">
        <v>1252</v>
      </c>
      <c r="B2819" s="1"/>
      <c r="C2819" s="1" t="s">
        <v>3933</v>
      </c>
      <c r="D2819" s="1">
        <v>134024</v>
      </c>
      <c r="E2819" s="1">
        <v>272</v>
      </c>
      <c r="F2819" s="1" t="s">
        <v>3940</v>
      </c>
      <c r="G2819" s="1" t="s">
        <v>3941</v>
      </c>
      <c r="H2819" s="1" t="s">
        <v>141</v>
      </c>
      <c r="I2819" s="1" t="s">
        <v>65</v>
      </c>
      <c r="J2819" s="1">
        <v>3</v>
      </c>
      <c r="K2819" s="1" t="s">
        <v>142</v>
      </c>
      <c r="L2819" s="1" t="s">
        <v>153</v>
      </c>
      <c r="M2819" s="1" t="s">
        <v>1256</v>
      </c>
      <c r="N2819" s="1" t="str">
        <f>HYPERLINK("https://klocwork.india.ti.com:443/review/insight-review.html#issuedetails_goto:problemid=134024,project=MCU_PLUS_SDK_AM263X,searchquery=taxonomy:'C and C++' build:Build_Apr_13_2023_11_11_AM grouping:off ","KW Issue Link")</f>
        <v>KW Issue Link</v>
      </c>
      <c r="O2819" s="1" t="s">
        <v>1083</v>
      </c>
    </row>
    <row r="2820" spans="1:15" ht="75" x14ac:dyDescent="0.25">
      <c r="A2820" s="1" t="s">
        <v>1252</v>
      </c>
      <c r="B2820" s="1"/>
      <c r="C2820" s="1" t="s">
        <v>3933</v>
      </c>
      <c r="D2820" s="1">
        <v>134025</v>
      </c>
      <c r="E2820" s="1">
        <v>290</v>
      </c>
      <c r="F2820" s="1" t="s">
        <v>3942</v>
      </c>
      <c r="G2820" s="1" t="s">
        <v>3943</v>
      </c>
      <c r="H2820" s="1" t="s">
        <v>141</v>
      </c>
      <c r="I2820" s="1" t="s">
        <v>65</v>
      </c>
      <c r="J2820" s="1">
        <v>3</v>
      </c>
      <c r="K2820" s="1" t="s">
        <v>142</v>
      </c>
      <c r="L2820" s="1" t="s">
        <v>153</v>
      </c>
      <c r="M2820" s="1" t="s">
        <v>1256</v>
      </c>
      <c r="N2820" s="1" t="str">
        <f>HYPERLINK("https://klocwork.india.ti.com:443/review/insight-review.html#issuedetails_goto:problemid=134025,project=MCU_PLUS_SDK_AM263X,searchquery=taxonomy:'C and C++' build:Build_Apr_13_2023_11_11_AM grouping:off ","KW Issue Link")</f>
        <v>KW Issue Link</v>
      </c>
      <c r="O2820" s="1" t="s">
        <v>1083</v>
      </c>
    </row>
    <row r="2821" spans="1:15" ht="75" x14ac:dyDescent="0.25">
      <c r="A2821" s="1" t="s">
        <v>1252</v>
      </c>
      <c r="B2821" s="1"/>
      <c r="C2821" s="1" t="s">
        <v>3944</v>
      </c>
      <c r="D2821" s="1">
        <v>134139</v>
      </c>
      <c r="E2821" s="1">
        <v>72</v>
      </c>
      <c r="F2821" s="1" t="s">
        <v>3945</v>
      </c>
      <c r="G2821" s="1" t="s">
        <v>3946</v>
      </c>
      <c r="H2821" s="1" t="s">
        <v>141</v>
      </c>
      <c r="I2821" s="1" t="s">
        <v>65</v>
      </c>
      <c r="J2821" s="1">
        <v>3</v>
      </c>
      <c r="K2821" s="1" t="s">
        <v>142</v>
      </c>
      <c r="L2821" s="1" t="s">
        <v>153</v>
      </c>
      <c r="M2821" s="1" t="s">
        <v>1256</v>
      </c>
      <c r="N2821" s="1" t="str">
        <f>HYPERLINK("https://klocwork.india.ti.com:443/review/insight-review.html#issuedetails_goto:problemid=134139,project=MCU_PLUS_SDK_AM263X,searchquery=taxonomy:'C and C++' build:Build_Apr_13_2023_11_11_AM grouping:off ","KW Issue Link")</f>
        <v>KW Issue Link</v>
      </c>
      <c r="O2821" s="1" t="s">
        <v>1083</v>
      </c>
    </row>
    <row r="2822" spans="1:15" ht="75" x14ac:dyDescent="0.25">
      <c r="A2822" s="1" t="s">
        <v>1252</v>
      </c>
      <c r="B2822" s="1"/>
      <c r="C2822" s="1" t="s">
        <v>3944</v>
      </c>
      <c r="D2822" s="1">
        <v>134140</v>
      </c>
      <c r="E2822" s="1">
        <v>104</v>
      </c>
      <c r="F2822" s="1" t="s">
        <v>3947</v>
      </c>
      <c r="G2822" s="1" t="s">
        <v>3948</v>
      </c>
      <c r="H2822" s="1" t="s">
        <v>141</v>
      </c>
      <c r="I2822" s="1" t="s">
        <v>65</v>
      </c>
      <c r="J2822" s="1">
        <v>3</v>
      </c>
      <c r="K2822" s="1" t="s">
        <v>142</v>
      </c>
      <c r="L2822" s="1" t="s">
        <v>153</v>
      </c>
      <c r="M2822" s="1" t="s">
        <v>1256</v>
      </c>
      <c r="N2822" s="1" t="str">
        <f>HYPERLINK("https://klocwork.india.ti.com:443/review/insight-review.html#issuedetails_goto:problemid=134140,project=MCU_PLUS_SDK_AM263X,searchquery=taxonomy:'C and C++' build:Build_Apr_13_2023_11_11_AM grouping:off ","KW Issue Link")</f>
        <v>KW Issue Link</v>
      </c>
      <c r="O2822" s="1" t="s">
        <v>1083</v>
      </c>
    </row>
    <row r="2823" spans="1:15" ht="75" x14ac:dyDescent="0.25">
      <c r="A2823" s="1" t="s">
        <v>1252</v>
      </c>
      <c r="B2823" s="1"/>
      <c r="C2823" s="1" t="s">
        <v>3944</v>
      </c>
      <c r="D2823" s="1">
        <v>134141</v>
      </c>
      <c r="E2823" s="1">
        <v>122</v>
      </c>
      <c r="F2823" s="1" t="s">
        <v>3949</v>
      </c>
      <c r="G2823" s="1" t="s">
        <v>3950</v>
      </c>
      <c r="H2823" s="1" t="s">
        <v>141</v>
      </c>
      <c r="I2823" s="1" t="s">
        <v>65</v>
      </c>
      <c r="J2823" s="1">
        <v>3</v>
      </c>
      <c r="K2823" s="1" t="s">
        <v>142</v>
      </c>
      <c r="L2823" s="1" t="s">
        <v>153</v>
      </c>
      <c r="M2823" s="1" t="s">
        <v>1256</v>
      </c>
      <c r="N2823" s="1" t="str">
        <f>HYPERLINK("https://klocwork.india.ti.com:443/review/insight-review.html#issuedetails_goto:problemid=134141,project=MCU_PLUS_SDK_AM263X,searchquery=taxonomy:'C and C++' build:Build_Apr_13_2023_11_11_AM grouping:off ","KW Issue Link")</f>
        <v>KW Issue Link</v>
      </c>
      <c r="O2823" s="1" t="s">
        <v>1083</v>
      </c>
    </row>
    <row r="2824" spans="1:15" ht="75" x14ac:dyDescent="0.25">
      <c r="A2824" s="1" t="s">
        <v>1252</v>
      </c>
      <c r="B2824" s="1"/>
      <c r="C2824" s="1" t="s">
        <v>3944</v>
      </c>
      <c r="D2824" s="1">
        <v>134142</v>
      </c>
      <c r="E2824" s="1">
        <v>136</v>
      </c>
      <c r="F2824" s="1" t="s">
        <v>3951</v>
      </c>
      <c r="G2824" s="1" t="s">
        <v>3952</v>
      </c>
      <c r="H2824" s="1" t="s">
        <v>141</v>
      </c>
      <c r="I2824" s="1" t="s">
        <v>65</v>
      </c>
      <c r="J2824" s="1">
        <v>3</v>
      </c>
      <c r="K2824" s="1" t="s">
        <v>142</v>
      </c>
      <c r="L2824" s="1" t="s">
        <v>153</v>
      </c>
      <c r="M2824" s="1" t="s">
        <v>1256</v>
      </c>
      <c r="N2824" s="1" t="str">
        <f>HYPERLINK("https://klocwork.india.ti.com:443/review/insight-review.html#issuedetails_goto:problemid=134142,project=MCU_PLUS_SDK_AM263X,searchquery=taxonomy:'C and C++' build:Build_Apr_13_2023_11_11_AM grouping:off ","KW Issue Link")</f>
        <v>KW Issue Link</v>
      </c>
      <c r="O2824" s="1" t="s">
        <v>1083</v>
      </c>
    </row>
    <row r="2825" spans="1:15" ht="75" x14ac:dyDescent="0.25">
      <c r="A2825" s="1" t="s">
        <v>1252</v>
      </c>
      <c r="B2825" s="1"/>
      <c r="C2825" s="1" t="s">
        <v>3944</v>
      </c>
      <c r="D2825" s="1">
        <v>134143</v>
      </c>
      <c r="E2825" s="1">
        <v>229</v>
      </c>
      <c r="F2825" s="1" t="s">
        <v>3953</v>
      </c>
      <c r="G2825" s="1" t="s">
        <v>3954</v>
      </c>
      <c r="H2825" s="1" t="s">
        <v>141</v>
      </c>
      <c r="I2825" s="1" t="s">
        <v>65</v>
      </c>
      <c r="J2825" s="1">
        <v>3</v>
      </c>
      <c r="K2825" s="1" t="s">
        <v>142</v>
      </c>
      <c r="L2825" s="1" t="s">
        <v>153</v>
      </c>
      <c r="M2825" s="1" t="s">
        <v>1256</v>
      </c>
      <c r="N2825" s="1" t="str">
        <f>HYPERLINK("https://klocwork.india.ti.com:443/review/insight-review.html#issuedetails_goto:problemid=134143,project=MCU_PLUS_SDK_AM263X,searchquery=taxonomy:'C and C++' build:Build_Apr_13_2023_11_11_AM grouping:off ","KW Issue Link")</f>
        <v>KW Issue Link</v>
      </c>
      <c r="O2825" s="1" t="s">
        <v>1083</v>
      </c>
    </row>
    <row r="2826" spans="1:15" ht="75" x14ac:dyDescent="0.25">
      <c r="A2826" s="1" t="s">
        <v>1252</v>
      </c>
      <c r="B2826" s="1"/>
      <c r="C2826" s="1" t="s">
        <v>3944</v>
      </c>
      <c r="D2826" s="1">
        <v>134144</v>
      </c>
      <c r="E2826" s="1">
        <v>246</v>
      </c>
      <c r="F2826" s="1" t="s">
        <v>3955</v>
      </c>
      <c r="G2826" s="1" t="s">
        <v>3956</v>
      </c>
      <c r="H2826" s="1" t="s">
        <v>141</v>
      </c>
      <c r="I2826" s="1" t="s">
        <v>65</v>
      </c>
      <c r="J2826" s="1">
        <v>3</v>
      </c>
      <c r="K2826" s="1" t="s">
        <v>142</v>
      </c>
      <c r="L2826" s="1" t="s">
        <v>153</v>
      </c>
      <c r="M2826" s="1" t="s">
        <v>1256</v>
      </c>
      <c r="N2826" s="1" t="str">
        <f>HYPERLINK("https://klocwork.india.ti.com:443/review/insight-review.html#issuedetails_goto:problemid=134144,project=MCU_PLUS_SDK_AM263X,searchquery=taxonomy:'C and C++' build:Build_Apr_13_2023_11_11_AM grouping:off ","KW Issue Link")</f>
        <v>KW Issue Link</v>
      </c>
      <c r="O2826" s="1" t="s">
        <v>1083</v>
      </c>
    </row>
    <row r="2827" spans="1:15" ht="75" x14ac:dyDescent="0.25">
      <c r="A2827" s="1" t="s">
        <v>1252</v>
      </c>
      <c r="B2827" s="1"/>
      <c r="C2827" s="1" t="s">
        <v>3944</v>
      </c>
      <c r="D2827" s="1">
        <v>134145</v>
      </c>
      <c r="E2827" s="1">
        <v>347</v>
      </c>
      <c r="F2827" s="1" t="s">
        <v>3957</v>
      </c>
      <c r="G2827" s="1" t="s">
        <v>3958</v>
      </c>
      <c r="H2827" s="1" t="s">
        <v>141</v>
      </c>
      <c r="I2827" s="1" t="s">
        <v>65</v>
      </c>
      <c r="J2827" s="1">
        <v>3</v>
      </c>
      <c r="K2827" s="1" t="s">
        <v>142</v>
      </c>
      <c r="L2827" s="1" t="s">
        <v>153</v>
      </c>
      <c r="M2827" s="1" t="s">
        <v>1256</v>
      </c>
      <c r="N2827" s="1" t="str">
        <f>HYPERLINK("https://klocwork.india.ti.com:443/review/insight-review.html#issuedetails_goto:problemid=134145,project=MCU_PLUS_SDK_AM263X,searchquery=taxonomy:'C and C++' build:Build_Apr_13_2023_11_11_AM grouping:off ","KW Issue Link")</f>
        <v>KW Issue Link</v>
      </c>
      <c r="O2827" s="1" t="s">
        <v>1083</v>
      </c>
    </row>
    <row r="2828" spans="1:15" ht="75" x14ac:dyDescent="0.25">
      <c r="A2828" s="1" t="s">
        <v>1252</v>
      </c>
      <c r="B2828" s="1"/>
      <c r="C2828" s="1" t="s">
        <v>3944</v>
      </c>
      <c r="D2828" s="1">
        <v>134146</v>
      </c>
      <c r="E2828" s="1">
        <v>363</v>
      </c>
      <c r="F2828" s="1" t="s">
        <v>3959</v>
      </c>
      <c r="G2828" s="1" t="s">
        <v>3960</v>
      </c>
      <c r="H2828" s="1" t="s">
        <v>141</v>
      </c>
      <c r="I2828" s="1" t="s">
        <v>65</v>
      </c>
      <c r="J2828" s="1">
        <v>3</v>
      </c>
      <c r="K2828" s="1" t="s">
        <v>142</v>
      </c>
      <c r="L2828" s="1" t="s">
        <v>153</v>
      </c>
      <c r="M2828" s="1" t="s">
        <v>1256</v>
      </c>
      <c r="N2828" s="1" t="str">
        <f>HYPERLINK("https://klocwork.india.ti.com:443/review/insight-review.html#issuedetails_goto:problemid=134146,project=MCU_PLUS_SDK_AM263X,searchquery=taxonomy:'C and C++' build:Build_Apr_13_2023_11_11_AM grouping:off ","KW Issue Link")</f>
        <v>KW Issue Link</v>
      </c>
      <c r="O2828" s="1" t="s">
        <v>1083</v>
      </c>
    </row>
    <row r="2829" spans="1:15" ht="75" x14ac:dyDescent="0.25">
      <c r="A2829" s="1" t="s">
        <v>1252</v>
      </c>
      <c r="B2829" s="1"/>
      <c r="C2829" s="1" t="s">
        <v>3944</v>
      </c>
      <c r="D2829" s="1">
        <v>134147</v>
      </c>
      <c r="E2829" s="1">
        <v>421</v>
      </c>
      <c r="F2829" s="1" t="s">
        <v>3961</v>
      </c>
      <c r="G2829" s="1" t="s">
        <v>3962</v>
      </c>
      <c r="H2829" s="1" t="s">
        <v>141</v>
      </c>
      <c r="I2829" s="1" t="s">
        <v>65</v>
      </c>
      <c r="J2829" s="1">
        <v>3</v>
      </c>
      <c r="K2829" s="1" t="s">
        <v>142</v>
      </c>
      <c r="L2829" s="1" t="s">
        <v>153</v>
      </c>
      <c r="M2829" s="1" t="s">
        <v>1256</v>
      </c>
      <c r="N2829" s="1" t="str">
        <f>HYPERLINK("https://klocwork.india.ti.com:443/review/insight-review.html#issuedetails_goto:problemid=134147,project=MCU_PLUS_SDK_AM263X,searchquery=taxonomy:'C and C++' build:Build_Apr_13_2023_11_11_AM grouping:off ","KW Issue Link")</f>
        <v>KW Issue Link</v>
      </c>
      <c r="O2829" s="1" t="s">
        <v>1083</v>
      </c>
    </row>
    <row r="2830" spans="1:15" ht="75" x14ac:dyDescent="0.25">
      <c r="A2830" s="1" t="s">
        <v>1252</v>
      </c>
      <c r="B2830" s="1"/>
      <c r="C2830" s="1" t="s">
        <v>3944</v>
      </c>
      <c r="D2830" s="1">
        <v>134148</v>
      </c>
      <c r="E2830" s="1">
        <v>439</v>
      </c>
      <c r="F2830" s="1" t="s">
        <v>3963</v>
      </c>
      <c r="G2830" s="1" t="s">
        <v>3964</v>
      </c>
      <c r="H2830" s="1" t="s">
        <v>141</v>
      </c>
      <c r="I2830" s="1" t="s">
        <v>65</v>
      </c>
      <c r="J2830" s="1">
        <v>3</v>
      </c>
      <c r="K2830" s="1" t="s">
        <v>142</v>
      </c>
      <c r="L2830" s="1" t="s">
        <v>153</v>
      </c>
      <c r="M2830" s="1" t="s">
        <v>1256</v>
      </c>
      <c r="N2830" s="1" t="str">
        <f>HYPERLINK("https://klocwork.india.ti.com:443/review/insight-review.html#issuedetails_goto:problemid=134148,project=MCU_PLUS_SDK_AM263X,searchquery=taxonomy:'C and C++' build:Build_Apr_13_2023_11_11_AM grouping:off ","KW Issue Link")</f>
        <v>KW Issue Link</v>
      </c>
      <c r="O2830" s="1" t="s">
        <v>1083</v>
      </c>
    </row>
    <row r="2831" spans="1:15" ht="75" x14ac:dyDescent="0.25">
      <c r="A2831" s="1" t="s">
        <v>1252</v>
      </c>
      <c r="B2831" s="1"/>
      <c r="C2831" s="1" t="s">
        <v>3965</v>
      </c>
      <c r="D2831" s="1">
        <v>134338</v>
      </c>
      <c r="E2831" s="1">
        <v>87</v>
      </c>
      <c r="F2831" s="1" t="s">
        <v>3966</v>
      </c>
      <c r="G2831" s="1" t="s">
        <v>3967</v>
      </c>
      <c r="H2831" s="1" t="s">
        <v>141</v>
      </c>
      <c r="I2831" s="1" t="s">
        <v>65</v>
      </c>
      <c r="J2831" s="1">
        <v>3</v>
      </c>
      <c r="K2831" s="1" t="s">
        <v>142</v>
      </c>
      <c r="L2831" s="1" t="s">
        <v>153</v>
      </c>
      <c r="M2831" s="1" t="s">
        <v>1256</v>
      </c>
      <c r="N2831" s="1" t="str">
        <f>HYPERLINK("https://klocwork.india.ti.com:443/review/insight-review.html#issuedetails_goto:problemid=134338,project=MCU_PLUS_SDK_AM263X,searchquery=taxonomy:'C and C++' build:Build_Apr_13_2023_11_11_AM grouping:off ","KW Issue Link")</f>
        <v>KW Issue Link</v>
      </c>
      <c r="O2831" s="1" t="s">
        <v>1083</v>
      </c>
    </row>
    <row r="2832" spans="1:15" ht="75" x14ac:dyDescent="0.25">
      <c r="A2832" s="1" t="s">
        <v>1252</v>
      </c>
      <c r="B2832" s="1"/>
      <c r="C2832" s="1" t="s">
        <v>3965</v>
      </c>
      <c r="D2832" s="1">
        <v>134339</v>
      </c>
      <c r="E2832" s="1">
        <v>131</v>
      </c>
      <c r="F2832" s="1" t="s">
        <v>3968</v>
      </c>
      <c r="G2832" s="1" t="s">
        <v>3969</v>
      </c>
      <c r="H2832" s="1" t="s">
        <v>141</v>
      </c>
      <c r="I2832" s="1" t="s">
        <v>65</v>
      </c>
      <c r="J2832" s="1">
        <v>3</v>
      </c>
      <c r="K2832" s="1" t="s">
        <v>142</v>
      </c>
      <c r="L2832" s="1" t="s">
        <v>153</v>
      </c>
      <c r="M2832" s="1" t="s">
        <v>1256</v>
      </c>
      <c r="N2832" s="1" t="str">
        <f>HYPERLINK("https://klocwork.india.ti.com:443/review/insight-review.html#issuedetails_goto:problemid=134339,project=MCU_PLUS_SDK_AM263X,searchquery=taxonomy:'C and C++' build:Build_Apr_13_2023_11_11_AM grouping:off ","KW Issue Link")</f>
        <v>KW Issue Link</v>
      </c>
      <c r="O2832" s="1" t="s">
        <v>1083</v>
      </c>
    </row>
    <row r="2833" spans="1:15" ht="75" x14ac:dyDescent="0.25">
      <c r="A2833" s="1" t="s">
        <v>1252</v>
      </c>
      <c r="B2833" s="1"/>
      <c r="C2833" s="1" t="s">
        <v>3965</v>
      </c>
      <c r="D2833" s="1">
        <v>134340</v>
      </c>
      <c r="E2833" s="1">
        <v>172</v>
      </c>
      <c r="F2833" s="1" t="s">
        <v>3970</v>
      </c>
      <c r="G2833" s="1" t="s">
        <v>3971</v>
      </c>
      <c r="H2833" s="1" t="s">
        <v>141</v>
      </c>
      <c r="I2833" s="1" t="s">
        <v>65</v>
      </c>
      <c r="J2833" s="1">
        <v>3</v>
      </c>
      <c r="K2833" s="1" t="s">
        <v>142</v>
      </c>
      <c r="L2833" s="1" t="s">
        <v>153</v>
      </c>
      <c r="M2833" s="1" t="s">
        <v>1256</v>
      </c>
      <c r="N2833" s="1" t="str">
        <f>HYPERLINK("https://klocwork.india.ti.com:443/review/insight-review.html#issuedetails_goto:problemid=134340,project=MCU_PLUS_SDK_AM263X,searchquery=taxonomy:'C and C++' build:Build_Apr_13_2023_11_11_AM grouping:off ","KW Issue Link")</f>
        <v>KW Issue Link</v>
      </c>
      <c r="O2833" s="1" t="s">
        <v>1083</v>
      </c>
    </row>
    <row r="2834" spans="1:15" ht="75" x14ac:dyDescent="0.25">
      <c r="A2834" s="1" t="s">
        <v>1252</v>
      </c>
      <c r="B2834" s="1"/>
      <c r="C2834" s="1" t="s">
        <v>3965</v>
      </c>
      <c r="D2834" s="1">
        <v>134341</v>
      </c>
      <c r="E2834" s="1">
        <v>244</v>
      </c>
      <c r="F2834" s="1" t="s">
        <v>3972</v>
      </c>
      <c r="G2834" s="1" t="s">
        <v>3973</v>
      </c>
      <c r="H2834" s="1" t="s">
        <v>141</v>
      </c>
      <c r="I2834" s="1" t="s">
        <v>65</v>
      </c>
      <c r="J2834" s="1">
        <v>3</v>
      </c>
      <c r="K2834" s="1" t="s">
        <v>142</v>
      </c>
      <c r="L2834" s="1" t="s">
        <v>153</v>
      </c>
      <c r="M2834" s="1" t="s">
        <v>1256</v>
      </c>
      <c r="N2834" s="1" t="str">
        <f>HYPERLINK("https://klocwork.india.ti.com:443/review/insight-review.html#issuedetails_goto:problemid=134341,project=MCU_PLUS_SDK_AM263X,searchquery=taxonomy:'C and C++' build:Build_Apr_13_2023_11_11_AM grouping:off ","KW Issue Link")</f>
        <v>KW Issue Link</v>
      </c>
      <c r="O2834" s="1" t="s">
        <v>1083</v>
      </c>
    </row>
    <row r="2835" spans="1:15" ht="105" x14ac:dyDescent="0.25">
      <c r="A2835" s="1" t="s">
        <v>149</v>
      </c>
      <c r="B2835" s="1"/>
      <c r="C2835" s="1" t="s">
        <v>3965</v>
      </c>
      <c r="D2835" s="1">
        <v>134407</v>
      </c>
      <c r="E2835" s="1">
        <v>209</v>
      </c>
      <c r="F2835" s="1" t="s">
        <v>3974</v>
      </c>
      <c r="G2835" s="1" t="s">
        <v>3971</v>
      </c>
      <c r="H2835" s="1" t="s">
        <v>141</v>
      </c>
      <c r="I2835" s="1" t="s">
        <v>65</v>
      </c>
      <c r="J2835" s="1">
        <v>3</v>
      </c>
      <c r="K2835" s="1" t="s">
        <v>142</v>
      </c>
      <c r="L2835" s="1" t="s">
        <v>153</v>
      </c>
      <c r="M2835" s="1" t="s">
        <v>28</v>
      </c>
      <c r="N2835" s="1" t="str">
        <f>HYPERLINK("https://klocwork.india.ti.com:443/review/insight-review.html#issuedetails_goto:problemid=134407,project=MCU_PLUS_SDK_AM263X,searchquery=taxonomy:'C and C++' build:Build_Apr_13_2023_11_11_AM grouping:off ","KW Issue Link")</f>
        <v>KW Issue Link</v>
      </c>
      <c r="O2835" s="1" t="s">
        <v>1083</v>
      </c>
    </row>
    <row r="2836" spans="1:15" ht="75" x14ac:dyDescent="0.25">
      <c r="A2836" s="1" t="s">
        <v>155</v>
      </c>
      <c r="B2836" s="1"/>
      <c r="C2836" s="1" t="s">
        <v>3965</v>
      </c>
      <c r="D2836" s="1">
        <v>134408</v>
      </c>
      <c r="E2836" s="1">
        <v>210</v>
      </c>
      <c r="F2836" s="1" t="s">
        <v>156</v>
      </c>
      <c r="G2836" s="1" t="s">
        <v>3971</v>
      </c>
      <c r="H2836" s="1" t="s">
        <v>141</v>
      </c>
      <c r="I2836" s="1" t="s">
        <v>65</v>
      </c>
      <c r="J2836" s="1">
        <v>3</v>
      </c>
      <c r="K2836" s="1" t="s">
        <v>142</v>
      </c>
      <c r="L2836" s="1" t="s">
        <v>153</v>
      </c>
      <c r="M2836" s="1" t="s">
        <v>28</v>
      </c>
      <c r="N2836" s="1" t="str">
        <f>HYPERLINK("https://klocwork.india.ti.com:443/review/insight-review.html#issuedetails_goto:problemid=134408,project=MCU_PLUS_SDK_AM263X,searchquery=taxonomy:'C and C++' build:Build_Apr_13_2023_11_11_AM grouping:off ","KW Issue Link")</f>
        <v>KW Issue Link</v>
      </c>
      <c r="O2836" s="1" t="s">
        <v>1083</v>
      </c>
    </row>
    <row r="2837" spans="1:15" ht="75" x14ac:dyDescent="0.25">
      <c r="A2837" s="1" t="s">
        <v>1266</v>
      </c>
      <c r="B2837" s="1"/>
      <c r="C2837" s="1" t="s">
        <v>3965</v>
      </c>
      <c r="D2837" s="1">
        <v>134411</v>
      </c>
      <c r="E2837" s="1">
        <v>244</v>
      </c>
      <c r="F2837" s="1" t="s">
        <v>3975</v>
      </c>
      <c r="G2837" s="1" t="s">
        <v>3973</v>
      </c>
      <c r="H2837" s="1" t="s">
        <v>141</v>
      </c>
      <c r="I2837" s="1" t="s">
        <v>65</v>
      </c>
      <c r="J2837" s="1">
        <v>3</v>
      </c>
      <c r="K2837" s="1" t="s">
        <v>142</v>
      </c>
      <c r="L2837" s="1" t="s">
        <v>153</v>
      </c>
      <c r="M2837" s="1" t="s">
        <v>1256</v>
      </c>
      <c r="N2837" s="1" t="str">
        <f>HYPERLINK("https://klocwork.india.ti.com:443/review/insight-review.html#issuedetails_goto:problemid=134411,project=MCU_PLUS_SDK_AM263X,searchquery=taxonomy:'C and C++' build:Build_Apr_13_2023_11_11_AM grouping:off ","KW Issue Link")</f>
        <v>KW Issue Link</v>
      </c>
      <c r="O2837" s="1" t="s">
        <v>1083</v>
      </c>
    </row>
    <row r="2838" spans="1:15" ht="75" x14ac:dyDescent="0.25">
      <c r="A2838" s="1" t="s">
        <v>1268</v>
      </c>
      <c r="B2838" s="1"/>
      <c r="C2838" s="1" t="s">
        <v>3965</v>
      </c>
      <c r="D2838" s="1">
        <v>134412</v>
      </c>
      <c r="E2838" s="1">
        <v>244</v>
      </c>
      <c r="F2838" s="1" t="s">
        <v>3976</v>
      </c>
      <c r="G2838" s="1" t="s">
        <v>3973</v>
      </c>
      <c r="H2838" s="1" t="s">
        <v>141</v>
      </c>
      <c r="I2838" s="1" t="s">
        <v>65</v>
      </c>
      <c r="J2838" s="1">
        <v>3</v>
      </c>
      <c r="K2838" s="1" t="s">
        <v>142</v>
      </c>
      <c r="L2838" s="1" t="s">
        <v>153</v>
      </c>
      <c r="M2838" s="1" t="s">
        <v>1256</v>
      </c>
      <c r="N2838" s="1" t="str">
        <f>HYPERLINK("https://klocwork.india.ti.com:443/review/insight-review.html#issuedetails_goto:problemid=134412,project=MCU_PLUS_SDK_AM263X,searchquery=taxonomy:'C and C++' build:Build_Apr_13_2023_11_11_AM grouping:off ","KW Issue Link")</f>
        <v>KW Issue Link</v>
      </c>
      <c r="O2838" s="1" t="s">
        <v>1083</v>
      </c>
    </row>
    <row r="2839" spans="1:15" ht="75" x14ac:dyDescent="0.25">
      <c r="A2839" s="1" t="s">
        <v>199</v>
      </c>
      <c r="B2839" s="1"/>
      <c r="C2839" s="1" t="s">
        <v>3965</v>
      </c>
      <c r="D2839" s="1">
        <v>134414</v>
      </c>
      <c r="E2839" s="1">
        <v>314</v>
      </c>
      <c r="F2839" s="1" t="s">
        <v>3977</v>
      </c>
      <c r="G2839" s="1" t="s">
        <v>3973</v>
      </c>
      <c r="H2839" s="1" t="s">
        <v>141</v>
      </c>
      <c r="I2839" s="1" t="s">
        <v>63</v>
      </c>
      <c r="J2839" s="1">
        <v>1</v>
      </c>
      <c r="K2839" s="1" t="s">
        <v>142</v>
      </c>
      <c r="L2839" s="11" t="s">
        <v>177</v>
      </c>
      <c r="M2839" s="1" t="s">
        <v>28</v>
      </c>
      <c r="N2839" s="1" t="str">
        <f>HYPERLINK("https://klocwork.india.ti.com:443/review/insight-review.html#issuedetails_goto:problemid=134414,project=MCU_PLUS_SDK_AM263X,searchquery=taxonomy:'C and C++' build:Build_Apr_13_2023_11_11_AM grouping:off ","KW Issue Link")</f>
        <v>KW Issue Link</v>
      </c>
      <c r="O2839" s="1" t="s">
        <v>1083</v>
      </c>
    </row>
    <row r="2840" spans="1:15" ht="75" x14ac:dyDescent="0.25">
      <c r="A2840" s="1" t="s">
        <v>1266</v>
      </c>
      <c r="B2840" s="1"/>
      <c r="C2840" s="1" t="s">
        <v>3978</v>
      </c>
      <c r="D2840" s="1">
        <v>134417</v>
      </c>
      <c r="E2840" s="1">
        <v>73</v>
      </c>
      <c r="F2840" s="1" t="s">
        <v>3979</v>
      </c>
      <c r="G2840" s="1" t="s">
        <v>3980</v>
      </c>
      <c r="H2840" s="1" t="s">
        <v>141</v>
      </c>
      <c r="I2840" s="1" t="s">
        <v>65</v>
      </c>
      <c r="J2840" s="1">
        <v>3</v>
      </c>
      <c r="K2840" s="1" t="s">
        <v>142</v>
      </c>
      <c r="L2840" s="1" t="s">
        <v>153</v>
      </c>
      <c r="M2840" s="1" t="s">
        <v>1256</v>
      </c>
      <c r="N2840" s="1" t="str">
        <f>HYPERLINK("https://klocwork.india.ti.com:443/review/insight-review.html#issuedetails_goto:problemid=134417,project=MCU_PLUS_SDK_AM263X,searchquery=taxonomy:'C and C++' build:Build_Apr_13_2023_11_11_AM grouping:off ","KW Issue Link")</f>
        <v>KW Issue Link</v>
      </c>
      <c r="O2840" s="1" t="s">
        <v>1083</v>
      </c>
    </row>
    <row r="2841" spans="1:15" ht="75" x14ac:dyDescent="0.25">
      <c r="A2841" s="1" t="s">
        <v>1266</v>
      </c>
      <c r="B2841" s="1"/>
      <c r="C2841" s="1" t="s">
        <v>3978</v>
      </c>
      <c r="D2841" s="1">
        <v>134418</v>
      </c>
      <c r="E2841" s="1">
        <v>128</v>
      </c>
      <c r="F2841" s="1" t="s">
        <v>3981</v>
      </c>
      <c r="G2841" s="1" t="s">
        <v>3982</v>
      </c>
      <c r="H2841" s="1" t="s">
        <v>141</v>
      </c>
      <c r="I2841" s="1" t="s">
        <v>65</v>
      </c>
      <c r="J2841" s="1">
        <v>3</v>
      </c>
      <c r="K2841" s="1" t="s">
        <v>142</v>
      </c>
      <c r="L2841" s="1" t="s">
        <v>153</v>
      </c>
      <c r="M2841" s="1" t="s">
        <v>1256</v>
      </c>
      <c r="N2841" s="1" t="str">
        <f>HYPERLINK("https://klocwork.india.ti.com:443/review/insight-review.html#issuedetails_goto:problemid=134418,project=MCU_PLUS_SDK_AM263X,searchquery=taxonomy:'C and C++' build:Build_Apr_13_2023_11_11_AM grouping:off ","KW Issue Link")</f>
        <v>KW Issue Link</v>
      </c>
      <c r="O2841" s="1" t="s">
        <v>1083</v>
      </c>
    </row>
    <row r="2842" spans="1:15" ht="75" x14ac:dyDescent="0.25">
      <c r="A2842" s="1" t="s">
        <v>1266</v>
      </c>
      <c r="B2842" s="1"/>
      <c r="C2842" s="1" t="s">
        <v>3978</v>
      </c>
      <c r="D2842" s="1">
        <v>134419</v>
      </c>
      <c r="E2842" s="1">
        <v>235</v>
      </c>
      <c r="F2842" s="1" t="s">
        <v>3983</v>
      </c>
      <c r="G2842" s="1" t="s">
        <v>3984</v>
      </c>
      <c r="H2842" s="1" t="s">
        <v>141</v>
      </c>
      <c r="I2842" s="1" t="s">
        <v>65</v>
      </c>
      <c r="J2842" s="1">
        <v>3</v>
      </c>
      <c r="K2842" s="1" t="s">
        <v>142</v>
      </c>
      <c r="L2842" s="1" t="s">
        <v>153</v>
      </c>
      <c r="M2842" s="1" t="s">
        <v>1256</v>
      </c>
      <c r="N2842" s="1" t="str">
        <f>HYPERLINK("https://klocwork.india.ti.com:443/review/insight-review.html#issuedetails_goto:problemid=134419,project=MCU_PLUS_SDK_AM263X,searchquery=taxonomy:'C and C++' build:Build_Apr_13_2023_11_11_AM grouping:off ","KW Issue Link")</f>
        <v>KW Issue Link</v>
      </c>
      <c r="O2842" s="1" t="s">
        <v>1083</v>
      </c>
    </row>
    <row r="2843" spans="1:15" ht="75" x14ac:dyDescent="0.25">
      <c r="A2843" s="1" t="s">
        <v>1252</v>
      </c>
      <c r="B2843" s="1"/>
      <c r="C2843" s="1" t="s">
        <v>3978</v>
      </c>
      <c r="D2843" s="1">
        <v>134541</v>
      </c>
      <c r="E2843" s="1">
        <v>128</v>
      </c>
      <c r="F2843" s="1" t="s">
        <v>3985</v>
      </c>
      <c r="G2843" s="1" t="s">
        <v>3982</v>
      </c>
      <c r="H2843" s="1" t="s">
        <v>141</v>
      </c>
      <c r="I2843" s="1" t="s">
        <v>65</v>
      </c>
      <c r="J2843" s="1">
        <v>3</v>
      </c>
      <c r="K2843" s="1" t="s">
        <v>142</v>
      </c>
      <c r="L2843" s="1" t="s">
        <v>153</v>
      </c>
      <c r="M2843" s="1" t="s">
        <v>1256</v>
      </c>
      <c r="N2843" s="1" t="str">
        <f>HYPERLINK("https://klocwork.india.ti.com:443/review/insight-review.html#issuedetails_goto:problemid=134541,project=MCU_PLUS_SDK_AM263X,searchquery=taxonomy:'C and C++' build:Build_Apr_13_2023_11_11_AM grouping:off ","KW Issue Link")</f>
        <v>KW Issue Link</v>
      </c>
      <c r="O2843" s="1" t="s">
        <v>1083</v>
      </c>
    </row>
    <row r="2844" spans="1:15" ht="75" x14ac:dyDescent="0.25">
      <c r="A2844" s="1" t="s">
        <v>1252</v>
      </c>
      <c r="B2844" s="1"/>
      <c r="C2844" s="1" t="s">
        <v>3978</v>
      </c>
      <c r="D2844" s="1">
        <v>134542</v>
      </c>
      <c r="E2844" s="1">
        <v>235</v>
      </c>
      <c r="F2844" s="1" t="s">
        <v>3986</v>
      </c>
      <c r="G2844" s="1" t="s">
        <v>3984</v>
      </c>
      <c r="H2844" s="1" t="s">
        <v>141</v>
      </c>
      <c r="I2844" s="1" t="s">
        <v>65</v>
      </c>
      <c r="J2844" s="1">
        <v>3</v>
      </c>
      <c r="K2844" s="1" t="s">
        <v>142</v>
      </c>
      <c r="L2844" s="1" t="s">
        <v>153</v>
      </c>
      <c r="M2844" s="1" t="s">
        <v>1256</v>
      </c>
      <c r="N2844" s="1" t="str">
        <f>HYPERLINK("https://klocwork.india.ti.com:443/review/insight-review.html#issuedetails_goto:problemid=134542,project=MCU_PLUS_SDK_AM263X,searchquery=taxonomy:'C and C++' build:Build_Apr_13_2023_11_11_AM grouping:off ","KW Issue Link")</f>
        <v>KW Issue Link</v>
      </c>
      <c r="O2844" s="1" t="s">
        <v>1083</v>
      </c>
    </row>
    <row r="2845" spans="1:15" ht="75" x14ac:dyDescent="0.25">
      <c r="A2845" s="1" t="s">
        <v>1266</v>
      </c>
      <c r="B2845" s="1"/>
      <c r="C2845" s="1" t="s">
        <v>3987</v>
      </c>
      <c r="D2845" s="1">
        <v>135102</v>
      </c>
      <c r="E2845" s="1">
        <v>228</v>
      </c>
      <c r="F2845" s="1" t="s">
        <v>3988</v>
      </c>
      <c r="G2845" s="1" t="s">
        <v>3989</v>
      </c>
      <c r="H2845" s="1" t="s">
        <v>141</v>
      </c>
      <c r="I2845" s="1" t="s">
        <v>65</v>
      </c>
      <c r="J2845" s="1">
        <v>3</v>
      </c>
      <c r="K2845" s="1" t="s">
        <v>142</v>
      </c>
      <c r="L2845" s="1" t="s">
        <v>153</v>
      </c>
      <c r="M2845" s="1" t="s">
        <v>1256</v>
      </c>
      <c r="N2845" s="1" t="str">
        <f>HYPERLINK("https://klocwork.india.ti.com:443/review/insight-review.html#issuedetails_goto:problemid=135102,project=MCU_PLUS_SDK_AM263X,searchquery=taxonomy:'C and C++' build:Build_Apr_13_2023_11_11_AM grouping:off ","KW Issue Link")</f>
        <v>KW Issue Link</v>
      </c>
      <c r="O2845" s="1" t="s">
        <v>1083</v>
      </c>
    </row>
    <row r="2846" spans="1:15" ht="75" x14ac:dyDescent="0.25">
      <c r="A2846" s="1" t="s">
        <v>1266</v>
      </c>
      <c r="B2846" s="1"/>
      <c r="C2846" s="1" t="s">
        <v>3987</v>
      </c>
      <c r="D2846" s="1">
        <v>135103</v>
      </c>
      <c r="E2846" s="1">
        <v>599</v>
      </c>
      <c r="F2846" s="1" t="s">
        <v>3990</v>
      </c>
      <c r="G2846" s="1" t="s">
        <v>3991</v>
      </c>
      <c r="H2846" s="1" t="s">
        <v>141</v>
      </c>
      <c r="I2846" s="1" t="s">
        <v>65</v>
      </c>
      <c r="J2846" s="1">
        <v>3</v>
      </c>
      <c r="K2846" s="1" t="s">
        <v>142</v>
      </c>
      <c r="L2846" s="1" t="s">
        <v>153</v>
      </c>
      <c r="M2846" s="1" t="s">
        <v>1256</v>
      </c>
      <c r="N2846" s="1" t="str">
        <f>HYPERLINK("https://klocwork.india.ti.com:443/review/insight-review.html#issuedetails_goto:problemid=135103,project=MCU_PLUS_SDK_AM263X,searchquery=taxonomy:'C and C++' build:Build_Apr_13_2023_11_11_AM grouping:off ","KW Issue Link")</f>
        <v>KW Issue Link</v>
      </c>
      <c r="O2846" s="1" t="s">
        <v>1083</v>
      </c>
    </row>
    <row r="2847" spans="1:15" ht="75" x14ac:dyDescent="0.25">
      <c r="A2847" s="1" t="s">
        <v>1266</v>
      </c>
      <c r="B2847" s="1"/>
      <c r="C2847" s="1" t="s">
        <v>3987</v>
      </c>
      <c r="D2847" s="1">
        <v>135104</v>
      </c>
      <c r="E2847" s="1">
        <v>662</v>
      </c>
      <c r="F2847" s="1" t="s">
        <v>3992</v>
      </c>
      <c r="G2847" s="1" t="s">
        <v>3993</v>
      </c>
      <c r="H2847" s="1" t="s">
        <v>141</v>
      </c>
      <c r="I2847" s="1" t="s">
        <v>65</v>
      </c>
      <c r="J2847" s="1">
        <v>3</v>
      </c>
      <c r="K2847" s="1" t="s">
        <v>142</v>
      </c>
      <c r="L2847" s="1" t="s">
        <v>153</v>
      </c>
      <c r="M2847" s="1" t="s">
        <v>1256</v>
      </c>
      <c r="N2847" s="1" t="str">
        <f>HYPERLINK("https://klocwork.india.ti.com:443/review/insight-review.html#issuedetails_goto:problemid=135104,project=MCU_PLUS_SDK_AM263X,searchquery=taxonomy:'C and C++' build:Build_Apr_13_2023_11_11_AM grouping:off ","KW Issue Link")</f>
        <v>KW Issue Link</v>
      </c>
      <c r="O2847" s="1" t="s">
        <v>1083</v>
      </c>
    </row>
    <row r="2848" spans="1:15" ht="75" x14ac:dyDescent="0.25">
      <c r="A2848" s="1" t="s">
        <v>1266</v>
      </c>
      <c r="B2848" s="1"/>
      <c r="C2848" s="1" t="s">
        <v>3987</v>
      </c>
      <c r="D2848" s="1">
        <v>135105</v>
      </c>
      <c r="E2848" s="1">
        <v>789</v>
      </c>
      <c r="F2848" s="1" t="s">
        <v>3994</v>
      </c>
      <c r="G2848" s="1" t="s">
        <v>3995</v>
      </c>
      <c r="H2848" s="1" t="s">
        <v>141</v>
      </c>
      <c r="I2848" s="1" t="s">
        <v>65</v>
      </c>
      <c r="J2848" s="1">
        <v>3</v>
      </c>
      <c r="K2848" s="1" t="s">
        <v>142</v>
      </c>
      <c r="L2848" s="1" t="s">
        <v>153</v>
      </c>
      <c r="M2848" s="1" t="s">
        <v>1256</v>
      </c>
      <c r="N2848" s="1" t="str">
        <f>HYPERLINK("https://klocwork.india.ti.com:443/review/insight-review.html#issuedetails_goto:problemid=135105,project=MCU_PLUS_SDK_AM263X,searchquery=taxonomy:'C and C++' build:Build_Apr_13_2023_11_11_AM grouping:off ","KW Issue Link")</f>
        <v>KW Issue Link</v>
      </c>
      <c r="O2848" s="1" t="s">
        <v>1083</v>
      </c>
    </row>
    <row r="2849" spans="1:15" ht="75" x14ac:dyDescent="0.25">
      <c r="A2849" s="1" t="s">
        <v>1266</v>
      </c>
      <c r="B2849" s="1"/>
      <c r="C2849" s="1" t="s">
        <v>3987</v>
      </c>
      <c r="D2849" s="1">
        <v>135106</v>
      </c>
      <c r="E2849" s="1">
        <v>927</v>
      </c>
      <c r="F2849" s="1" t="s">
        <v>3996</v>
      </c>
      <c r="G2849" s="1" t="s">
        <v>3997</v>
      </c>
      <c r="H2849" s="1" t="s">
        <v>141</v>
      </c>
      <c r="I2849" s="1" t="s">
        <v>65</v>
      </c>
      <c r="J2849" s="1">
        <v>3</v>
      </c>
      <c r="K2849" s="1" t="s">
        <v>142</v>
      </c>
      <c r="L2849" s="1" t="s">
        <v>153</v>
      </c>
      <c r="M2849" s="1" t="s">
        <v>1256</v>
      </c>
      <c r="N2849" s="1" t="str">
        <f>HYPERLINK("https://klocwork.india.ti.com:443/review/insight-review.html#issuedetails_goto:problemid=135106,project=MCU_PLUS_SDK_AM263X,searchquery=taxonomy:'C and C++' build:Build_Apr_13_2023_11_11_AM grouping:off ","KW Issue Link")</f>
        <v>KW Issue Link</v>
      </c>
      <c r="O2849" s="1" t="s">
        <v>1083</v>
      </c>
    </row>
    <row r="2850" spans="1:15" ht="75" x14ac:dyDescent="0.25">
      <c r="A2850" s="1" t="s">
        <v>1266</v>
      </c>
      <c r="B2850" s="1"/>
      <c r="C2850" s="1" t="s">
        <v>3987</v>
      </c>
      <c r="D2850" s="1">
        <v>135107</v>
      </c>
      <c r="E2850" s="1">
        <v>1022</v>
      </c>
      <c r="F2850" s="1" t="s">
        <v>3998</v>
      </c>
      <c r="G2850" s="1" t="s">
        <v>3999</v>
      </c>
      <c r="H2850" s="1" t="s">
        <v>141</v>
      </c>
      <c r="I2850" s="1" t="s">
        <v>65</v>
      </c>
      <c r="J2850" s="1">
        <v>3</v>
      </c>
      <c r="K2850" s="1" t="s">
        <v>142</v>
      </c>
      <c r="L2850" s="1" t="s">
        <v>153</v>
      </c>
      <c r="M2850" s="1" t="s">
        <v>1256</v>
      </c>
      <c r="N2850" s="1" t="str">
        <f>HYPERLINK("https://klocwork.india.ti.com:443/review/insight-review.html#issuedetails_goto:problemid=135107,project=MCU_PLUS_SDK_AM263X,searchquery=taxonomy:'C and C++' build:Build_Apr_13_2023_11_11_AM grouping:off ","KW Issue Link")</f>
        <v>KW Issue Link</v>
      </c>
      <c r="O2850" s="1" t="s">
        <v>1083</v>
      </c>
    </row>
    <row r="2851" spans="1:15" ht="75" x14ac:dyDescent="0.25">
      <c r="A2851" s="1" t="s">
        <v>1266</v>
      </c>
      <c r="B2851" s="1"/>
      <c r="C2851" s="1" t="s">
        <v>3987</v>
      </c>
      <c r="D2851" s="1">
        <v>135108</v>
      </c>
      <c r="E2851" s="1">
        <v>1142</v>
      </c>
      <c r="F2851" s="1" t="s">
        <v>4000</v>
      </c>
      <c r="G2851" s="1" t="s">
        <v>4001</v>
      </c>
      <c r="H2851" s="1" t="s">
        <v>141</v>
      </c>
      <c r="I2851" s="1" t="s">
        <v>65</v>
      </c>
      <c r="J2851" s="1">
        <v>3</v>
      </c>
      <c r="K2851" s="1" t="s">
        <v>142</v>
      </c>
      <c r="L2851" s="1" t="s">
        <v>153</v>
      </c>
      <c r="M2851" s="1" t="s">
        <v>1256</v>
      </c>
      <c r="N2851" s="1" t="str">
        <f>HYPERLINK("https://klocwork.india.ti.com:443/review/insight-review.html#issuedetails_goto:problemid=135108,project=MCU_PLUS_SDK_AM263X,searchquery=taxonomy:'C and C++' build:Build_Apr_13_2023_11_11_AM grouping:off ","KW Issue Link")</f>
        <v>KW Issue Link</v>
      </c>
      <c r="O2851" s="1" t="s">
        <v>1083</v>
      </c>
    </row>
    <row r="2852" spans="1:15" ht="75" x14ac:dyDescent="0.25">
      <c r="A2852" s="1" t="s">
        <v>1266</v>
      </c>
      <c r="B2852" s="1"/>
      <c r="C2852" s="1" t="s">
        <v>3987</v>
      </c>
      <c r="D2852" s="1">
        <v>135109</v>
      </c>
      <c r="E2852" s="1">
        <v>1348</v>
      </c>
      <c r="F2852" s="1" t="s">
        <v>4002</v>
      </c>
      <c r="G2852" s="1" t="s">
        <v>4003</v>
      </c>
      <c r="H2852" s="1" t="s">
        <v>141</v>
      </c>
      <c r="I2852" s="1" t="s">
        <v>65</v>
      </c>
      <c r="J2852" s="1">
        <v>3</v>
      </c>
      <c r="K2852" s="1" t="s">
        <v>142</v>
      </c>
      <c r="L2852" s="1" t="s">
        <v>153</v>
      </c>
      <c r="M2852" s="1" t="s">
        <v>1256</v>
      </c>
      <c r="N2852" s="1" t="str">
        <f>HYPERLINK("https://klocwork.india.ti.com:443/review/insight-review.html#issuedetails_goto:problemid=135109,project=MCU_PLUS_SDK_AM263X,searchquery=taxonomy:'C and C++' build:Build_Apr_13_2023_11_11_AM grouping:off ","KW Issue Link")</f>
        <v>KW Issue Link</v>
      </c>
      <c r="O2852" s="1" t="s">
        <v>1083</v>
      </c>
    </row>
    <row r="2853" spans="1:15" ht="75" x14ac:dyDescent="0.25">
      <c r="A2853" s="1" t="s">
        <v>1268</v>
      </c>
      <c r="B2853" s="1"/>
      <c r="C2853" s="1" t="s">
        <v>3987</v>
      </c>
      <c r="D2853" s="1">
        <v>135181</v>
      </c>
      <c r="E2853" s="1">
        <v>662</v>
      </c>
      <c r="F2853" s="1" t="s">
        <v>4004</v>
      </c>
      <c r="G2853" s="1" t="s">
        <v>3993</v>
      </c>
      <c r="H2853" s="1" t="s">
        <v>141</v>
      </c>
      <c r="I2853" s="1" t="s">
        <v>65</v>
      </c>
      <c r="J2853" s="1">
        <v>3</v>
      </c>
      <c r="K2853" s="1" t="s">
        <v>142</v>
      </c>
      <c r="L2853" s="1" t="s">
        <v>153</v>
      </c>
      <c r="M2853" s="1" t="s">
        <v>1256</v>
      </c>
      <c r="N2853" s="1" t="str">
        <f>HYPERLINK("https://klocwork.india.ti.com:443/review/insight-review.html#issuedetails_goto:problemid=135181,project=MCU_PLUS_SDK_AM263X,searchquery=taxonomy:'C and C++' build:Build_Apr_13_2023_11_11_AM grouping:off ","KW Issue Link")</f>
        <v>KW Issue Link</v>
      </c>
      <c r="O2853" s="1" t="s">
        <v>1083</v>
      </c>
    </row>
    <row r="2854" spans="1:15" ht="75" x14ac:dyDescent="0.25">
      <c r="A2854" s="1" t="s">
        <v>1268</v>
      </c>
      <c r="B2854" s="1"/>
      <c r="C2854" s="1" t="s">
        <v>3987</v>
      </c>
      <c r="D2854" s="1">
        <v>135182</v>
      </c>
      <c r="E2854" s="1">
        <v>1142</v>
      </c>
      <c r="F2854" s="1" t="s">
        <v>4005</v>
      </c>
      <c r="G2854" s="1" t="s">
        <v>4001</v>
      </c>
      <c r="H2854" s="1" t="s">
        <v>141</v>
      </c>
      <c r="I2854" s="1" t="s">
        <v>65</v>
      </c>
      <c r="J2854" s="1">
        <v>3</v>
      </c>
      <c r="K2854" s="1" t="s">
        <v>142</v>
      </c>
      <c r="L2854" s="1" t="s">
        <v>153</v>
      </c>
      <c r="M2854" s="1" t="s">
        <v>1256</v>
      </c>
      <c r="N2854" s="1" t="str">
        <f>HYPERLINK("https://klocwork.india.ti.com:443/review/insight-review.html#issuedetails_goto:problemid=135182,project=MCU_PLUS_SDK_AM263X,searchquery=taxonomy:'C and C++' build:Build_Apr_13_2023_11_11_AM grouping:off ","KW Issue Link")</f>
        <v>KW Issue Link</v>
      </c>
      <c r="O2854" s="1" t="s">
        <v>1083</v>
      </c>
    </row>
    <row r="2855" spans="1:15" ht="75" x14ac:dyDescent="0.25">
      <c r="A2855" s="1" t="s">
        <v>149</v>
      </c>
      <c r="B2855" s="1"/>
      <c r="C2855" s="1" t="s">
        <v>3987</v>
      </c>
      <c r="D2855" s="1">
        <v>135183</v>
      </c>
      <c r="E2855" s="1">
        <v>773</v>
      </c>
      <c r="F2855" s="1" t="s">
        <v>4006</v>
      </c>
      <c r="G2855" s="1" t="s">
        <v>3993</v>
      </c>
      <c r="H2855" s="1" t="s">
        <v>141</v>
      </c>
      <c r="I2855" s="1" t="s">
        <v>65</v>
      </c>
      <c r="J2855" s="1">
        <v>3</v>
      </c>
      <c r="K2855" s="1" t="s">
        <v>142</v>
      </c>
      <c r="L2855" s="1" t="s">
        <v>153</v>
      </c>
      <c r="M2855" s="1" t="s">
        <v>28</v>
      </c>
      <c r="N2855" s="1" t="str">
        <f>HYPERLINK("https://klocwork.india.ti.com:443/review/insight-review.html#issuedetails_goto:problemid=135183,project=MCU_PLUS_SDK_AM263X,searchquery=taxonomy:'C and C++' build:Build_Apr_13_2023_11_11_AM grouping:off ","KW Issue Link")</f>
        <v>KW Issue Link</v>
      </c>
      <c r="O2855" s="1" t="s">
        <v>1083</v>
      </c>
    </row>
    <row r="2856" spans="1:15" ht="105" x14ac:dyDescent="0.25">
      <c r="A2856" s="1" t="s">
        <v>149</v>
      </c>
      <c r="B2856" s="1"/>
      <c r="C2856" s="1" t="s">
        <v>3987</v>
      </c>
      <c r="D2856" s="1">
        <v>135184</v>
      </c>
      <c r="E2856" s="1">
        <v>1094</v>
      </c>
      <c r="F2856" s="1" t="s">
        <v>4007</v>
      </c>
      <c r="G2856" s="1" t="s">
        <v>3999</v>
      </c>
      <c r="H2856" s="1" t="s">
        <v>141</v>
      </c>
      <c r="I2856" s="1" t="s">
        <v>65</v>
      </c>
      <c r="J2856" s="1">
        <v>3</v>
      </c>
      <c r="K2856" s="1" t="s">
        <v>142</v>
      </c>
      <c r="L2856" s="1" t="s">
        <v>153</v>
      </c>
      <c r="M2856" s="1" t="s">
        <v>28</v>
      </c>
      <c r="N2856" s="1" t="str">
        <f>HYPERLINK("https://klocwork.india.ti.com:443/review/insight-review.html#issuedetails_goto:problemid=135184,project=MCU_PLUS_SDK_AM263X,searchquery=taxonomy:'C and C++' build:Build_Apr_13_2023_11_11_AM grouping:off ","KW Issue Link")</f>
        <v>KW Issue Link</v>
      </c>
      <c r="O2856" s="1" t="s">
        <v>1083</v>
      </c>
    </row>
    <row r="2857" spans="1:15" ht="75" x14ac:dyDescent="0.25">
      <c r="A2857" s="1" t="s">
        <v>149</v>
      </c>
      <c r="B2857" s="1"/>
      <c r="C2857" s="1" t="s">
        <v>3987</v>
      </c>
      <c r="D2857" s="1">
        <v>135185</v>
      </c>
      <c r="E2857" s="1">
        <v>1374</v>
      </c>
      <c r="F2857" s="1" t="s">
        <v>4008</v>
      </c>
      <c r="G2857" s="1" t="s">
        <v>4003</v>
      </c>
      <c r="H2857" s="1" t="s">
        <v>141</v>
      </c>
      <c r="I2857" s="1" t="s">
        <v>65</v>
      </c>
      <c r="J2857" s="1">
        <v>3</v>
      </c>
      <c r="K2857" s="1" t="s">
        <v>142</v>
      </c>
      <c r="L2857" s="1" t="s">
        <v>153</v>
      </c>
      <c r="M2857" s="1" t="s">
        <v>28</v>
      </c>
      <c r="N2857" s="1" t="str">
        <f>HYPERLINK("https://klocwork.india.ti.com:443/review/insight-review.html#issuedetails_goto:problemid=135185,project=MCU_PLUS_SDK_AM263X,searchquery=taxonomy:'C and C++' build:Build_Apr_13_2023_11_11_AM grouping:off ","KW Issue Link")</f>
        <v>KW Issue Link</v>
      </c>
      <c r="O2857" s="1" t="s">
        <v>1083</v>
      </c>
    </row>
    <row r="2858" spans="1:15" ht="75" x14ac:dyDescent="0.25">
      <c r="A2858" s="1" t="s">
        <v>149</v>
      </c>
      <c r="B2858" s="1"/>
      <c r="C2858" s="1" t="s">
        <v>3987</v>
      </c>
      <c r="D2858" s="1">
        <v>135186</v>
      </c>
      <c r="E2858" s="1">
        <v>1422</v>
      </c>
      <c r="F2858" s="1" t="s">
        <v>4008</v>
      </c>
      <c r="G2858" s="1" t="s">
        <v>4003</v>
      </c>
      <c r="H2858" s="1" t="s">
        <v>141</v>
      </c>
      <c r="I2858" s="1" t="s">
        <v>65</v>
      </c>
      <c r="J2858" s="1">
        <v>3</v>
      </c>
      <c r="K2858" s="1" t="s">
        <v>142</v>
      </c>
      <c r="L2858" s="1" t="s">
        <v>153</v>
      </c>
      <c r="M2858" s="1" t="s">
        <v>28</v>
      </c>
      <c r="N2858" s="1" t="str">
        <f>HYPERLINK("https://klocwork.india.ti.com:443/review/insight-review.html#issuedetails_goto:problemid=135186,project=MCU_PLUS_SDK_AM263X,searchquery=taxonomy:'C and C++' build:Build_Apr_13_2023_11_11_AM grouping:off ","KW Issue Link")</f>
        <v>KW Issue Link</v>
      </c>
      <c r="O2858" s="1" t="s">
        <v>1083</v>
      </c>
    </row>
    <row r="2859" spans="1:15" ht="75" x14ac:dyDescent="0.25">
      <c r="A2859" s="1" t="s">
        <v>155</v>
      </c>
      <c r="B2859" s="1"/>
      <c r="C2859" s="1" t="s">
        <v>3987</v>
      </c>
      <c r="D2859" s="1">
        <v>135187</v>
      </c>
      <c r="E2859" s="1">
        <v>774</v>
      </c>
      <c r="F2859" s="1" t="s">
        <v>156</v>
      </c>
      <c r="G2859" s="1" t="s">
        <v>3993</v>
      </c>
      <c r="H2859" s="1" t="s">
        <v>141</v>
      </c>
      <c r="I2859" s="1" t="s">
        <v>65</v>
      </c>
      <c r="J2859" s="1">
        <v>3</v>
      </c>
      <c r="K2859" s="1" t="s">
        <v>142</v>
      </c>
      <c r="L2859" s="1" t="s">
        <v>153</v>
      </c>
      <c r="M2859" s="1" t="s">
        <v>28</v>
      </c>
      <c r="N2859" s="1" t="str">
        <f>HYPERLINK("https://klocwork.india.ti.com:443/review/insight-review.html#issuedetails_goto:problemid=135187,project=MCU_PLUS_SDK_AM263X,searchquery=taxonomy:'C and C++' build:Build_Apr_13_2023_11_11_AM grouping:off ","KW Issue Link")</f>
        <v>KW Issue Link</v>
      </c>
      <c r="O2859" s="1" t="s">
        <v>1083</v>
      </c>
    </row>
    <row r="2860" spans="1:15" ht="75" x14ac:dyDescent="0.25">
      <c r="A2860" s="1" t="s">
        <v>155</v>
      </c>
      <c r="B2860" s="1"/>
      <c r="C2860" s="1" t="s">
        <v>3987</v>
      </c>
      <c r="D2860" s="1">
        <v>135188</v>
      </c>
      <c r="E2860" s="1">
        <v>1105</v>
      </c>
      <c r="F2860" s="1" t="s">
        <v>156</v>
      </c>
      <c r="G2860" s="1" t="s">
        <v>3999</v>
      </c>
      <c r="H2860" s="1" t="s">
        <v>141</v>
      </c>
      <c r="I2860" s="1" t="s">
        <v>65</v>
      </c>
      <c r="J2860" s="1">
        <v>3</v>
      </c>
      <c r="K2860" s="1" t="s">
        <v>142</v>
      </c>
      <c r="L2860" s="1" t="s">
        <v>153</v>
      </c>
      <c r="M2860" s="1" t="s">
        <v>28</v>
      </c>
      <c r="N2860" s="1" t="str">
        <f>HYPERLINK("https://klocwork.india.ti.com:443/review/insight-review.html#issuedetails_goto:problemid=135188,project=MCU_PLUS_SDK_AM263X,searchquery=taxonomy:'C and C++' build:Build_Apr_13_2023_11_11_AM grouping:off ","KW Issue Link")</f>
        <v>KW Issue Link</v>
      </c>
      <c r="O2860" s="1" t="s">
        <v>1083</v>
      </c>
    </row>
    <row r="2861" spans="1:15" ht="90" x14ac:dyDescent="0.25">
      <c r="A2861" s="1" t="s">
        <v>163</v>
      </c>
      <c r="B2861" s="1"/>
      <c r="C2861" s="1" t="s">
        <v>3987</v>
      </c>
      <c r="D2861" s="1">
        <v>135189</v>
      </c>
      <c r="E2861" s="1">
        <v>778</v>
      </c>
      <c r="F2861" s="1" t="s">
        <v>4009</v>
      </c>
      <c r="G2861" s="1" t="s">
        <v>3993</v>
      </c>
      <c r="H2861" s="1" t="s">
        <v>141</v>
      </c>
      <c r="I2861" s="1" t="s">
        <v>65</v>
      </c>
      <c r="J2861" s="1">
        <v>3</v>
      </c>
      <c r="K2861" s="1" t="s">
        <v>142</v>
      </c>
      <c r="L2861" s="1" t="s">
        <v>153</v>
      </c>
      <c r="M2861" s="1" t="s">
        <v>28</v>
      </c>
      <c r="N2861" s="1" t="str">
        <f>HYPERLINK("https://klocwork.india.ti.com:443/review/insight-review.html#issuedetails_goto:problemid=135189,project=MCU_PLUS_SDK_AM263X,searchquery=taxonomy:'C and C++' build:Build_Apr_13_2023_11_11_AM grouping:off ","KW Issue Link")</f>
        <v>KW Issue Link</v>
      </c>
      <c r="O2861" s="1" t="s">
        <v>1083</v>
      </c>
    </row>
    <row r="2862" spans="1:15" ht="90" x14ac:dyDescent="0.25">
      <c r="A2862" s="1" t="s">
        <v>163</v>
      </c>
      <c r="B2862" s="1"/>
      <c r="C2862" s="1" t="s">
        <v>3987</v>
      </c>
      <c r="D2862" s="1">
        <v>135190</v>
      </c>
      <c r="E2862" s="1">
        <v>778</v>
      </c>
      <c r="F2862" s="1" t="s">
        <v>4010</v>
      </c>
      <c r="G2862" s="1" t="s">
        <v>3993</v>
      </c>
      <c r="H2862" s="1" t="s">
        <v>141</v>
      </c>
      <c r="I2862" s="1" t="s">
        <v>65</v>
      </c>
      <c r="J2862" s="1">
        <v>3</v>
      </c>
      <c r="K2862" s="1" t="s">
        <v>142</v>
      </c>
      <c r="L2862" s="1" t="s">
        <v>153</v>
      </c>
      <c r="M2862" s="1" t="s">
        <v>28</v>
      </c>
      <c r="N2862" s="1" t="str">
        <f>HYPERLINK("https://klocwork.india.ti.com:443/review/insight-review.html#issuedetails_goto:problemid=135190,project=MCU_PLUS_SDK_AM263X,searchquery=taxonomy:'C and C++' build:Build_Apr_13_2023_11_11_AM grouping:off ","KW Issue Link")</f>
        <v>KW Issue Link</v>
      </c>
      <c r="O2862" s="1" t="s">
        <v>1083</v>
      </c>
    </row>
    <row r="2863" spans="1:15" ht="90" x14ac:dyDescent="0.25">
      <c r="A2863" s="1" t="s">
        <v>163</v>
      </c>
      <c r="B2863" s="1"/>
      <c r="C2863" s="1" t="s">
        <v>3987</v>
      </c>
      <c r="D2863" s="1">
        <v>135191</v>
      </c>
      <c r="E2863" s="1">
        <v>778</v>
      </c>
      <c r="F2863" s="1" t="s">
        <v>4011</v>
      </c>
      <c r="G2863" s="1" t="s">
        <v>3993</v>
      </c>
      <c r="H2863" s="1" t="s">
        <v>141</v>
      </c>
      <c r="I2863" s="1" t="s">
        <v>65</v>
      </c>
      <c r="J2863" s="1">
        <v>3</v>
      </c>
      <c r="K2863" s="1" t="s">
        <v>142</v>
      </c>
      <c r="L2863" s="1" t="s">
        <v>153</v>
      </c>
      <c r="M2863" s="1" t="s">
        <v>28</v>
      </c>
      <c r="N2863" s="1" t="str">
        <f>HYPERLINK("https://klocwork.india.ti.com:443/review/insight-review.html#issuedetails_goto:problemid=135191,project=MCU_PLUS_SDK_AM263X,searchquery=taxonomy:'C and C++' build:Build_Apr_13_2023_11_11_AM grouping:off ","KW Issue Link")</f>
        <v>KW Issue Link</v>
      </c>
      <c r="O2863" s="1" t="s">
        <v>1083</v>
      </c>
    </row>
    <row r="2864" spans="1:15" ht="90" x14ac:dyDescent="0.25">
      <c r="A2864" s="1" t="s">
        <v>163</v>
      </c>
      <c r="B2864" s="1"/>
      <c r="C2864" s="1" t="s">
        <v>3987</v>
      </c>
      <c r="D2864" s="1">
        <v>135192</v>
      </c>
      <c r="E2864" s="1">
        <v>778</v>
      </c>
      <c r="F2864" s="1" t="s">
        <v>4012</v>
      </c>
      <c r="G2864" s="1" t="s">
        <v>3993</v>
      </c>
      <c r="H2864" s="1" t="s">
        <v>141</v>
      </c>
      <c r="I2864" s="1" t="s">
        <v>65</v>
      </c>
      <c r="J2864" s="1">
        <v>3</v>
      </c>
      <c r="K2864" s="1" t="s">
        <v>142</v>
      </c>
      <c r="L2864" s="1" t="s">
        <v>153</v>
      </c>
      <c r="M2864" s="1" t="s">
        <v>28</v>
      </c>
      <c r="N2864" s="1" t="str">
        <f>HYPERLINK("https://klocwork.india.ti.com:443/review/insight-review.html#issuedetails_goto:problemid=135192,project=MCU_PLUS_SDK_AM263X,searchquery=taxonomy:'C and C++' build:Build_Apr_13_2023_11_11_AM grouping:off ","KW Issue Link")</f>
        <v>KW Issue Link</v>
      </c>
      <c r="O2864" s="1" t="s">
        <v>1083</v>
      </c>
    </row>
    <row r="2865" spans="1:15" ht="90" x14ac:dyDescent="0.25">
      <c r="A2865" s="1" t="s">
        <v>163</v>
      </c>
      <c r="B2865" s="1"/>
      <c r="C2865" s="1" t="s">
        <v>3987</v>
      </c>
      <c r="D2865" s="1">
        <v>135193</v>
      </c>
      <c r="E2865" s="1">
        <v>778</v>
      </c>
      <c r="F2865" s="1" t="s">
        <v>4013</v>
      </c>
      <c r="G2865" s="1" t="s">
        <v>3993</v>
      </c>
      <c r="H2865" s="1" t="s">
        <v>141</v>
      </c>
      <c r="I2865" s="1" t="s">
        <v>65</v>
      </c>
      <c r="J2865" s="1">
        <v>3</v>
      </c>
      <c r="K2865" s="1" t="s">
        <v>142</v>
      </c>
      <c r="L2865" s="1" t="s">
        <v>153</v>
      </c>
      <c r="M2865" s="1" t="s">
        <v>28</v>
      </c>
      <c r="N2865" s="1" t="str">
        <f>HYPERLINK("https://klocwork.india.ti.com:443/review/insight-review.html#issuedetails_goto:problemid=135193,project=MCU_PLUS_SDK_AM263X,searchquery=taxonomy:'C and C++' build:Build_Apr_13_2023_11_11_AM grouping:off ","KW Issue Link")</f>
        <v>KW Issue Link</v>
      </c>
      <c r="O2865" s="1" t="s">
        <v>1083</v>
      </c>
    </row>
    <row r="2866" spans="1:15" ht="105" x14ac:dyDescent="0.25">
      <c r="A2866" s="1" t="s">
        <v>163</v>
      </c>
      <c r="B2866" s="1"/>
      <c r="C2866" s="1" t="s">
        <v>3987</v>
      </c>
      <c r="D2866" s="1">
        <v>135194</v>
      </c>
      <c r="E2866" s="1">
        <v>830</v>
      </c>
      <c r="F2866" s="1" t="s">
        <v>4014</v>
      </c>
      <c r="G2866" s="1" t="s">
        <v>3995</v>
      </c>
      <c r="H2866" s="1" t="s">
        <v>141</v>
      </c>
      <c r="I2866" s="1" t="s">
        <v>65</v>
      </c>
      <c r="J2866" s="1">
        <v>3</v>
      </c>
      <c r="K2866" s="1" t="s">
        <v>142</v>
      </c>
      <c r="L2866" s="1" t="s">
        <v>153</v>
      </c>
      <c r="M2866" s="1" t="s">
        <v>28</v>
      </c>
      <c r="N2866" s="1" t="str">
        <f>HYPERLINK("https://klocwork.india.ti.com:443/review/insight-review.html#issuedetails_goto:problemid=135194,project=MCU_PLUS_SDK_AM263X,searchquery=taxonomy:'C and C++' build:Build_Apr_13_2023_11_11_AM grouping:off ","KW Issue Link")</f>
        <v>KW Issue Link</v>
      </c>
      <c r="O2866" s="1" t="s">
        <v>1083</v>
      </c>
    </row>
    <row r="2867" spans="1:15" ht="105" x14ac:dyDescent="0.25">
      <c r="A2867" s="1" t="s">
        <v>163</v>
      </c>
      <c r="B2867" s="1"/>
      <c r="C2867" s="1" t="s">
        <v>3987</v>
      </c>
      <c r="D2867" s="1">
        <v>135195</v>
      </c>
      <c r="E2867" s="1">
        <v>830</v>
      </c>
      <c r="F2867" s="1" t="s">
        <v>4015</v>
      </c>
      <c r="G2867" s="1" t="s">
        <v>3995</v>
      </c>
      <c r="H2867" s="1" t="s">
        <v>141</v>
      </c>
      <c r="I2867" s="1" t="s">
        <v>65</v>
      </c>
      <c r="J2867" s="1">
        <v>3</v>
      </c>
      <c r="K2867" s="1" t="s">
        <v>142</v>
      </c>
      <c r="L2867" s="1" t="s">
        <v>153</v>
      </c>
      <c r="M2867" s="1" t="s">
        <v>28</v>
      </c>
      <c r="N2867" s="1" t="str">
        <f>HYPERLINK("https://klocwork.india.ti.com:443/review/insight-review.html#issuedetails_goto:problemid=135195,project=MCU_PLUS_SDK_AM263X,searchquery=taxonomy:'C and C++' build:Build_Apr_13_2023_11_11_AM grouping:off ","KW Issue Link")</f>
        <v>KW Issue Link</v>
      </c>
      <c r="O2867" s="1" t="s">
        <v>1083</v>
      </c>
    </row>
    <row r="2868" spans="1:15" ht="105" x14ac:dyDescent="0.25">
      <c r="A2868" s="1" t="s">
        <v>163</v>
      </c>
      <c r="B2868" s="1"/>
      <c r="C2868" s="1" t="s">
        <v>3987</v>
      </c>
      <c r="D2868" s="1">
        <v>135196</v>
      </c>
      <c r="E2868" s="1">
        <v>830</v>
      </c>
      <c r="F2868" s="1" t="s">
        <v>4016</v>
      </c>
      <c r="G2868" s="1" t="s">
        <v>3995</v>
      </c>
      <c r="H2868" s="1" t="s">
        <v>141</v>
      </c>
      <c r="I2868" s="1" t="s">
        <v>65</v>
      </c>
      <c r="J2868" s="1">
        <v>3</v>
      </c>
      <c r="K2868" s="1" t="s">
        <v>142</v>
      </c>
      <c r="L2868" s="1" t="s">
        <v>153</v>
      </c>
      <c r="M2868" s="1" t="s">
        <v>28</v>
      </c>
      <c r="N2868" s="1" t="str">
        <f>HYPERLINK("https://klocwork.india.ti.com:443/review/insight-review.html#issuedetails_goto:problemid=135196,project=MCU_PLUS_SDK_AM263X,searchquery=taxonomy:'C and C++' build:Build_Apr_13_2023_11_11_AM grouping:off ","KW Issue Link")</f>
        <v>KW Issue Link</v>
      </c>
      <c r="O2868" s="1" t="s">
        <v>1083</v>
      </c>
    </row>
    <row r="2869" spans="1:15" ht="105" x14ac:dyDescent="0.25">
      <c r="A2869" s="1" t="s">
        <v>163</v>
      </c>
      <c r="B2869" s="1"/>
      <c r="C2869" s="1" t="s">
        <v>3987</v>
      </c>
      <c r="D2869" s="1">
        <v>135197</v>
      </c>
      <c r="E2869" s="1">
        <v>848</v>
      </c>
      <c r="F2869" s="1" t="s">
        <v>4017</v>
      </c>
      <c r="G2869" s="1" t="s">
        <v>3995</v>
      </c>
      <c r="H2869" s="1" t="s">
        <v>141</v>
      </c>
      <c r="I2869" s="1" t="s">
        <v>65</v>
      </c>
      <c r="J2869" s="1">
        <v>3</v>
      </c>
      <c r="K2869" s="1" t="s">
        <v>142</v>
      </c>
      <c r="L2869" s="1" t="s">
        <v>153</v>
      </c>
      <c r="M2869" s="1" t="s">
        <v>28</v>
      </c>
      <c r="N2869" s="1" t="str">
        <f>HYPERLINK("https://klocwork.india.ti.com:443/review/insight-review.html#issuedetails_goto:problemid=135197,project=MCU_PLUS_SDK_AM263X,searchquery=taxonomy:'C and C++' build:Build_Apr_13_2023_11_11_AM grouping:off ","KW Issue Link")</f>
        <v>KW Issue Link</v>
      </c>
      <c r="O2869" s="1" t="s">
        <v>1083</v>
      </c>
    </row>
    <row r="2870" spans="1:15" ht="105" x14ac:dyDescent="0.25">
      <c r="A2870" s="1" t="s">
        <v>163</v>
      </c>
      <c r="B2870" s="1"/>
      <c r="C2870" s="1" t="s">
        <v>3987</v>
      </c>
      <c r="D2870" s="1">
        <v>135198</v>
      </c>
      <c r="E2870" s="1">
        <v>848</v>
      </c>
      <c r="F2870" s="1" t="s">
        <v>4018</v>
      </c>
      <c r="G2870" s="1" t="s">
        <v>3995</v>
      </c>
      <c r="H2870" s="1" t="s">
        <v>141</v>
      </c>
      <c r="I2870" s="1" t="s">
        <v>65</v>
      </c>
      <c r="J2870" s="1">
        <v>3</v>
      </c>
      <c r="K2870" s="1" t="s">
        <v>142</v>
      </c>
      <c r="L2870" s="1" t="s">
        <v>153</v>
      </c>
      <c r="M2870" s="1" t="s">
        <v>28</v>
      </c>
      <c r="N2870" s="1" t="str">
        <f>HYPERLINK("https://klocwork.india.ti.com:443/review/insight-review.html#issuedetails_goto:problemid=135198,project=MCU_PLUS_SDK_AM263X,searchquery=taxonomy:'C and C++' build:Build_Apr_13_2023_11_11_AM grouping:off ","KW Issue Link")</f>
        <v>KW Issue Link</v>
      </c>
      <c r="O2870" s="1" t="s">
        <v>1083</v>
      </c>
    </row>
    <row r="2871" spans="1:15" ht="105" x14ac:dyDescent="0.25">
      <c r="A2871" s="1" t="s">
        <v>163</v>
      </c>
      <c r="B2871" s="1"/>
      <c r="C2871" s="1" t="s">
        <v>3987</v>
      </c>
      <c r="D2871" s="1">
        <v>135199</v>
      </c>
      <c r="E2871" s="1">
        <v>848</v>
      </c>
      <c r="F2871" s="1" t="s">
        <v>4019</v>
      </c>
      <c r="G2871" s="1" t="s">
        <v>3995</v>
      </c>
      <c r="H2871" s="1" t="s">
        <v>141</v>
      </c>
      <c r="I2871" s="1" t="s">
        <v>65</v>
      </c>
      <c r="J2871" s="1">
        <v>3</v>
      </c>
      <c r="K2871" s="1" t="s">
        <v>142</v>
      </c>
      <c r="L2871" s="1" t="s">
        <v>153</v>
      </c>
      <c r="M2871" s="1" t="s">
        <v>28</v>
      </c>
      <c r="N2871" s="1" t="str">
        <f>HYPERLINK("https://klocwork.india.ti.com:443/review/insight-review.html#issuedetails_goto:problemid=135199,project=MCU_PLUS_SDK_AM263X,searchquery=taxonomy:'C and C++' build:Build_Apr_13_2023_11_11_AM grouping:off ","KW Issue Link")</f>
        <v>KW Issue Link</v>
      </c>
      <c r="O2871" s="1" t="s">
        <v>1083</v>
      </c>
    </row>
    <row r="2872" spans="1:15" ht="105" x14ac:dyDescent="0.25">
      <c r="A2872" s="1" t="s">
        <v>163</v>
      </c>
      <c r="B2872" s="1"/>
      <c r="C2872" s="1" t="s">
        <v>3987</v>
      </c>
      <c r="D2872" s="1">
        <v>135200</v>
      </c>
      <c r="E2872" s="1">
        <v>854</v>
      </c>
      <c r="F2872" s="1" t="s">
        <v>4020</v>
      </c>
      <c r="G2872" s="1" t="s">
        <v>3995</v>
      </c>
      <c r="H2872" s="1" t="s">
        <v>141</v>
      </c>
      <c r="I2872" s="1" t="s">
        <v>65</v>
      </c>
      <c r="J2872" s="1">
        <v>3</v>
      </c>
      <c r="K2872" s="1" t="s">
        <v>142</v>
      </c>
      <c r="L2872" s="1" t="s">
        <v>153</v>
      </c>
      <c r="M2872" s="1" t="s">
        <v>28</v>
      </c>
      <c r="N2872" s="1" t="str">
        <f>HYPERLINK("https://klocwork.india.ti.com:443/review/insight-review.html#issuedetails_goto:problemid=135200,project=MCU_PLUS_SDK_AM263X,searchquery=taxonomy:'C and C++' build:Build_Apr_13_2023_11_11_AM grouping:off ","KW Issue Link")</f>
        <v>KW Issue Link</v>
      </c>
      <c r="O2872" s="1" t="s">
        <v>1083</v>
      </c>
    </row>
    <row r="2873" spans="1:15" ht="105" x14ac:dyDescent="0.25">
      <c r="A2873" s="1" t="s">
        <v>163</v>
      </c>
      <c r="B2873" s="1"/>
      <c r="C2873" s="1" t="s">
        <v>3987</v>
      </c>
      <c r="D2873" s="1">
        <v>135201</v>
      </c>
      <c r="E2873" s="1">
        <v>854</v>
      </c>
      <c r="F2873" s="1" t="s">
        <v>4021</v>
      </c>
      <c r="G2873" s="1" t="s">
        <v>3995</v>
      </c>
      <c r="H2873" s="1" t="s">
        <v>141</v>
      </c>
      <c r="I2873" s="1" t="s">
        <v>65</v>
      </c>
      <c r="J2873" s="1">
        <v>3</v>
      </c>
      <c r="K2873" s="1" t="s">
        <v>142</v>
      </c>
      <c r="L2873" s="1" t="s">
        <v>153</v>
      </c>
      <c r="M2873" s="1" t="s">
        <v>28</v>
      </c>
      <c r="N2873" s="1" t="str">
        <f>HYPERLINK("https://klocwork.india.ti.com:443/review/insight-review.html#issuedetails_goto:problemid=135201,project=MCU_PLUS_SDK_AM263X,searchquery=taxonomy:'C and C++' build:Build_Apr_13_2023_11_11_AM grouping:off ","KW Issue Link")</f>
        <v>KW Issue Link</v>
      </c>
      <c r="O2873" s="1" t="s">
        <v>1083</v>
      </c>
    </row>
    <row r="2874" spans="1:15" ht="105" x14ac:dyDescent="0.25">
      <c r="A2874" s="1" t="s">
        <v>163</v>
      </c>
      <c r="B2874" s="1"/>
      <c r="C2874" s="1" t="s">
        <v>3987</v>
      </c>
      <c r="D2874" s="1">
        <v>135202</v>
      </c>
      <c r="E2874" s="1">
        <v>854</v>
      </c>
      <c r="F2874" s="1" t="s">
        <v>4022</v>
      </c>
      <c r="G2874" s="1" t="s">
        <v>3995</v>
      </c>
      <c r="H2874" s="1" t="s">
        <v>141</v>
      </c>
      <c r="I2874" s="1" t="s">
        <v>65</v>
      </c>
      <c r="J2874" s="1">
        <v>3</v>
      </c>
      <c r="K2874" s="1" t="s">
        <v>142</v>
      </c>
      <c r="L2874" s="1" t="s">
        <v>153</v>
      </c>
      <c r="M2874" s="1" t="s">
        <v>28</v>
      </c>
      <c r="N2874" s="1" t="str">
        <f>HYPERLINK("https://klocwork.india.ti.com:443/review/insight-review.html#issuedetails_goto:problemid=135202,project=MCU_PLUS_SDK_AM263X,searchquery=taxonomy:'C and C++' build:Build_Apr_13_2023_11_11_AM grouping:off ","KW Issue Link")</f>
        <v>KW Issue Link</v>
      </c>
      <c r="O2874" s="1" t="s">
        <v>1083</v>
      </c>
    </row>
    <row r="2875" spans="1:15" ht="105" x14ac:dyDescent="0.25">
      <c r="A2875" s="1" t="s">
        <v>163</v>
      </c>
      <c r="B2875" s="1"/>
      <c r="C2875" s="1" t="s">
        <v>3987</v>
      </c>
      <c r="D2875" s="1">
        <v>135203</v>
      </c>
      <c r="E2875" s="1">
        <v>891</v>
      </c>
      <c r="F2875" s="1" t="s">
        <v>4023</v>
      </c>
      <c r="G2875" s="1" t="s">
        <v>3995</v>
      </c>
      <c r="H2875" s="1" t="s">
        <v>141</v>
      </c>
      <c r="I2875" s="1" t="s">
        <v>65</v>
      </c>
      <c r="J2875" s="1">
        <v>3</v>
      </c>
      <c r="K2875" s="1" t="s">
        <v>142</v>
      </c>
      <c r="L2875" s="1" t="s">
        <v>153</v>
      </c>
      <c r="M2875" s="1" t="s">
        <v>28</v>
      </c>
      <c r="N2875" s="1" t="str">
        <f>HYPERLINK("https://klocwork.india.ti.com:443/review/insight-review.html#issuedetails_goto:problemid=135203,project=MCU_PLUS_SDK_AM263X,searchquery=taxonomy:'C and C++' build:Build_Apr_13_2023_11_11_AM grouping:off ","KW Issue Link")</f>
        <v>KW Issue Link</v>
      </c>
      <c r="O2875" s="1" t="s">
        <v>1083</v>
      </c>
    </row>
    <row r="2876" spans="1:15" ht="105" x14ac:dyDescent="0.25">
      <c r="A2876" s="1" t="s">
        <v>163</v>
      </c>
      <c r="B2876" s="1"/>
      <c r="C2876" s="1" t="s">
        <v>3987</v>
      </c>
      <c r="D2876" s="1">
        <v>135204</v>
      </c>
      <c r="E2876" s="1">
        <v>891</v>
      </c>
      <c r="F2876" s="1" t="s">
        <v>4024</v>
      </c>
      <c r="G2876" s="1" t="s">
        <v>3995</v>
      </c>
      <c r="H2876" s="1" t="s">
        <v>141</v>
      </c>
      <c r="I2876" s="1" t="s">
        <v>65</v>
      </c>
      <c r="J2876" s="1">
        <v>3</v>
      </c>
      <c r="K2876" s="1" t="s">
        <v>142</v>
      </c>
      <c r="L2876" s="1" t="s">
        <v>153</v>
      </c>
      <c r="M2876" s="1" t="s">
        <v>28</v>
      </c>
      <c r="N2876" s="1" t="str">
        <f>HYPERLINK("https://klocwork.india.ti.com:443/review/insight-review.html#issuedetails_goto:problemid=135204,project=MCU_PLUS_SDK_AM263X,searchquery=taxonomy:'C and C++' build:Build_Apr_13_2023_11_11_AM grouping:off ","KW Issue Link")</f>
        <v>KW Issue Link</v>
      </c>
      <c r="O2876" s="1" t="s">
        <v>1083</v>
      </c>
    </row>
    <row r="2877" spans="1:15" ht="105" x14ac:dyDescent="0.25">
      <c r="A2877" s="1" t="s">
        <v>163</v>
      </c>
      <c r="B2877" s="1"/>
      <c r="C2877" s="1" t="s">
        <v>3987</v>
      </c>
      <c r="D2877" s="1">
        <v>135205</v>
      </c>
      <c r="E2877" s="1">
        <v>891</v>
      </c>
      <c r="F2877" s="1" t="s">
        <v>4025</v>
      </c>
      <c r="G2877" s="1" t="s">
        <v>3995</v>
      </c>
      <c r="H2877" s="1" t="s">
        <v>141</v>
      </c>
      <c r="I2877" s="1" t="s">
        <v>65</v>
      </c>
      <c r="J2877" s="1">
        <v>3</v>
      </c>
      <c r="K2877" s="1" t="s">
        <v>142</v>
      </c>
      <c r="L2877" s="1" t="s">
        <v>153</v>
      </c>
      <c r="M2877" s="1" t="s">
        <v>28</v>
      </c>
      <c r="N2877" s="1" t="str">
        <f>HYPERLINK("https://klocwork.india.ti.com:443/review/insight-review.html#issuedetails_goto:problemid=135205,project=MCU_PLUS_SDK_AM263X,searchquery=taxonomy:'C and C++' build:Build_Apr_13_2023_11_11_AM grouping:off ","KW Issue Link")</f>
        <v>KW Issue Link</v>
      </c>
      <c r="O2877" s="1" t="s">
        <v>1083</v>
      </c>
    </row>
    <row r="2878" spans="1:15" ht="75" x14ac:dyDescent="0.25">
      <c r="A2878" s="1" t="s">
        <v>1257</v>
      </c>
      <c r="B2878" s="1"/>
      <c r="C2878" s="1" t="s">
        <v>3987</v>
      </c>
      <c r="D2878" s="1">
        <v>135206</v>
      </c>
      <c r="E2878" s="1">
        <v>789</v>
      </c>
      <c r="F2878" s="1" t="s">
        <v>4026</v>
      </c>
      <c r="G2878" s="1" t="s">
        <v>3995</v>
      </c>
      <c r="H2878" s="1" t="s">
        <v>141</v>
      </c>
      <c r="I2878" s="1" t="s">
        <v>65</v>
      </c>
      <c r="J2878" s="1">
        <v>3</v>
      </c>
      <c r="K2878" s="1" t="s">
        <v>142</v>
      </c>
      <c r="L2878" s="1" t="s">
        <v>153</v>
      </c>
      <c r="M2878" s="1" t="s">
        <v>1256</v>
      </c>
      <c r="N2878" s="1" t="str">
        <f>HYPERLINK("https://klocwork.india.ti.com:443/review/insight-review.html#issuedetails_goto:problemid=135206,project=MCU_PLUS_SDK_AM263X,searchquery=taxonomy:'C and C++' build:Build_Apr_13_2023_11_11_AM grouping:off ","KW Issue Link")</f>
        <v>KW Issue Link</v>
      </c>
      <c r="O2878" s="1" t="s">
        <v>1083</v>
      </c>
    </row>
    <row r="2879" spans="1:15" ht="75" x14ac:dyDescent="0.25">
      <c r="A2879" s="1" t="s">
        <v>1257</v>
      </c>
      <c r="B2879" s="1"/>
      <c r="C2879" s="1" t="s">
        <v>3987</v>
      </c>
      <c r="D2879" s="1">
        <v>135207</v>
      </c>
      <c r="E2879" s="1">
        <v>1022</v>
      </c>
      <c r="F2879" s="1" t="s">
        <v>4027</v>
      </c>
      <c r="G2879" s="1" t="s">
        <v>3999</v>
      </c>
      <c r="H2879" s="1" t="s">
        <v>141</v>
      </c>
      <c r="I2879" s="1" t="s">
        <v>65</v>
      </c>
      <c r="J2879" s="1">
        <v>3</v>
      </c>
      <c r="K2879" s="1" t="s">
        <v>142</v>
      </c>
      <c r="L2879" s="1" t="s">
        <v>153</v>
      </c>
      <c r="M2879" s="1" t="s">
        <v>1256</v>
      </c>
      <c r="N2879" s="1" t="str">
        <f>HYPERLINK("https://klocwork.india.ti.com:443/review/insight-review.html#issuedetails_goto:problemid=135207,project=MCU_PLUS_SDK_AM263X,searchquery=taxonomy:'C and C++' build:Build_Apr_13_2023_11_11_AM grouping:off ","KW Issue Link")</f>
        <v>KW Issue Link</v>
      </c>
      <c r="O2879" s="1" t="s">
        <v>1083</v>
      </c>
    </row>
    <row r="2880" spans="1:15" ht="75" x14ac:dyDescent="0.25">
      <c r="A2880" s="1" t="s">
        <v>1257</v>
      </c>
      <c r="B2880" s="1"/>
      <c r="C2880" s="1" t="s">
        <v>3987</v>
      </c>
      <c r="D2880" s="1">
        <v>135208</v>
      </c>
      <c r="E2880" s="1">
        <v>1142</v>
      </c>
      <c r="F2880" s="1" t="s">
        <v>4028</v>
      </c>
      <c r="G2880" s="1" t="s">
        <v>4001</v>
      </c>
      <c r="H2880" s="1" t="s">
        <v>141</v>
      </c>
      <c r="I2880" s="1" t="s">
        <v>65</v>
      </c>
      <c r="J2880" s="1">
        <v>3</v>
      </c>
      <c r="K2880" s="1" t="s">
        <v>142</v>
      </c>
      <c r="L2880" s="1" t="s">
        <v>153</v>
      </c>
      <c r="M2880" s="1" t="s">
        <v>1256</v>
      </c>
      <c r="N2880" s="1" t="str">
        <f>HYPERLINK("https://klocwork.india.ti.com:443/review/insight-review.html#issuedetails_goto:problemid=135208,project=MCU_PLUS_SDK_AM263X,searchquery=taxonomy:'C and C++' build:Build_Apr_13_2023_11_11_AM grouping:off ","KW Issue Link")</f>
        <v>KW Issue Link</v>
      </c>
      <c r="O2880" s="1" t="s">
        <v>1083</v>
      </c>
    </row>
    <row r="2881" spans="1:15" ht="75" x14ac:dyDescent="0.25">
      <c r="A2881" s="1" t="s">
        <v>997</v>
      </c>
      <c r="B2881" s="1"/>
      <c r="C2881" s="1" t="s">
        <v>3987</v>
      </c>
      <c r="D2881" s="1">
        <v>135209</v>
      </c>
      <c r="E2881" s="1">
        <v>845</v>
      </c>
      <c r="F2881" s="1" t="s">
        <v>4029</v>
      </c>
      <c r="G2881" s="1" t="s">
        <v>3995</v>
      </c>
      <c r="H2881" s="1" t="s">
        <v>141</v>
      </c>
      <c r="I2881" s="1" t="s">
        <v>66</v>
      </c>
      <c r="J2881" s="1">
        <v>4</v>
      </c>
      <c r="K2881" s="1" t="s">
        <v>142</v>
      </c>
      <c r="L2881" s="1" t="s">
        <v>153</v>
      </c>
      <c r="M2881" s="1" t="s">
        <v>28</v>
      </c>
      <c r="N2881" s="1" t="str">
        <f>HYPERLINK("https://klocwork.india.ti.com:443/review/insight-review.html#issuedetails_goto:problemid=135209,project=MCU_PLUS_SDK_AM263X,searchquery=taxonomy:'C and C++' build:Build_Apr_13_2023_11_11_AM grouping:off ","KW Issue Link")</f>
        <v>KW Issue Link</v>
      </c>
      <c r="O2881" s="1" t="s">
        <v>1083</v>
      </c>
    </row>
    <row r="2882" spans="1:15" ht="75" x14ac:dyDescent="0.25">
      <c r="A2882" s="1" t="s">
        <v>997</v>
      </c>
      <c r="B2882" s="1"/>
      <c r="C2882" s="1" t="s">
        <v>3987</v>
      </c>
      <c r="D2882" s="1">
        <v>135210</v>
      </c>
      <c r="E2882" s="1">
        <v>1380</v>
      </c>
      <c r="F2882" s="1" t="s">
        <v>4029</v>
      </c>
      <c r="G2882" s="1" t="s">
        <v>4003</v>
      </c>
      <c r="H2882" s="1" t="s">
        <v>141</v>
      </c>
      <c r="I2882" s="1" t="s">
        <v>66</v>
      </c>
      <c r="J2882" s="1">
        <v>4</v>
      </c>
      <c r="K2882" s="1" t="s">
        <v>142</v>
      </c>
      <c r="L2882" s="1" t="s">
        <v>153</v>
      </c>
      <c r="M2882" s="1" t="s">
        <v>28</v>
      </c>
      <c r="N2882" s="1" t="str">
        <f>HYPERLINK("https://klocwork.india.ti.com:443/review/insight-review.html#issuedetails_goto:problemid=135210,project=MCU_PLUS_SDK_AM263X,searchquery=taxonomy:'C and C++' build:Build_Apr_13_2023_11_11_AM grouping:off ","KW Issue Link")</f>
        <v>KW Issue Link</v>
      </c>
      <c r="O2882" s="1" t="s">
        <v>1083</v>
      </c>
    </row>
    <row r="2883" spans="1:15" ht="75" x14ac:dyDescent="0.25">
      <c r="A2883" s="1" t="s">
        <v>997</v>
      </c>
      <c r="B2883" s="1"/>
      <c r="C2883" s="1" t="s">
        <v>3987</v>
      </c>
      <c r="D2883" s="1">
        <v>135211</v>
      </c>
      <c r="E2883" s="1">
        <v>1409</v>
      </c>
      <c r="F2883" s="1" t="s">
        <v>4029</v>
      </c>
      <c r="G2883" s="1" t="s">
        <v>4003</v>
      </c>
      <c r="H2883" s="1" t="s">
        <v>141</v>
      </c>
      <c r="I2883" s="1" t="s">
        <v>66</v>
      </c>
      <c r="J2883" s="1">
        <v>4</v>
      </c>
      <c r="K2883" s="1" t="s">
        <v>142</v>
      </c>
      <c r="L2883" s="1" t="s">
        <v>153</v>
      </c>
      <c r="M2883" s="1" t="s">
        <v>28</v>
      </c>
      <c r="N2883" s="1" t="str">
        <f>HYPERLINK("https://klocwork.india.ti.com:443/review/insight-review.html#issuedetails_goto:problemid=135211,project=MCU_PLUS_SDK_AM263X,searchquery=taxonomy:'C and C++' build:Build_Apr_13_2023_11_11_AM grouping:off ","KW Issue Link")</f>
        <v>KW Issue Link</v>
      </c>
      <c r="O2883" s="1" t="s">
        <v>1083</v>
      </c>
    </row>
    <row r="2884" spans="1:15" ht="75" x14ac:dyDescent="0.25">
      <c r="A2884" s="1" t="s">
        <v>997</v>
      </c>
      <c r="B2884" s="1"/>
      <c r="C2884" s="1" t="s">
        <v>3987</v>
      </c>
      <c r="D2884" s="1">
        <v>135212</v>
      </c>
      <c r="E2884" s="1">
        <v>1429</v>
      </c>
      <c r="F2884" s="1" t="s">
        <v>4029</v>
      </c>
      <c r="G2884" s="1" t="s">
        <v>4003</v>
      </c>
      <c r="H2884" s="1" t="s">
        <v>141</v>
      </c>
      <c r="I2884" s="1" t="s">
        <v>66</v>
      </c>
      <c r="J2884" s="1">
        <v>4</v>
      </c>
      <c r="K2884" s="1" t="s">
        <v>142</v>
      </c>
      <c r="L2884" s="1" t="s">
        <v>153</v>
      </c>
      <c r="M2884" s="1" t="s">
        <v>28</v>
      </c>
      <c r="N2884" s="1" t="str">
        <f>HYPERLINK("https://klocwork.india.ti.com:443/review/insight-review.html#issuedetails_goto:problemid=135212,project=MCU_PLUS_SDK_AM263X,searchquery=taxonomy:'C and C++' build:Build_Apr_13_2023_11_11_AM grouping:off ","KW Issue Link")</f>
        <v>KW Issue Link</v>
      </c>
      <c r="O2884" s="1" t="s">
        <v>1083</v>
      </c>
    </row>
    <row r="2885" spans="1:15" ht="75" x14ac:dyDescent="0.25">
      <c r="A2885" s="1" t="s">
        <v>997</v>
      </c>
      <c r="B2885" s="1"/>
      <c r="C2885" s="1" t="s">
        <v>3987</v>
      </c>
      <c r="D2885" s="1">
        <v>135213</v>
      </c>
      <c r="E2885" s="1">
        <v>1442</v>
      </c>
      <c r="F2885" s="1" t="s">
        <v>4029</v>
      </c>
      <c r="G2885" s="1" t="s">
        <v>4003</v>
      </c>
      <c r="H2885" s="1" t="s">
        <v>141</v>
      </c>
      <c r="I2885" s="1" t="s">
        <v>66</v>
      </c>
      <c r="J2885" s="1">
        <v>4</v>
      </c>
      <c r="K2885" s="1" t="s">
        <v>142</v>
      </c>
      <c r="L2885" s="1" t="s">
        <v>153</v>
      </c>
      <c r="M2885" s="1" t="s">
        <v>28</v>
      </c>
      <c r="N2885" s="1" t="str">
        <f>HYPERLINK("https://klocwork.india.ti.com:443/review/insight-review.html#issuedetails_goto:problemid=135213,project=MCU_PLUS_SDK_AM263X,searchquery=taxonomy:'C and C++' build:Build_Apr_13_2023_11_11_AM grouping:off ","KW Issue Link")</f>
        <v>KW Issue Link</v>
      </c>
      <c r="O2885" s="1" t="s">
        <v>1083</v>
      </c>
    </row>
    <row r="2886" spans="1:15" ht="75" x14ac:dyDescent="0.25">
      <c r="A2886" s="1" t="s">
        <v>1266</v>
      </c>
      <c r="B2886" s="1"/>
      <c r="C2886" s="1" t="s">
        <v>4030</v>
      </c>
      <c r="D2886" s="1">
        <v>135600</v>
      </c>
      <c r="E2886" s="1">
        <v>169</v>
      </c>
      <c r="F2886" s="1" t="s">
        <v>4031</v>
      </c>
      <c r="G2886" s="1" t="s">
        <v>4032</v>
      </c>
      <c r="H2886" s="1" t="s">
        <v>141</v>
      </c>
      <c r="I2886" s="1" t="s">
        <v>65</v>
      </c>
      <c r="J2886" s="1">
        <v>3</v>
      </c>
      <c r="K2886" s="1" t="s">
        <v>142</v>
      </c>
      <c r="L2886" s="1" t="s">
        <v>153</v>
      </c>
      <c r="M2886" s="1" t="s">
        <v>1256</v>
      </c>
      <c r="N2886" s="1" t="str">
        <f>HYPERLINK("https://klocwork.india.ti.com:443/review/insight-review.html#issuedetails_goto:problemid=135600,project=MCU_PLUS_SDK_AM263X,searchquery=taxonomy:'C and C++' build:Build_Apr_13_2023_11_11_AM grouping:off ","KW Issue Link")</f>
        <v>KW Issue Link</v>
      </c>
      <c r="O2886" s="1" t="s">
        <v>1083</v>
      </c>
    </row>
    <row r="2887" spans="1:15" ht="75" x14ac:dyDescent="0.25">
      <c r="A2887" s="1" t="s">
        <v>1266</v>
      </c>
      <c r="B2887" s="1"/>
      <c r="C2887" s="1" t="s">
        <v>4030</v>
      </c>
      <c r="D2887" s="1">
        <v>135601</v>
      </c>
      <c r="E2887" s="1">
        <v>217</v>
      </c>
      <c r="F2887" s="1" t="s">
        <v>4033</v>
      </c>
      <c r="G2887" s="1" t="s">
        <v>4034</v>
      </c>
      <c r="H2887" s="1" t="s">
        <v>141</v>
      </c>
      <c r="I2887" s="1" t="s">
        <v>65</v>
      </c>
      <c r="J2887" s="1">
        <v>3</v>
      </c>
      <c r="K2887" s="1" t="s">
        <v>142</v>
      </c>
      <c r="L2887" s="1" t="s">
        <v>153</v>
      </c>
      <c r="M2887" s="1" t="s">
        <v>1256</v>
      </c>
      <c r="N2887" s="1" t="str">
        <f>HYPERLINK("https://klocwork.india.ti.com:443/review/insight-review.html#issuedetails_goto:problemid=135601,project=MCU_PLUS_SDK_AM263X,searchquery=taxonomy:'C and C++' build:Build_Apr_13_2023_11_11_AM grouping:off ","KW Issue Link")</f>
        <v>KW Issue Link</v>
      </c>
      <c r="O2887" s="1" t="s">
        <v>1083</v>
      </c>
    </row>
    <row r="2888" spans="1:15" ht="75" x14ac:dyDescent="0.25">
      <c r="A2888" s="1" t="s">
        <v>1268</v>
      </c>
      <c r="B2888" s="1"/>
      <c r="C2888" s="1" t="s">
        <v>4030</v>
      </c>
      <c r="D2888" s="1">
        <v>135602</v>
      </c>
      <c r="E2888" s="1">
        <v>169</v>
      </c>
      <c r="F2888" s="1" t="s">
        <v>4035</v>
      </c>
      <c r="G2888" s="1" t="s">
        <v>4032</v>
      </c>
      <c r="H2888" s="1" t="s">
        <v>141</v>
      </c>
      <c r="I2888" s="1" t="s">
        <v>65</v>
      </c>
      <c r="J2888" s="1">
        <v>3</v>
      </c>
      <c r="K2888" s="1" t="s">
        <v>142</v>
      </c>
      <c r="L2888" s="1" t="s">
        <v>153</v>
      </c>
      <c r="M2888" s="1" t="s">
        <v>1256</v>
      </c>
      <c r="N2888" s="1" t="str">
        <f>HYPERLINK("https://klocwork.india.ti.com:443/review/insight-review.html#issuedetails_goto:problemid=135602,project=MCU_PLUS_SDK_AM263X,searchquery=taxonomy:'C and C++' build:Build_Apr_13_2023_11_11_AM grouping:off ","KW Issue Link")</f>
        <v>KW Issue Link</v>
      </c>
      <c r="O2888" s="1" t="s">
        <v>1083</v>
      </c>
    </row>
    <row r="2889" spans="1:15" ht="75" x14ac:dyDescent="0.25">
      <c r="A2889" s="1" t="s">
        <v>1268</v>
      </c>
      <c r="B2889" s="1"/>
      <c r="C2889" s="1" t="s">
        <v>4030</v>
      </c>
      <c r="D2889" s="1">
        <v>135603</v>
      </c>
      <c r="E2889" s="1">
        <v>217</v>
      </c>
      <c r="F2889" s="1" t="s">
        <v>4036</v>
      </c>
      <c r="G2889" s="1" t="s">
        <v>4034</v>
      </c>
      <c r="H2889" s="1" t="s">
        <v>141</v>
      </c>
      <c r="I2889" s="1" t="s">
        <v>65</v>
      </c>
      <c r="J2889" s="1">
        <v>3</v>
      </c>
      <c r="K2889" s="1" t="s">
        <v>142</v>
      </c>
      <c r="L2889" s="1" t="s">
        <v>153</v>
      </c>
      <c r="M2889" s="1" t="s">
        <v>1256</v>
      </c>
      <c r="N2889" s="1" t="str">
        <f>HYPERLINK("https://klocwork.india.ti.com:443/review/insight-review.html#issuedetails_goto:problemid=135603,project=MCU_PLUS_SDK_AM263X,searchquery=taxonomy:'C and C++' build:Build_Apr_13_2023_11_11_AM grouping:off ","KW Issue Link")</f>
        <v>KW Issue Link</v>
      </c>
      <c r="O2889" s="1" t="s">
        <v>1083</v>
      </c>
    </row>
    <row r="2890" spans="1:15" ht="75" x14ac:dyDescent="0.25">
      <c r="A2890" s="1" t="s">
        <v>1257</v>
      </c>
      <c r="B2890" s="1"/>
      <c r="C2890" s="1" t="s">
        <v>4030</v>
      </c>
      <c r="D2890" s="1">
        <v>135606</v>
      </c>
      <c r="E2890" s="1">
        <v>217</v>
      </c>
      <c r="F2890" s="1" t="s">
        <v>4037</v>
      </c>
      <c r="G2890" s="1" t="s">
        <v>4034</v>
      </c>
      <c r="H2890" s="1" t="s">
        <v>141</v>
      </c>
      <c r="I2890" s="1" t="s">
        <v>65</v>
      </c>
      <c r="J2890" s="1">
        <v>3</v>
      </c>
      <c r="K2890" s="1" t="s">
        <v>142</v>
      </c>
      <c r="L2890" s="1" t="s">
        <v>153</v>
      </c>
      <c r="M2890" s="1" t="s">
        <v>1256</v>
      </c>
      <c r="N2890" s="1" t="str">
        <f>HYPERLINK("https://klocwork.india.ti.com:443/review/insight-review.html#issuedetails_goto:problemid=135606,project=MCU_PLUS_SDK_AM263X,searchquery=taxonomy:'C and C++' build:Build_Apr_13_2023_11_11_AM grouping:off ","KW Issue Link")</f>
        <v>KW Issue Link</v>
      </c>
      <c r="O2890" s="1" t="s">
        <v>1083</v>
      </c>
    </row>
    <row r="2891" spans="1:15" ht="75" x14ac:dyDescent="0.25">
      <c r="A2891" s="1" t="s">
        <v>1252</v>
      </c>
      <c r="B2891" s="1"/>
      <c r="C2891" s="1" t="s">
        <v>4038</v>
      </c>
      <c r="D2891" s="1">
        <v>135878</v>
      </c>
      <c r="E2891" s="1">
        <v>90</v>
      </c>
      <c r="F2891" s="1" t="s">
        <v>4039</v>
      </c>
      <c r="G2891" s="1" t="s">
        <v>4040</v>
      </c>
      <c r="H2891" s="1" t="s">
        <v>141</v>
      </c>
      <c r="I2891" s="1" t="s">
        <v>65</v>
      </c>
      <c r="J2891" s="1">
        <v>3</v>
      </c>
      <c r="K2891" s="1" t="s">
        <v>142</v>
      </c>
      <c r="L2891" s="1" t="s">
        <v>153</v>
      </c>
      <c r="M2891" s="1" t="s">
        <v>1256</v>
      </c>
      <c r="N2891" s="1" t="str">
        <f>HYPERLINK("https://klocwork.india.ti.com:443/review/insight-review.html#issuedetails_goto:problemid=135878,project=MCU_PLUS_SDK_AM263X,searchquery=taxonomy:'C and C++' build:Build_Apr_13_2023_11_11_AM grouping:off ","KW Issue Link")</f>
        <v>KW Issue Link</v>
      </c>
      <c r="O2891" s="1" t="s">
        <v>1083</v>
      </c>
    </row>
    <row r="2892" spans="1:15" ht="75" x14ac:dyDescent="0.25">
      <c r="A2892" s="1" t="s">
        <v>1252</v>
      </c>
      <c r="B2892" s="1"/>
      <c r="C2892" s="1" t="s">
        <v>4038</v>
      </c>
      <c r="D2892" s="1">
        <v>135879</v>
      </c>
      <c r="E2892" s="1">
        <v>112</v>
      </c>
      <c r="F2892" s="1" t="s">
        <v>4041</v>
      </c>
      <c r="G2892" s="1" t="s">
        <v>4042</v>
      </c>
      <c r="H2892" s="1" t="s">
        <v>141</v>
      </c>
      <c r="I2892" s="1" t="s">
        <v>65</v>
      </c>
      <c r="J2892" s="1">
        <v>3</v>
      </c>
      <c r="K2892" s="1" t="s">
        <v>142</v>
      </c>
      <c r="L2892" s="1" t="s">
        <v>153</v>
      </c>
      <c r="M2892" s="1" t="s">
        <v>1256</v>
      </c>
      <c r="N2892" s="1" t="str">
        <f>HYPERLINK("https://klocwork.india.ti.com:443/review/insight-review.html#issuedetails_goto:problemid=135879,project=MCU_PLUS_SDK_AM263X,searchquery=taxonomy:'C and C++' build:Build_Apr_13_2023_11_11_AM grouping:off ","KW Issue Link")</f>
        <v>KW Issue Link</v>
      </c>
      <c r="O2892" s="1" t="s">
        <v>1083</v>
      </c>
    </row>
    <row r="2893" spans="1:15" ht="75" x14ac:dyDescent="0.25">
      <c r="A2893" s="1" t="s">
        <v>1252</v>
      </c>
      <c r="B2893" s="1"/>
      <c r="C2893" s="1" t="s">
        <v>4038</v>
      </c>
      <c r="D2893" s="1">
        <v>135880</v>
      </c>
      <c r="E2893" s="1">
        <v>331</v>
      </c>
      <c r="F2893" s="1" t="s">
        <v>4043</v>
      </c>
      <c r="G2893" s="1" t="s">
        <v>4044</v>
      </c>
      <c r="H2893" s="1" t="s">
        <v>141</v>
      </c>
      <c r="I2893" s="1" t="s">
        <v>65</v>
      </c>
      <c r="J2893" s="1">
        <v>3</v>
      </c>
      <c r="K2893" s="1" t="s">
        <v>142</v>
      </c>
      <c r="L2893" s="1" t="s">
        <v>153</v>
      </c>
      <c r="M2893" s="1" t="s">
        <v>1256</v>
      </c>
      <c r="N2893" s="1" t="str">
        <f>HYPERLINK("https://klocwork.india.ti.com:443/review/insight-review.html#issuedetails_goto:problemid=135880,project=MCU_PLUS_SDK_AM263X,searchquery=taxonomy:'C and C++' build:Build_Apr_13_2023_11_11_AM grouping:off ","KW Issue Link")</f>
        <v>KW Issue Link</v>
      </c>
      <c r="O2893" s="1" t="s">
        <v>1083</v>
      </c>
    </row>
    <row r="2894" spans="1:15" ht="75" x14ac:dyDescent="0.25">
      <c r="A2894" s="1" t="s">
        <v>1252</v>
      </c>
      <c r="B2894" s="1"/>
      <c r="C2894" s="1" t="s">
        <v>4038</v>
      </c>
      <c r="D2894" s="1">
        <v>135881</v>
      </c>
      <c r="E2894" s="1">
        <v>377</v>
      </c>
      <c r="F2894" s="1" t="s">
        <v>4045</v>
      </c>
      <c r="G2894" s="1" t="s">
        <v>4046</v>
      </c>
      <c r="H2894" s="1" t="s">
        <v>141</v>
      </c>
      <c r="I2894" s="1" t="s">
        <v>65</v>
      </c>
      <c r="J2894" s="1">
        <v>3</v>
      </c>
      <c r="K2894" s="1" t="s">
        <v>142</v>
      </c>
      <c r="L2894" s="1" t="s">
        <v>153</v>
      </c>
      <c r="M2894" s="1" t="s">
        <v>1256</v>
      </c>
      <c r="N2894" s="1" t="str">
        <f>HYPERLINK("https://klocwork.india.ti.com:443/review/insight-review.html#issuedetails_goto:problemid=135881,project=MCU_PLUS_SDK_AM263X,searchquery=taxonomy:'C and C++' build:Build_Apr_13_2023_11_11_AM grouping:off ","KW Issue Link")</f>
        <v>KW Issue Link</v>
      </c>
      <c r="O2894" s="1" t="s">
        <v>1083</v>
      </c>
    </row>
    <row r="2895" spans="1:15" ht="75" x14ac:dyDescent="0.25">
      <c r="A2895" s="1" t="s">
        <v>1252</v>
      </c>
      <c r="B2895" s="1"/>
      <c r="C2895" s="1" t="s">
        <v>4038</v>
      </c>
      <c r="D2895" s="1">
        <v>135882</v>
      </c>
      <c r="E2895" s="1">
        <v>1069</v>
      </c>
      <c r="F2895" s="1" t="s">
        <v>4047</v>
      </c>
      <c r="G2895" s="1" t="s">
        <v>4048</v>
      </c>
      <c r="H2895" s="1" t="s">
        <v>141</v>
      </c>
      <c r="I2895" s="1" t="s">
        <v>65</v>
      </c>
      <c r="J2895" s="1">
        <v>3</v>
      </c>
      <c r="K2895" s="1" t="s">
        <v>142</v>
      </c>
      <c r="L2895" s="1" t="s">
        <v>153</v>
      </c>
      <c r="M2895" s="1" t="s">
        <v>1256</v>
      </c>
      <c r="N2895" s="1" t="str">
        <f>HYPERLINK("https://klocwork.india.ti.com:443/review/insight-review.html#issuedetails_goto:problemid=135882,project=MCU_PLUS_SDK_AM263X,searchquery=taxonomy:'C and C++' build:Build_Apr_13_2023_11_11_AM grouping:off ","KW Issue Link")</f>
        <v>KW Issue Link</v>
      </c>
      <c r="O2895" s="1" t="s">
        <v>1083</v>
      </c>
    </row>
    <row r="2896" spans="1:15" ht="75" x14ac:dyDescent="0.25">
      <c r="A2896" s="1" t="s">
        <v>1252</v>
      </c>
      <c r="B2896" s="1"/>
      <c r="C2896" s="1" t="s">
        <v>4038</v>
      </c>
      <c r="D2896" s="1">
        <v>135883</v>
      </c>
      <c r="E2896" s="1">
        <v>1150</v>
      </c>
      <c r="F2896" s="1" t="s">
        <v>4049</v>
      </c>
      <c r="G2896" s="1" t="s">
        <v>4050</v>
      </c>
      <c r="H2896" s="1" t="s">
        <v>141</v>
      </c>
      <c r="I2896" s="1" t="s">
        <v>65</v>
      </c>
      <c r="J2896" s="1">
        <v>3</v>
      </c>
      <c r="K2896" s="1" t="s">
        <v>142</v>
      </c>
      <c r="L2896" s="1" t="s">
        <v>153</v>
      </c>
      <c r="M2896" s="1" t="s">
        <v>1256</v>
      </c>
      <c r="N2896" s="1" t="str">
        <f>HYPERLINK("https://klocwork.india.ti.com:443/review/insight-review.html#issuedetails_goto:problemid=135883,project=MCU_PLUS_SDK_AM263X,searchquery=taxonomy:'C and C++' build:Build_Apr_13_2023_11_11_AM grouping:off ","KW Issue Link")</f>
        <v>KW Issue Link</v>
      </c>
      <c r="O2896" s="1" t="s">
        <v>1083</v>
      </c>
    </row>
    <row r="2897" spans="1:15" ht="75" x14ac:dyDescent="0.25">
      <c r="A2897" s="1" t="s">
        <v>1252</v>
      </c>
      <c r="B2897" s="1"/>
      <c r="C2897" s="1" t="s">
        <v>4038</v>
      </c>
      <c r="D2897" s="1">
        <v>135884</v>
      </c>
      <c r="E2897" s="1">
        <v>1216</v>
      </c>
      <c r="F2897" s="1" t="s">
        <v>4051</v>
      </c>
      <c r="G2897" s="1" t="s">
        <v>4052</v>
      </c>
      <c r="H2897" s="1" t="s">
        <v>141</v>
      </c>
      <c r="I2897" s="1" t="s">
        <v>65</v>
      </c>
      <c r="J2897" s="1">
        <v>3</v>
      </c>
      <c r="K2897" s="1" t="s">
        <v>142</v>
      </c>
      <c r="L2897" s="1" t="s">
        <v>153</v>
      </c>
      <c r="M2897" s="1" t="s">
        <v>1256</v>
      </c>
      <c r="N2897" s="1" t="str">
        <f>HYPERLINK("https://klocwork.india.ti.com:443/review/insight-review.html#issuedetails_goto:problemid=135884,project=MCU_PLUS_SDK_AM263X,searchquery=taxonomy:'C and C++' build:Build_Apr_13_2023_11_11_AM grouping:off ","KW Issue Link")</f>
        <v>KW Issue Link</v>
      </c>
      <c r="O2897" s="1" t="s">
        <v>1083</v>
      </c>
    </row>
    <row r="2898" spans="1:15" ht="75" x14ac:dyDescent="0.25">
      <c r="A2898" s="1" t="s">
        <v>1252</v>
      </c>
      <c r="B2898" s="1"/>
      <c r="C2898" s="1" t="s">
        <v>4038</v>
      </c>
      <c r="D2898" s="1">
        <v>135885</v>
      </c>
      <c r="E2898" s="1">
        <v>1246</v>
      </c>
      <c r="F2898" s="1" t="s">
        <v>4053</v>
      </c>
      <c r="G2898" s="1" t="s">
        <v>4054</v>
      </c>
      <c r="H2898" s="1" t="s">
        <v>141</v>
      </c>
      <c r="I2898" s="1" t="s">
        <v>65</v>
      </c>
      <c r="J2898" s="1">
        <v>3</v>
      </c>
      <c r="K2898" s="1" t="s">
        <v>142</v>
      </c>
      <c r="L2898" s="1" t="s">
        <v>153</v>
      </c>
      <c r="M2898" s="1" t="s">
        <v>1256</v>
      </c>
      <c r="N2898" s="1" t="str">
        <f>HYPERLINK("https://klocwork.india.ti.com:443/review/insight-review.html#issuedetails_goto:problemid=135885,project=MCU_PLUS_SDK_AM263X,searchquery=taxonomy:'C and C++' build:Build_Apr_13_2023_11_11_AM grouping:off ","KW Issue Link")</f>
        <v>KW Issue Link</v>
      </c>
      <c r="O2898" s="1" t="s">
        <v>1083</v>
      </c>
    </row>
    <row r="2899" spans="1:15" ht="75" x14ac:dyDescent="0.25">
      <c r="A2899" s="1" t="s">
        <v>1252</v>
      </c>
      <c r="B2899" s="1"/>
      <c r="C2899" s="1" t="s">
        <v>4038</v>
      </c>
      <c r="D2899" s="1">
        <v>135886</v>
      </c>
      <c r="E2899" s="1">
        <v>1384</v>
      </c>
      <c r="F2899" s="1" t="s">
        <v>4055</v>
      </c>
      <c r="G2899" s="1" t="s">
        <v>4056</v>
      </c>
      <c r="H2899" s="1" t="s">
        <v>141</v>
      </c>
      <c r="I2899" s="1" t="s">
        <v>65</v>
      </c>
      <c r="J2899" s="1">
        <v>3</v>
      </c>
      <c r="K2899" s="1" t="s">
        <v>142</v>
      </c>
      <c r="L2899" s="1" t="s">
        <v>153</v>
      </c>
      <c r="M2899" s="1" t="s">
        <v>1256</v>
      </c>
      <c r="N2899" s="1" t="str">
        <f>HYPERLINK("https://klocwork.india.ti.com:443/review/insight-review.html#issuedetails_goto:problemid=135886,project=MCU_PLUS_SDK_AM263X,searchquery=taxonomy:'C and C++' build:Build_Apr_13_2023_11_11_AM grouping:off ","KW Issue Link")</f>
        <v>KW Issue Link</v>
      </c>
      <c r="O2899" s="1" t="s">
        <v>1083</v>
      </c>
    </row>
    <row r="2900" spans="1:15" ht="75" x14ac:dyDescent="0.25">
      <c r="A2900" s="1" t="s">
        <v>1252</v>
      </c>
      <c r="B2900" s="1"/>
      <c r="C2900" s="1" t="s">
        <v>4038</v>
      </c>
      <c r="D2900" s="1">
        <v>135887</v>
      </c>
      <c r="E2900" s="1">
        <v>1480</v>
      </c>
      <c r="F2900" s="1" t="s">
        <v>4057</v>
      </c>
      <c r="G2900" s="1" t="s">
        <v>4058</v>
      </c>
      <c r="H2900" s="1" t="s">
        <v>141</v>
      </c>
      <c r="I2900" s="1" t="s">
        <v>65</v>
      </c>
      <c r="J2900" s="1">
        <v>3</v>
      </c>
      <c r="K2900" s="1" t="s">
        <v>142</v>
      </c>
      <c r="L2900" s="1" t="s">
        <v>153</v>
      </c>
      <c r="M2900" s="1" t="s">
        <v>1256</v>
      </c>
      <c r="N2900" s="1" t="str">
        <f>HYPERLINK("https://klocwork.india.ti.com:443/review/insight-review.html#issuedetails_goto:problemid=135887,project=MCU_PLUS_SDK_AM263X,searchquery=taxonomy:'C and C++' build:Build_Apr_13_2023_11_11_AM grouping:off ","KW Issue Link")</f>
        <v>KW Issue Link</v>
      </c>
      <c r="O2900" s="1" t="s">
        <v>1083</v>
      </c>
    </row>
    <row r="2901" spans="1:15" ht="75" x14ac:dyDescent="0.25">
      <c r="A2901" s="1" t="s">
        <v>1252</v>
      </c>
      <c r="B2901" s="1"/>
      <c r="C2901" s="1" t="s">
        <v>4038</v>
      </c>
      <c r="D2901" s="1">
        <v>135888</v>
      </c>
      <c r="E2901" s="1">
        <v>1512</v>
      </c>
      <c r="F2901" s="1" t="s">
        <v>4059</v>
      </c>
      <c r="G2901" s="1" t="s">
        <v>4060</v>
      </c>
      <c r="H2901" s="1" t="s">
        <v>141</v>
      </c>
      <c r="I2901" s="1" t="s">
        <v>65</v>
      </c>
      <c r="J2901" s="1">
        <v>3</v>
      </c>
      <c r="K2901" s="1" t="s">
        <v>142</v>
      </c>
      <c r="L2901" s="1" t="s">
        <v>153</v>
      </c>
      <c r="M2901" s="1" t="s">
        <v>1256</v>
      </c>
      <c r="N2901" s="1" t="str">
        <f>HYPERLINK("https://klocwork.india.ti.com:443/review/insight-review.html#issuedetails_goto:problemid=135888,project=MCU_PLUS_SDK_AM263X,searchquery=taxonomy:'C and C++' build:Build_Apr_13_2023_11_11_AM grouping:off ","KW Issue Link")</f>
        <v>KW Issue Link</v>
      </c>
      <c r="O2901" s="1" t="s">
        <v>1083</v>
      </c>
    </row>
    <row r="2902" spans="1:15" ht="75" x14ac:dyDescent="0.25">
      <c r="A2902" s="1" t="s">
        <v>1252</v>
      </c>
      <c r="B2902" s="1"/>
      <c r="C2902" s="1" t="s">
        <v>4038</v>
      </c>
      <c r="D2902" s="1">
        <v>135889</v>
      </c>
      <c r="E2902" s="1">
        <v>1754</v>
      </c>
      <c r="F2902" s="1" t="s">
        <v>4061</v>
      </c>
      <c r="G2902" s="1" t="s">
        <v>4062</v>
      </c>
      <c r="H2902" s="1" t="s">
        <v>141</v>
      </c>
      <c r="I2902" s="1" t="s">
        <v>65</v>
      </c>
      <c r="J2902" s="1">
        <v>3</v>
      </c>
      <c r="K2902" s="1" t="s">
        <v>142</v>
      </c>
      <c r="L2902" s="1" t="s">
        <v>153</v>
      </c>
      <c r="M2902" s="1" t="s">
        <v>1256</v>
      </c>
      <c r="N2902" s="1" t="str">
        <f>HYPERLINK("https://klocwork.india.ti.com:443/review/insight-review.html#issuedetails_goto:problemid=135889,project=MCU_PLUS_SDK_AM263X,searchquery=taxonomy:'C and C++' build:Build_Apr_13_2023_11_11_AM grouping:off ","KW Issue Link")</f>
        <v>KW Issue Link</v>
      </c>
      <c r="O2902" s="1" t="s">
        <v>1083</v>
      </c>
    </row>
    <row r="2903" spans="1:15" ht="75" x14ac:dyDescent="0.25">
      <c r="A2903" s="1" t="s">
        <v>1252</v>
      </c>
      <c r="B2903" s="1"/>
      <c r="C2903" s="1" t="s">
        <v>4038</v>
      </c>
      <c r="D2903" s="1">
        <v>135890</v>
      </c>
      <c r="E2903" s="1">
        <v>1826</v>
      </c>
      <c r="F2903" s="1" t="s">
        <v>4063</v>
      </c>
      <c r="G2903" s="1" t="s">
        <v>4064</v>
      </c>
      <c r="H2903" s="1" t="s">
        <v>141</v>
      </c>
      <c r="I2903" s="1" t="s">
        <v>65</v>
      </c>
      <c r="J2903" s="1">
        <v>3</v>
      </c>
      <c r="K2903" s="1" t="s">
        <v>142</v>
      </c>
      <c r="L2903" s="1" t="s">
        <v>153</v>
      </c>
      <c r="M2903" s="1" t="s">
        <v>1256</v>
      </c>
      <c r="N2903" s="1" t="str">
        <f>HYPERLINK("https://klocwork.india.ti.com:443/review/insight-review.html#issuedetails_goto:problemid=135890,project=MCU_PLUS_SDK_AM263X,searchquery=taxonomy:'C and C++' build:Build_Apr_13_2023_11_11_AM grouping:off ","KW Issue Link")</f>
        <v>KW Issue Link</v>
      </c>
      <c r="O2903" s="1" t="s">
        <v>1083</v>
      </c>
    </row>
    <row r="2904" spans="1:15" ht="75" x14ac:dyDescent="0.25">
      <c r="A2904" s="1" t="s">
        <v>1252</v>
      </c>
      <c r="B2904" s="1"/>
      <c r="C2904" s="1" t="s">
        <v>4038</v>
      </c>
      <c r="D2904" s="1">
        <v>135891</v>
      </c>
      <c r="E2904" s="1">
        <v>1858</v>
      </c>
      <c r="F2904" s="1" t="s">
        <v>4065</v>
      </c>
      <c r="G2904" s="1" t="s">
        <v>4066</v>
      </c>
      <c r="H2904" s="1" t="s">
        <v>141</v>
      </c>
      <c r="I2904" s="1" t="s">
        <v>65</v>
      </c>
      <c r="J2904" s="1">
        <v>3</v>
      </c>
      <c r="K2904" s="1" t="s">
        <v>142</v>
      </c>
      <c r="L2904" s="1" t="s">
        <v>153</v>
      </c>
      <c r="M2904" s="1" t="s">
        <v>1256</v>
      </c>
      <c r="N2904" s="1" t="str">
        <f>HYPERLINK("https://klocwork.india.ti.com:443/review/insight-review.html#issuedetails_goto:problemid=135891,project=MCU_PLUS_SDK_AM263X,searchquery=taxonomy:'C and C++' build:Build_Apr_13_2023_11_11_AM grouping:off ","KW Issue Link")</f>
        <v>KW Issue Link</v>
      </c>
      <c r="O2904" s="1" t="s">
        <v>1083</v>
      </c>
    </row>
    <row r="2905" spans="1:15" ht="75" x14ac:dyDescent="0.25">
      <c r="A2905" s="1" t="s">
        <v>1252</v>
      </c>
      <c r="B2905" s="1"/>
      <c r="C2905" s="1" t="s">
        <v>4038</v>
      </c>
      <c r="D2905" s="1">
        <v>135892</v>
      </c>
      <c r="E2905" s="1">
        <v>2000</v>
      </c>
      <c r="F2905" s="1" t="s">
        <v>4067</v>
      </c>
      <c r="G2905" s="1" t="s">
        <v>4068</v>
      </c>
      <c r="H2905" s="1" t="s">
        <v>141</v>
      </c>
      <c r="I2905" s="1" t="s">
        <v>65</v>
      </c>
      <c r="J2905" s="1">
        <v>3</v>
      </c>
      <c r="K2905" s="1" t="s">
        <v>142</v>
      </c>
      <c r="L2905" s="1" t="s">
        <v>153</v>
      </c>
      <c r="M2905" s="1" t="s">
        <v>1256</v>
      </c>
      <c r="N2905" s="1" t="str">
        <f>HYPERLINK("https://klocwork.india.ti.com:443/review/insight-review.html#issuedetails_goto:problemid=135892,project=MCU_PLUS_SDK_AM263X,searchquery=taxonomy:'C and C++' build:Build_Apr_13_2023_11_11_AM grouping:off ","KW Issue Link")</f>
        <v>KW Issue Link</v>
      </c>
      <c r="O2905" s="1" t="s">
        <v>1083</v>
      </c>
    </row>
    <row r="2906" spans="1:15" ht="75" x14ac:dyDescent="0.25">
      <c r="A2906" s="1" t="s">
        <v>1252</v>
      </c>
      <c r="B2906" s="1"/>
      <c r="C2906" s="1" t="s">
        <v>4038</v>
      </c>
      <c r="D2906" s="1">
        <v>135893</v>
      </c>
      <c r="E2906" s="1">
        <v>2025</v>
      </c>
      <c r="F2906" s="1" t="s">
        <v>4069</v>
      </c>
      <c r="G2906" s="1" t="s">
        <v>4070</v>
      </c>
      <c r="H2906" s="1" t="s">
        <v>141</v>
      </c>
      <c r="I2906" s="1" t="s">
        <v>65</v>
      </c>
      <c r="J2906" s="1">
        <v>3</v>
      </c>
      <c r="K2906" s="1" t="s">
        <v>142</v>
      </c>
      <c r="L2906" s="1" t="s">
        <v>153</v>
      </c>
      <c r="M2906" s="1" t="s">
        <v>1256</v>
      </c>
      <c r="N2906" s="1" t="str">
        <f>HYPERLINK("https://klocwork.india.ti.com:443/review/insight-review.html#issuedetails_goto:problemid=135893,project=MCU_PLUS_SDK_AM263X,searchquery=taxonomy:'C and C++' build:Build_Apr_13_2023_11_11_AM grouping:off ","KW Issue Link")</f>
        <v>KW Issue Link</v>
      </c>
      <c r="O2906" s="1" t="s">
        <v>1083</v>
      </c>
    </row>
    <row r="2907" spans="1:15" ht="75" x14ac:dyDescent="0.25">
      <c r="A2907" s="1" t="s">
        <v>1252</v>
      </c>
      <c r="B2907" s="1"/>
      <c r="C2907" s="1" t="s">
        <v>4038</v>
      </c>
      <c r="D2907" s="1">
        <v>135894</v>
      </c>
      <c r="E2907" s="1">
        <v>2098</v>
      </c>
      <c r="F2907" s="1" t="s">
        <v>4071</v>
      </c>
      <c r="G2907" s="1" t="s">
        <v>4072</v>
      </c>
      <c r="H2907" s="1" t="s">
        <v>141</v>
      </c>
      <c r="I2907" s="1" t="s">
        <v>65</v>
      </c>
      <c r="J2907" s="1">
        <v>3</v>
      </c>
      <c r="K2907" s="1" t="s">
        <v>142</v>
      </c>
      <c r="L2907" s="1" t="s">
        <v>153</v>
      </c>
      <c r="M2907" s="1" t="s">
        <v>1256</v>
      </c>
      <c r="N2907" s="1" t="str">
        <f>HYPERLINK("https://klocwork.india.ti.com:443/review/insight-review.html#issuedetails_goto:problemid=135894,project=MCU_PLUS_SDK_AM263X,searchquery=taxonomy:'C and C++' build:Build_Apr_13_2023_11_11_AM grouping:off ","KW Issue Link")</f>
        <v>KW Issue Link</v>
      </c>
      <c r="O2907" s="1" t="s">
        <v>1083</v>
      </c>
    </row>
    <row r="2908" spans="1:15" ht="75" x14ac:dyDescent="0.25">
      <c r="A2908" s="1" t="s">
        <v>1266</v>
      </c>
      <c r="B2908" s="1"/>
      <c r="C2908" s="1" t="s">
        <v>4038</v>
      </c>
      <c r="D2908" s="1">
        <v>136459</v>
      </c>
      <c r="E2908" s="1">
        <v>112</v>
      </c>
      <c r="F2908" s="1" t="s">
        <v>4073</v>
      </c>
      <c r="G2908" s="1" t="s">
        <v>4042</v>
      </c>
      <c r="H2908" s="1" t="s">
        <v>141</v>
      </c>
      <c r="I2908" s="1" t="s">
        <v>65</v>
      </c>
      <c r="J2908" s="1">
        <v>3</v>
      </c>
      <c r="K2908" s="1" t="s">
        <v>142</v>
      </c>
      <c r="L2908" s="1" t="s">
        <v>153</v>
      </c>
      <c r="M2908" s="1" t="s">
        <v>1256</v>
      </c>
      <c r="N2908" s="1" t="str">
        <f>HYPERLINK("https://klocwork.india.ti.com:443/review/insight-review.html#issuedetails_goto:problemid=136459,project=MCU_PLUS_SDK_AM263X,searchquery=taxonomy:'C and C++' build:Build_Apr_13_2023_11_11_AM grouping:off ","KW Issue Link")</f>
        <v>KW Issue Link</v>
      </c>
      <c r="O2908" s="1" t="s">
        <v>1083</v>
      </c>
    </row>
    <row r="2909" spans="1:15" ht="75" x14ac:dyDescent="0.25">
      <c r="A2909" s="1" t="s">
        <v>1266</v>
      </c>
      <c r="B2909" s="1"/>
      <c r="C2909" s="1" t="s">
        <v>4038</v>
      </c>
      <c r="D2909" s="1">
        <v>136460</v>
      </c>
      <c r="E2909" s="1">
        <v>331</v>
      </c>
      <c r="F2909" s="1" t="s">
        <v>4074</v>
      </c>
      <c r="G2909" s="1" t="s">
        <v>4044</v>
      </c>
      <c r="H2909" s="1" t="s">
        <v>141</v>
      </c>
      <c r="I2909" s="1" t="s">
        <v>65</v>
      </c>
      <c r="J2909" s="1">
        <v>3</v>
      </c>
      <c r="K2909" s="1" t="s">
        <v>142</v>
      </c>
      <c r="L2909" s="1" t="s">
        <v>153</v>
      </c>
      <c r="M2909" s="1" t="s">
        <v>1256</v>
      </c>
      <c r="N2909" s="1" t="str">
        <f>HYPERLINK("https://klocwork.india.ti.com:443/review/insight-review.html#issuedetails_goto:problemid=136460,project=MCU_PLUS_SDK_AM263X,searchquery=taxonomy:'C and C++' build:Build_Apr_13_2023_11_11_AM grouping:off ","KW Issue Link")</f>
        <v>KW Issue Link</v>
      </c>
      <c r="O2909" s="1" t="s">
        <v>1083</v>
      </c>
    </row>
    <row r="2910" spans="1:15" ht="75" x14ac:dyDescent="0.25">
      <c r="A2910" s="1" t="s">
        <v>1266</v>
      </c>
      <c r="B2910" s="1"/>
      <c r="C2910" s="1" t="s">
        <v>4038</v>
      </c>
      <c r="D2910" s="1">
        <v>136461</v>
      </c>
      <c r="E2910" s="1">
        <v>498</v>
      </c>
      <c r="F2910" s="1" t="s">
        <v>4075</v>
      </c>
      <c r="G2910" s="1" t="s">
        <v>4076</v>
      </c>
      <c r="H2910" s="1" t="s">
        <v>141</v>
      </c>
      <c r="I2910" s="1" t="s">
        <v>65</v>
      </c>
      <c r="J2910" s="1">
        <v>3</v>
      </c>
      <c r="K2910" s="1" t="s">
        <v>142</v>
      </c>
      <c r="L2910" s="1" t="s">
        <v>153</v>
      </c>
      <c r="M2910" s="1" t="s">
        <v>1256</v>
      </c>
      <c r="N2910" s="1" t="str">
        <f>HYPERLINK("https://klocwork.india.ti.com:443/review/insight-review.html#issuedetails_goto:problemid=136461,project=MCU_PLUS_SDK_AM263X,searchquery=taxonomy:'C and C++' build:Build_Apr_13_2023_11_11_AM grouping:off ","KW Issue Link")</f>
        <v>KW Issue Link</v>
      </c>
      <c r="O2910" s="1" t="s">
        <v>1083</v>
      </c>
    </row>
    <row r="2911" spans="1:15" ht="75" x14ac:dyDescent="0.25">
      <c r="A2911" s="1" t="s">
        <v>1266</v>
      </c>
      <c r="B2911" s="1"/>
      <c r="C2911" s="1" t="s">
        <v>4038</v>
      </c>
      <c r="D2911" s="1">
        <v>136462</v>
      </c>
      <c r="E2911" s="1">
        <v>726</v>
      </c>
      <c r="F2911" s="1" t="s">
        <v>4077</v>
      </c>
      <c r="G2911" s="1" t="s">
        <v>4078</v>
      </c>
      <c r="H2911" s="1" t="s">
        <v>141</v>
      </c>
      <c r="I2911" s="1" t="s">
        <v>65</v>
      </c>
      <c r="J2911" s="1">
        <v>3</v>
      </c>
      <c r="K2911" s="1" t="s">
        <v>142</v>
      </c>
      <c r="L2911" s="1" t="s">
        <v>153</v>
      </c>
      <c r="M2911" s="1" t="s">
        <v>1256</v>
      </c>
      <c r="N2911" s="1" t="str">
        <f>HYPERLINK("https://klocwork.india.ti.com:443/review/insight-review.html#issuedetails_goto:problemid=136462,project=MCU_PLUS_SDK_AM263X,searchquery=taxonomy:'C and C++' build:Build_Apr_13_2023_11_11_AM grouping:off ","KW Issue Link")</f>
        <v>KW Issue Link</v>
      </c>
      <c r="O2911" s="1" t="s">
        <v>1083</v>
      </c>
    </row>
    <row r="2912" spans="1:15" ht="75" x14ac:dyDescent="0.25">
      <c r="A2912" s="1" t="s">
        <v>1266</v>
      </c>
      <c r="B2912" s="1"/>
      <c r="C2912" s="1" t="s">
        <v>4038</v>
      </c>
      <c r="D2912" s="1">
        <v>136463</v>
      </c>
      <c r="E2912" s="1">
        <v>784</v>
      </c>
      <c r="F2912" s="1" t="s">
        <v>4079</v>
      </c>
      <c r="G2912" s="1" t="s">
        <v>4080</v>
      </c>
      <c r="H2912" s="1" t="s">
        <v>141</v>
      </c>
      <c r="I2912" s="1" t="s">
        <v>65</v>
      </c>
      <c r="J2912" s="1">
        <v>3</v>
      </c>
      <c r="K2912" s="1" t="s">
        <v>142</v>
      </c>
      <c r="L2912" s="1" t="s">
        <v>153</v>
      </c>
      <c r="M2912" s="1" t="s">
        <v>1256</v>
      </c>
      <c r="N2912" s="1" t="str">
        <f>HYPERLINK("https://klocwork.india.ti.com:443/review/insight-review.html#issuedetails_goto:problemid=136463,project=MCU_PLUS_SDK_AM263X,searchquery=taxonomy:'C and C++' build:Build_Apr_13_2023_11_11_AM grouping:off ","KW Issue Link")</f>
        <v>KW Issue Link</v>
      </c>
      <c r="O2912" s="1" t="s">
        <v>1083</v>
      </c>
    </row>
    <row r="2913" spans="1:15" ht="75" x14ac:dyDescent="0.25">
      <c r="A2913" s="1" t="s">
        <v>1266</v>
      </c>
      <c r="B2913" s="1"/>
      <c r="C2913" s="1" t="s">
        <v>4038</v>
      </c>
      <c r="D2913" s="1">
        <v>136464</v>
      </c>
      <c r="E2913" s="1">
        <v>1069</v>
      </c>
      <c r="F2913" s="1" t="s">
        <v>4081</v>
      </c>
      <c r="G2913" s="1" t="s">
        <v>4048</v>
      </c>
      <c r="H2913" s="1" t="s">
        <v>141</v>
      </c>
      <c r="I2913" s="1" t="s">
        <v>65</v>
      </c>
      <c r="J2913" s="1">
        <v>3</v>
      </c>
      <c r="K2913" s="1" t="s">
        <v>142</v>
      </c>
      <c r="L2913" s="1" t="s">
        <v>153</v>
      </c>
      <c r="M2913" s="1" t="s">
        <v>1256</v>
      </c>
      <c r="N2913" s="1" t="str">
        <f>HYPERLINK("https://klocwork.india.ti.com:443/review/insight-review.html#issuedetails_goto:problemid=136464,project=MCU_PLUS_SDK_AM263X,searchquery=taxonomy:'C and C++' build:Build_Apr_13_2023_11_11_AM grouping:off ","KW Issue Link")</f>
        <v>KW Issue Link</v>
      </c>
      <c r="O2913" s="1" t="s">
        <v>1083</v>
      </c>
    </row>
    <row r="2914" spans="1:15" ht="75" x14ac:dyDescent="0.25">
      <c r="A2914" s="1" t="s">
        <v>1266</v>
      </c>
      <c r="B2914" s="1"/>
      <c r="C2914" s="1" t="s">
        <v>4038</v>
      </c>
      <c r="D2914" s="1">
        <v>136465</v>
      </c>
      <c r="E2914" s="1">
        <v>1246</v>
      </c>
      <c r="F2914" s="1" t="s">
        <v>4082</v>
      </c>
      <c r="G2914" s="1" t="s">
        <v>4054</v>
      </c>
      <c r="H2914" s="1" t="s">
        <v>141</v>
      </c>
      <c r="I2914" s="1" t="s">
        <v>65</v>
      </c>
      <c r="J2914" s="1">
        <v>3</v>
      </c>
      <c r="K2914" s="1" t="s">
        <v>142</v>
      </c>
      <c r="L2914" s="1" t="s">
        <v>153</v>
      </c>
      <c r="M2914" s="1" t="s">
        <v>1256</v>
      </c>
      <c r="N2914" s="1" t="str">
        <f>HYPERLINK("https://klocwork.india.ti.com:443/review/insight-review.html#issuedetails_goto:problemid=136465,project=MCU_PLUS_SDK_AM263X,searchquery=taxonomy:'C and C++' build:Build_Apr_13_2023_11_11_AM grouping:off ","KW Issue Link")</f>
        <v>KW Issue Link</v>
      </c>
      <c r="O2914" s="1" t="s">
        <v>1083</v>
      </c>
    </row>
    <row r="2915" spans="1:15" ht="75" x14ac:dyDescent="0.25">
      <c r="A2915" s="1" t="s">
        <v>1266</v>
      </c>
      <c r="B2915" s="1"/>
      <c r="C2915" s="1" t="s">
        <v>4038</v>
      </c>
      <c r="D2915" s="1">
        <v>136466</v>
      </c>
      <c r="E2915" s="1">
        <v>1512</v>
      </c>
      <c r="F2915" s="1" t="s">
        <v>4083</v>
      </c>
      <c r="G2915" s="1" t="s">
        <v>4060</v>
      </c>
      <c r="H2915" s="1" t="s">
        <v>141</v>
      </c>
      <c r="I2915" s="1" t="s">
        <v>65</v>
      </c>
      <c r="J2915" s="1">
        <v>3</v>
      </c>
      <c r="K2915" s="1" t="s">
        <v>142</v>
      </c>
      <c r="L2915" s="1" t="s">
        <v>153</v>
      </c>
      <c r="M2915" s="1" t="s">
        <v>1256</v>
      </c>
      <c r="N2915" s="1" t="str">
        <f>HYPERLINK("https://klocwork.india.ti.com:443/review/insight-review.html#issuedetails_goto:problemid=136466,project=MCU_PLUS_SDK_AM263X,searchquery=taxonomy:'C and C++' build:Build_Apr_13_2023_11_11_AM grouping:off ","KW Issue Link")</f>
        <v>KW Issue Link</v>
      </c>
      <c r="O2915" s="1" t="s">
        <v>1083</v>
      </c>
    </row>
    <row r="2916" spans="1:15" ht="75" x14ac:dyDescent="0.25">
      <c r="A2916" s="1" t="s">
        <v>1266</v>
      </c>
      <c r="B2916" s="1"/>
      <c r="C2916" s="1" t="s">
        <v>4038</v>
      </c>
      <c r="D2916" s="1">
        <v>136467</v>
      </c>
      <c r="E2916" s="1">
        <v>1754</v>
      </c>
      <c r="F2916" s="1" t="s">
        <v>4084</v>
      </c>
      <c r="G2916" s="1" t="s">
        <v>4062</v>
      </c>
      <c r="H2916" s="1" t="s">
        <v>141</v>
      </c>
      <c r="I2916" s="1" t="s">
        <v>65</v>
      </c>
      <c r="J2916" s="1">
        <v>3</v>
      </c>
      <c r="K2916" s="1" t="s">
        <v>142</v>
      </c>
      <c r="L2916" s="1" t="s">
        <v>153</v>
      </c>
      <c r="M2916" s="1" t="s">
        <v>1256</v>
      </c>
      <c r="N2916" s="1" t="str">
        <f>HYPERLINK("https://klocwork.india.ti.com:443/review/insight-review.html#issuedetails_goto:problemid=136467,project=MCU_PLUS_SDK_AM263X,searchquery=taxonomy:'C and C++' build:Build_Apr_13_2023_11_11_AM grouping:off ","KW Issue Link")</f>
        <v>KW Issue Link</v>
      </c>
      <c r="O2916" s="1" t="s">
        <v>1083</v>
      </c>
    </row>
    <row r="2917" spans="1:15" ht="75" x14ac:dyDescent="0.25">
      <c r="A2917" s="1" t="s">
        <v>1266</v>
      </c>
      <c r="B2917" s="1"/>
      <c r="C2917" s="1" t="s">
        <v>4038</v>
      </c>
      <c r="D2917" s="1">
        <v>136468</v>
      </c>
      <c r="E2917" s="1">
        <v>1858</v>
      </c>
      <c r="F2917" s="1" t="s">
        <v>4085</v>
      </c>
      <c r="G2917" s="1" t="s">
        <v>4066</v>
      </c>
      <c r="H2917" s="1" t="s">
        <v>141</v>
      </c>
      <c r="I2917" s="1" t="s">
        <v>65</v>
      </c>
      <c r="J2917" s="1">
        <v>3</v>
      </c>
      <c r="K2917" s="1" t="s">
        <v>142</v>
      </c>
      <c r="L2917" s="1" t="s">
        <v>153</v>
      </c>
      <c r="M2917" s="1" t="s">
        <v>1256</v>
      </c>
      <c r="N2917" s="1" t="str">
        <f>HYPERLINK("https://klocwork.india.ti.com:443/review/insight-review.html#issuedetails_goto:problemid=136468,project=MCU_PLUS_SDK_AM263X,searchquery=taxonomy:'C and C++' build:Build_Apr_13_2023_11_11_AM grouping:off ","KW Issue Link")</f>
        <v>KW Issue Link</v>
      </c>
      <c r="O2917" s="1" t="s">
        <v>1083</v>
      </c>
    </row>
    <row r="2918" spans="1:15" ht="75" x14ac:dyDescent="0.25">
      <c r="A2918" s="1" t="s">
        <v>1266</v>
      </c>
      <c r="B2918" s="1"/>
      <c r="C2918" s="1" t="s">
        <v>4038</v>
      </c>
      <c r="D2918" s="1">
        <v>136469</v>
      </c>
      <c r="E2918" s="1">
        <v>2129</v>
      </c>
      <c r="F2918" s="1" t="s">
        <v>4086</v>
      </c>
      <c r="G2918" s="1" t="s">
        <v>4087</v>
      </c>
      <c r="H2918" s="1" t="s">
        <v>141</v>
      </c>
      <c r="I2918" s="1" t="s">
        <v>65</v>
      </c>
      <c r="J2918" s="1">
        <v>3</v>
      </c>
      <c r="K2918" s="1" t="s">
        <v>142</v>
      </c>
      <c r="L2918" s="1" t="s">
        <v>153</v>
      </c>
      <c r="M2918" s="1" t="s">
        <v>1256</v>
      </c>
      <c r="N2918" s="1" t="str">
        <f>HYPERLINK("https://klocwork.india.ti.com:443/review/insight-review.html#issuedetails_goto:problemid=136469,project=MCU_PLUS_SDK_AM263X,searchquery=taxonomy:'C and C++' build:Build_Apr_13_2023_11_11_AM grouping:off ","KW Issue Link")</f>
        <v>KW Issue Link</v>
      </c>
      <c r="O2918" s="1" t="s">
        <v>1083</v>
      </c>
    </row>
    <row r="2919" spans="1:15" ht="75" x14ac:dyDescent="0.25">
      <c r="A2919" s="1" t="s">
        <v>1268</v>
      </c>
      <c r="B2919" s="1"/>
      <c r="C2919" s="1" t="s">
        <v>4038</v>
      </c>
      <c r="D2919" s="1">
        <v>136471</v>
      </c>
      <c r="E2919" s="1">
        <v>112</v>
      </c>
      <c r="F2919" s="1" t="s">
        <v>4088</v>
      </c>
      <c r="G2919" s="1" t="s">
        <v>4042</v>
      </c>
      <c r="H2919" s="1" t="s">
        <v>141</v>
      </c>
      <c r="I2919" s="1" t="s">
        <v>65</v>
      </c>
      <c r="J2919" s="1">
        <v>3</v>
      </c>
      <c r="K2919" s="1" t="s">
        <v>142</v>
      </c>
      <c r="L2919" s="1" t="s">
        <v>153</v>
      </c>
      <c r="M2919" s="1" t="s">
        <v>1256</v>
      </c>
      <c r="N2919" s="1" t="str">
        <f>HYPERLINK("https://klocwork.india.ti.com:443/review/insight-review.html#issuedetails_goto:problemid=136471,project=MCU_PLUS_SDK_AM263X,searchquery=taxonomy:'C and C++' build:Build_Apr_13_2023_11_11_AM grouping:off ","KW Issue Link")</f>
        <v>KW Issue Link</v>
      </c>
      <c r="O2919" s="1" t="s">
        <v>1083</v>
      </c>
    </row>
    <row r="2920" spans="1:15" ht="75" x14ac:dyDescent="0.25">
      <c r="A2920" s="1" t="s">
        <v>1268</v>
      </c>
      <c r="B2920" s="1"/>
      <c r="C2920" s="1" t="s">
        <v>4038</v>
      </c>
      <c r="D2920" s="1">
        <v>136472</v>
      </c>
      <c r="E2920" s="1">
        <v>331</v>
      </c>
      <c r="F2920" s="1" t="s">
        <v>4089</v>
      </c>
      <c r="G2920" s="1" t="s">
        <v>4044</v>
      </c>
      <c r="H2920" s="1" t="s">
        <v>141</v>
      </c>
      <c r="I2920" s="1" t="s">
        <v>65</v>
      </c>
      <c r="J2920" s="1">
        <v>3</v>
      </c>
      <c r="K2920" s="1" t="s">
        <v>142</v>
      </c>
      <c r="L2920" s="1" t="s">
        <v>153</v>
      </c>
      <c r="M2920" s="1" t="s">
        <v>1256</v>
      </c>
      <c r="N2920" s="1" t="str">
        <f>HYPERLINK("https://klocwork.india.ti.com:443/review/insight-review.html#issuedetails_goto:problemid=136472,project=MCU_PLUS_SDK_AM263X,searchquery=taxonomy:'C and C++' build:Build_Apr_13_2023_11_11_AM grouping:off ","KW Issue Link")</f>
        <v>KW Issue Link</v>
      </c>
      <c r="O2920" s="1" t="s">
        <v>1083</v>
      </c>
    </row>
    <row r="2921" spans="1:15" ht="75" x14ac:dyDescent="0.25">
      <c r="A2921" s="1" t="s">
        <v>1268</v>
      </c>
      <c r="B2921" s="1"/>
      <c r="C2921" s="1" t="s">
        <v>4038</v>
      </c>
      <c r="D2921" s="1">
        <v>136473</v>
      </c>
      <c r="E2921" s="1">
        <v>498</v>
      </c>
      <c r="F2921" s="1" t="s">
        <v>4090</v>
      </c>
      <c r="G2921" s="1" t="s">
        <v>4076</v>
      </c>
      <c r="H2921" s="1" t="s">
        <v>141</v>
      </c>
      <c r="I2921" s="1" t="s">
        <v>65</v>
      </c>
      <c r="J2921" s="1">
        <v>3</v>
      </c>
      <c r="K2921" s="1" t="s">
        <v>142</v>
      </c>
      <c r="L2921" s="1" t="s">
        <v>153</v>
      </c>
      <c r="M2921" s="1" t="s">
        <v>1256</v>
      </c>
      <c r="N2921" s="1" t="str">
        <f>HYPERLINK("https://klocwork.india.ti.com:443/review/insight-review.html#issuedetails_goto:problemid=136473,project=MCU_PLUS_SDK_AM263X,searchquery=taxonomy:'C and C++' build:Build_Apr_13_2023_11_11_AM grouping:off ","KW Issue Link")</f>
        <v>KW Issue Link</v>
      </c>
      <c r="O2921" s="1" t="s">
        <v>1083</v>
      </c>
    </row>
    <row r="2922" spans="1:15" ht="75" x14ac:dyDescent="0.25">
      <c r="A2922" s="1" t="s">
        <v>1268</v>
      </c>
      <c r="B2922" s="1"/>
      <c r="C2922" s="1" t="s">
        <v>4038</v>
      </c>
      <c r="D2922" s="1">
        <v>136474</v>
      </c>
      <c r="E2922" s="1">
        <v>676</v>
      </c>
      <c r="F2922" s="1" t="s">
        <v>4091</v>
      </c>
      <c r="G2922" s="1" t="s">
        <v>4092</v>
      </c>
      <c r="H2922" s="1" t="s">
        <v>141</v>
      </c>
      <c r="I2922" s="1" t="s">
        <v>65</v>
      </c>
      <c r="J2922" s="1">
        <v>3</v>
      </c>
      <c r="K2922" s="1" t="s">
        <v>142</v>
      </c>
      <c r="L2922" s="1" t="s">
        <v>153</v>
      </c>
      <c r="M2922" s="1" t="s">
        <v>1256</v>
      </c>
      <c r="N2922" s="1" t="str">
        <f>HYPERLINK("https://klocwork.india.ti.com:443/review/insight-review.html#issuedetails_goto:problemid=136474,project=MCU_PLUS_SDK_AM263X,searchquery=taxonomy:'C and C++' build:Build_Apr_13_2023_11_11_AM grouping:off ","KW Issue Link")</f>
        <v>KW Issue Link</v>
      </c>
      <c r="O2922" s="1" t="s">
        <v>1083</v>
      </c>
    </row>
    <row r="2923" spans="1:15" ht="75" x14ac:dyDescent="0.25">
      <c r="A2923" s="1" t="s">
        <v>1268</v>
      </c>
      <c r="B2923" s="1"/>
      <c r="C2923" s="1" t="s">
        <v>4038</v>
      </c>
      <c r="D2923" s="1">
        <v>136475</v>
      </c>
      <c r="E2923" s="1">
        <v>726</v>
      </c>
      <c r="F2923" s="1" t="s">
        <v>4093</v>
      </c>
      <c r="G2923" s="1" t="s">
        <v>4078</v>
      </c>
      <c r="H2923" s="1" t="s">
        <v>141</v>
      </c>
      <c r="I2923" s="1" t="s">
        <v>65</v>
      </c>
      <c r="J2923" s="1">
        <v>3</v>
      </c>
      <c r="K2923" s="1" t="s">
        <v>142</v>
      </c>
      <c r="L2923" s="1" t="s">
        <v>153</v>
      </c>
      <c r="M2923" s="1" t="s">
        <v>1256</v>
      </c>
      <c r="N2923" s="1" t="str">
        <f>HYPERLINK("https://klocwork.india.ti.com:443/review/insight-review.html#issuedetails_goto:problemid=136475,project=MCU_PLUS_SDK_AM263X,searchquery=taxonomy:'C and C++' build:Build_Apr_13_2023_11_11_AM grouping:off ","KW Issue Link")</f>
        <v>KW Issue Link</v>
      </c>
      <c r="O2923" s="1" t="s">
        <v>1083</v>
      </c>
    </row>
    <row r="2924" spans="1:15" ht="75" x14ac:dyDescent="0.25">
      <c r="A2924" s="1" t="s">
        <v>1268</v>
      </c>
      <c r="B2924" s="1"/>
      <c r="C2924" s="1" t="s">
        <v>4038</v>
      </c>
      <c r="D2924" s="1">
        <v>136476</v>
      </c>
      <c r="E2924" s="1">
        <v>784</v>
      </c>
      <c r="F2924" s="1" t="s">
        <v>4094</v>
      </c>
      <c r="G2924" s="1" t="s">
        <v>4080</v>
      </c>
      <c r="H2924" s="1" t="s">
        <v>141</v>
      </c>
      <c r="I2924" s="1" t="s">
        <v>65</v>
      </c>
      <c r="J2924" s="1">
        <v>3</v>
      </c>
      <c r="K2924" s="1" t="s">
        <v>142</v>
      </c>
      <c r="L2924" s="1" t="s">
        <v>153</v>
      </c>
      <c r="M2924" s="1" t="s">
        <v>1256</v>
      </c>
      <c r="N2924" s="1" t="str">
        <f>HYPERLINK("https://klocwork.india.ti.com:443/review/insight-review.html#issuedetails_goto:problemid=136476,project=MCU_PLUS_SDK_AM263X,searchquery=taxonomy:'C and C++' build:Build_Apr_13_2023_11_11_AM grouping:off ","KW Issue Link")</f>
        <v>KW Issue Link</v>
      </c>
      <c r="O2924" s="1" t="s">
        <v>1083</v>
      </c>
    </row>
    <row r="2925" spans="1:15" ht="75" x14ac:dyDescent="0.25">
      <c r="A2925" s="1" t="s">
        <v>1268</v>
      </c>
      <c r="B2925" s="1"/>
      <c r="C2925" s="1" t="s">
        <v>4038</v>
      </c>
      <c r="D2925" s="1">
        <v>136477</v>
      </c>
      <c r="E2925" s="1">
        <v>1246</v>
      </c>
      <c r="F2925" s="1" t="s">
        <v>4095</v>
      </c>
      <c r="G2925" s="1" t="s">
        <v>4054</v>
      </c>
      <c r="H2925" s="1" t="s">
        <v>141</v>
      </c>
      <c r="I2925" s="1" t="s">
        <v>65</v>
      </c>
      <c r="J2925" s="1">
        <v>3</v>
      </c>
      <c r="K2925" s="1" t="s">
        <v>142</v>
      </c>
      <c r="L2925" s="1" t="s">
        <v>153</v>
      </c>
      <c r="M2925" s="1" t="s">
        <v>1256</v>
      </c>
      <c r="N2925" s="1" t="str">
        <f>HYPERLINK("https://klocwork.india.ti.com:443/review/insight-review.html#issuedetails_goto:problemid=136477,project=MCU_PLUS_SDK_AM263X,searchquery=taxonomy:'C and C++' build:Build_Apr_13_2023_11_11_AM grouping:off ","KW Issue Link")</f>
        <v>KW Issue Link</v>
      </c>
      <c r="O2925" s="1" t="s">
        <v>1083</v>
      </c>
    </row>
    <row r="2926" spans="1:15" ht="75" x14ac:dyDescent="0.25">
      <c r="A2926" s="1" t="s">
        <v>1268</v>
      </c>
      <c r="B2926" s="1"/>
      <c r="C2926" s="1" t="s">
        <v>4038</v>
      </c>
      <c r="D2926" s="1">
        <v>136478</v>
      </c>
      <c r="E2926" s="1">
        <v>1512</v>
      </c>
      <c r="F2926" s="1" t="s">
        <v>4096</v>
      </c>
      <c r="G2926" s="1" t="s">
        <v>4060</v>
      </c>
      <c r="H2926" s="1" t="s">
        <v>141</v>
      </c>
      <c r="I2926" s="1" t="s">
        <v>65</v>
      </c>
      <c r="J2926" s="1">
        <v>3</v>
      </c>
      <c r="K2926" s="1" t="s">
        <v>142</v>
      </c>
      <c r="L2926" s="1" t="s">
        <v>153</v>
      </c>
      <c r="M2926" s="1" t="s">
        <v>1256</v>
      </c>
      <c r="N2926" s="1" t="str">
        <f>HYPERLINK("https://klocwork.india.ti.com:443/review/insight-review.html#issuedetails_goto:problemid=136478,project=MCU_PLUS_SDK_AM263X,searchquery=taxonomy:'C and C++' build:Build_Apr_13_2023_11_11_AM grouping:off ","KW Issue Link")</f>
        <v>KW Issue Link</v>
      </c>
      <c r="O2926" s="1" t="s">
        <v>1083</v>
      </c>
    </row>
    <row r="2927" spans="1:15" ht="75" x14ac:dyDescent="0.25">
      <c r="A2927" s="1" t="s">
        <v>1268</v>
      </c>
      <c r="B2927" s="1"/>
      <c r="C2927" s="1" t="s">
        <v>4038</v>
      </c>
      <c r="D2927" s="1">
        <v>136479</v>
      </c>
      <c r="E2927" s="1">
        <v>1858</v>
      </c>
      <c r="F2927" s="1" t="s">
        <v>4097</v>
      </c>
      <c r="G2927" s="1" t="s">
        <v>4066</v>
      </c>
      <c r="H2927" s="1" t="s">
        <v>141</v>
      </c>
      <c r="I2927" s="1" t="s">
        <v>65</v>
      </c>
      <c r="J2927" s="1">
        <v>3</v>
      </c>
      <c r="K2927" s="1" t="s">
        <v>142</v>
      </c>
      <c r="L2927" s="1" t="s">
        <v>153</v>
      </c>
      <c r="M2927" s="1" t="s">
        <v>1256</v>
      </c>
      <c r="N2927" s="1" t="str">
        <f>HYPERLINK("https://klocwork.india.ti.com:443/review/insight-review.html#issuedetails_goto:problemid=136479,project=MCU_PLUS_SDK_AM263X,searchquery=taxonomy:'C and C++' build:Build_Apr_13_2023_11_11_AM grouping:off ","KW Issue Link")</f>
        <v>KW Issue Link</v>
      </c>
      <c r="O2927" s="1" t="s">
        <v>1083</v>
      </c>
    </row>
    <row r="2928" spans="1:15" ht="75" x14ac:dyDescent="0.25">
      <c r="A2928" s="1" t="s">
        <v>1268</v>
      </c>
      <c r="B2928" s="1"/>
      <c r="C2928" s="1" t="s">
        <v>4038</v>
      </c>
      <c r="D2928" s="1">
        <v>136480</v>
      </c>
      <c r="E2928" s="1">
        <v>2129</v>
      </c>
      <c r="F2928" s="1" t="s">
        <v>4098</v>
      </c>
      <c r="G2928" s="1" t="s">
        <v>4087</v>
      </c>
      <c r="H2928" s="1" t="s">
        <v>141</v>
      </c>
      <c r="I2928" s="1" t="s">
        <v>65</v>
      </c>
      <c r="J2928" s="1">
        <v>3</v>
      </c>
      <c r="K2928" s="1" t="s">
        <v>142</v>
      </c>
      <c r="L2928" s="1" t="s">
        <v>153</v>
      </c>
      <c r="M2928" s="1" t="s">
        <v>1256</v>
      </c>
      <c r="N2928" s="1" t="str">
        <f>HYPERLINK("https://klocwork.india.ti.com:443/review/insight-review.html#issuedetails_goto:problemid=136480,project=MCU_PLUS_SDK_AM263X,searchquery=taxonomy:'C and C++' build:Build_Apr_13_2023_11_11_AM grouping:off ","KW Issue Link")</f>
        <v>KW Issue Link</v>
      </c>
      <c r="O2928" s="1" t="s">
        <v>1083</v>
      </c>
    </row>
    <row r="2929" spans="1:15" ht="75" x14ac:dyDescent="0.25">
      <c r="A2929" s="1" t="s">
        <v>997</v>
      </c>
      <c r="B2929" s="1"/>
      <c r="C2929" s="1" t="s">
        <v>4038</v>
      </c>
      <c r="D2929" s="1">
        <v>136894</v>
      </c>
      <c r="E2929" s="1">
        <v>542</v>
      </c>
      <c r="F2929" s="1" t="s">
        <v>4099</v>
      </c>
      <c r="G2929" s="1" t="s">
        <v>4076</v>
      </c>
      <c r="H2929" s="1" t="s">
        <v>141</v>
      </c>
      <c r="I2929" s="1" t="s">
        <v>66</v>
      </c>
      <c r="J2929" s="1">
        <v>4</v>
      </c>
      <c r="K2929" s="1" t="s">
        <v>142</v>
      </c>
      <c r="L2929" s="1" t="s">
        <v>153</v>
      </c>
      <c r="M2929" s="1" t="s">
        <v>28</v>
      </c>
      <c r="N2929" s="1" t="str">
        <f>HYPERLINK("https://klocwork.india.ti.com:443/review/insight-review.html#issuedetails_goto:problemid=136894,project=MCU_PLUS_SDK_AM263X,searchquery=taxonomy:'C and C++' build:Build_Apr_13_2023_11_11_AM grouping:off ","KW Issue Link")</f>
        <v>KW Issue Link</v>
      </c>
      <c r="O2929" s="1" t="s">
        <v>1083</v>
      </c>
    </row>
    <row r="2930" spans="1:15" ht="75" x14ac:dyDescent="0.25">
      <c r="A2930" s="1" t="s">
        <v>997</v>
      </c>
      <c r="B2930" s="1"/>
      <c r="C2930" s="1" t="s">
        <v>4038</v>
      </c>
      <c r="D2930" s="1">
        <v>136895</v>
      </c>
      <c r="E2930" s="1">
        <v>543</v>
      </c>
      <c r="F2930" s="1" t="s">
        <v>4100</v>
      </c>
      <c r="G2930" s="1" t="s">
        <v>4076</v>
      </c>
      <c r="H2930" s="1" t="s">
        <v>141</v>
      </c>
      <c r="I2930" s="1" t="s">
        <v>66</v>
      </c>
      <c r="J2930" s="1">
        <v>4</v>
      </c>
      <c r="K2930" s="1" t="s">
        <v>142</v>
      </c>
      <c r="L2930" s="1" t="s">
        <v>153</v>
      </c>
      <c r="M2930" s="1" t="s">
        <v>28</v>
      </c>
      <c r="N2930" s="1" t="str">
        <f>HYPERLINK("https://klocwork.india.ti.com:443/review/insight-review.html#issuedetails_goto:problemid=136895,project=MCU_PLUS_SDK_AM263X,searchquery=taxonomy:'C and C++' build:Build_Apr_13_2023_11_11_AM grouping:off ","KW Issue Link")</f>
        <v>KW Issue Link</v>
      </c>
      <c r="O2930" s="1" t="s">
        <v>1083</v>
      </c>
    </row>
    <row r="2931" spans="1:15" ht="75" x14ac:dyDescent="0.25">
      <c r="A2931" s="1" t="s">
        <v>997</v>
      </c>
      <c r="B2931" s="1"/>
      <c r="C2931" s="1" t="s">
        <v>4038</v>
      </c>
      <c r="D2931" s="1">
        <v>136896</v>
      </c>
      <c r="E2931" s="1">
        <v>564</v>
      </c>
      <c r="F2931" s="1" t="s">
        <v>4099</v>
      </c>
      <c r="G2931" s="1" t="s">
        <v>4076</v>
      </c>
      <c r="H2931" s="1" t="s">
        <v>141</v>
      </c>
      <c r="I2931" s="1" t="s">
        <v>66</v>
      </c>
      <c r="J2931" s="1">
        <v>4</v>
      </c>
      <c r="K2931" s="1" t="s">
        <v>142</v>
      </c>
      <c r="L2931" s="1" t="s">
        <v>153</v>
      </c>
      <c r="M2931" s="1" t="s">
        <v>28</v>
      </c>
      <c r="N2931" s="1" t="str">
        <f>HYPERLINK("https://klocwork.india.ti.com:443/review/insight-review.html#issuedetails_goto:problemid=136896,project=MCU_PLUS_SDK_AM263X,searchquery=taxonomy:'C and C++' build:Build_Apr_13_2023_11_11_AM grouping:off ","KW Issue Link")</f>
        <v>KW Issue Link</v>
      </c>
      <c r="O2931" s="1" t="s">
        <v>1083</v>
      </c>
    </row>
    <row r="2932" spans="1:15" ht="75" x14ac:dyDescent="0.25">
      <c r="A2932" s="1" t="s">
        <v>997</v>
      </c>
      <c r="B2932" s="1"/>
      <c r="C2932" s="1" t="s">
        <v>4038</v>
      </c>
      <c r="D2932" s="1">
        <v>136897</v>
      </c>
      <c r="E2932" s="1">
        <v>565</v>
      </c>
      <c r="F2932" s="1" t="s">
        <v>4100</v>
      </c>
      <c r="G2932" s="1" t="s">
        <v>4076</v>
      </c>
      <c r="H2932" s="1" t="s">
        <v>141</v>
      </c>
      <c r="I2932" s="1" t="s">
        <v>66</v>
      </c>
      <c r="J2932" s="1">
        <v>4</v>
      </c>
      <c r="K2932" s="1" t="s">
        <v>142</v>
      </c>
      <c r="L2932" s="1" t="s">
        <v>153</v>
      </c>
      <c r="M2932" s="1" t="s">
        <v>28</v>
      </c>
      <c r="N2932" s="1" t="str">
        <f>HYPERLINK("https://klocwork.india.ti.com:443/review/insight-review.html#issuedetails_goto:problemid=136897,project=MCU_PLUS_SDK_AM263X,searchquery=taxonomy:'C and C++' build:Build_Apr_13_2023_11_11_AM grouping:off ","KW Issue Link")</f>
        <v>KW Issue Link</v>
      </c>
      <c r="O2932" s="1" t="s">
        <v>1083</v>
      </c>
    </row>
    <row r="2933" spans="1:15" ht="75" x14ac:dyDescent="0.25">
      <c r="A2933" s="1" t="s">
        <v>997</v>
      </c>
      <c r="B2933" s="1"/>
      <c r="C2933" s="1" t="s">
        <v>4038</v>
      </c>
      <c r="D2933" s="1">
        <v>136898</v>
      </c>
      <c r="E2933" s="1">
        <v>703</v>
      </c>
      <c r="F2933" s="1" t="s">
        <v>3554</v>
      </c>
      <c r="G2933" s="1" t="s">
        <v>4092</v>
      </c>
      <c r="H2933" s="1" t="s">
        <v>141</v>
      </c>
      <c r="I2933" s="1" t="s">
        <v>66</v>
      </c>
      <c r="J2933" s="1">
        <v>4</v>
      </c>
      <c r="K2933" s="1" t="s">
        <v>142</v>
      </c>
      <c r="L2933" s="1" t="s">
        <v>153</v>
      </c>
      <c r="M2933" s="1" t="s">
        <v>28</v>
      </c>
      <c r="N2933" s="1" t="str">
        <f>HYPERLINK("https://klocwork.india.ti.com:443/review/insight-review.html#issuedetails_goto:problemid=136898,project=MCU_PLUS_SDK_AM263X,searchquery=taxonomy:'C and C++' build:Build_Apr_13_2023_11_11_AM grouping:off ","KW Issue Link")</f>
        <v>KW Issue Link</v>
      </c>
      <c r="O2933" s="1" t="s">
        <v>1083</v>
      </c>
    </row>
    <row r="2934" spans="1:15" ht="75" x14ac:dyDescent="0.25">
      <c r="A2934" s="1" t="s">
        <v>997</v>
      </c>
      <c r="B2934" s="1"/>
      <c r="C2934" s="1" t="s">
        <v>4038</v>
      </c>
      <c r="D2934" s="1">
        <v>136899</v>
      </c>
      <c r="E2934" s="1">
        <v>734</v>
      </c>
      <c r="F2934" s="1" t="s">
        <v>3787</v>
      </c>
      <c r="G2934" s="1" t="s">
        <v>4078</v>
      </c>
      <c r="H2934" s="1" t="s">
        <v>141</v>
      </c>
      <c r="I2934" s="1" t="s">
        <v>66</v>
      </c>
      <c r="J2934" s="1">
        <v>4</v>
      </c>
      <c r="K2934" s="1" t="s">
        <v>142</v>
      </c>
      <c r="L2934" s="1" t="s">
        <v>153</v>
      </c>
      <c r="M2934" s="1" t="s">
        <v>28</v>
      </c>
      <c r="N2934" s="1" t="str">
        <f>HYPERLINK("https://klocwork.india.ti.com:443/review/insight-review.html#issuedetails_goto:problemid=136899,project=MCU_PLUS_SDK_AM263X,searchquery=taxonomy:'C and C++' build:Build_Apr_13_2023_11_11_AM grouping:off ","KW Issue Link")</f>
        <v>KW Issue Link</v>
      </c>
      <c r="O2934" s="1" t="s">
        <v>1083</v>
      </c>
    </row>
    <row r="2935" spans="1:15" ht="75" x14ac:dyDescent="0.25">
      <c r="A2935" s="1" t="s">
        <v>997</v>
      </c>
      <c r="B2935" s="1"/>
      <c r="C2935" s="1" t="s">
        <v>4038</v>
      </c>
      <c r="D2935" s="1">
        <v>136900</v>
      </c>
      <c r="E2935" s="1">
        <v>735</v>
      </c>
      <c r="F2935" s="1" t="s">
        <v>3787</v>
      </c>
      <c r="G2935" s="1" t="s">
        <v>4078</v>
      </c>
      <c r="H2935" s="1" t="s">
        <v>141</v>
      </c>
      <c r="I2935" s="1" t="s">
        <v>66</v>
      </c>
      <c r="J2935" s="1">
        <v>4</v>
      </c>
      <c r="K2935" s="1" t="s">
        <v>142</v>
      </c>
      <c r="L2935" s="1" t="s">
        <v>153</v>
      </c>
      <c r="M2935" s="1" t="s">
        <v>28</v>
      </c>
      <c r="N2935" s="1" t="str">
        <f>HYPERLINK("https://klocwork.india.ti.com:443/review/insight-review.html#issuedetails_goto:problemid=136900,project=MCU_PLUS_SDK_AM263X,searchquery=taxonomy:'C and C++' build:Build_Apr_13_2023_11_11_AM grouping:off ","KW Issue Link")</f>
        <v>KW Issue Link</v>
      </c>
      <c r="O2935" s="1" t="s">
        <v>1083</v>
      </c>
    </row>
    <row r="2936" spans="1:15" ht="75" x14ac:dyDescent="0.25">
      <c r="A2936" s="1" t="s">
        <v>997</v>
      </c>
      <c r="B2936" s="1"/>
      <c r="C2936" s="1" t="s">
        <v>4038</v>
      </c>
      <c r="D2936" s="1">
        <v>136901</v>
      </c>
      <c r="E2936" s="1">
        <v>736</v>
      </c>
      <c r="F2936" s="1" t="s">
        <v>3788</v>
      </c>
      <c r="G2936" s="1" t="s">
        <v>4078</v>
      </c>
      <c r="H2936" s="1" t="s">
        <v>141</v>
      </c>
      <c r="I2936" s="1" t="s">
        <v>66</v>
      </c>
      <c r="J2936" s="1">
        <v>4</v>
      </c>
      <c r="K2936" s="1" t="s">
        <v>142</v>
      </c>
      <c r="L2936" s="1" t="s">
        <v>153</v>
      </c>
      <c r="M2936" s="1" t="s">
        <v>28</v>
      </c>
      <c r="N2936" s="1" t="str">
        <f>HYPERLINK("https://klocwork.india.ti.com:443/review/insight-review.html#issuedetails_goto:problemid=136901,project=MCU_PLUS_SDK_AM263X,searchquery=taxonomy:'C and C++' build:Build_Apr_13_2023_11_11_AM grouping:off ","KW Issue Link")</f>
        <v>KW Issue Link</v>
      </c>
      <c r="O2936" s="1" t="s">
        <v>1083</v>
      </c>
    </row>
    <row r="2937" spans="1:15" ht="75" x14ac:dyDescent="0.25">
      <c r="A2937" s="1" t="s">
        <v>997</v>
      </c>
      <c r="B2937" s="1"/>
      <c r="C2937" s="1" t="s">
        <v>4038</v>
      </c>
      <c r="D2937" s="1">
        <v>136902</v>
      </c>
      <c r="E2937" s="1">
        <v>737</v>
      </c>
      <c r="F2937" s="1" t="s">
        <v>3788</v>
      </c>
      <c r="G2937" s="1" t="s">
        <v>4078</v>
      </c>
      <c r="H2937" s="1" t="s">
        <v>141</v>
      </c>
      <c r="I2937" s="1" t="s">
        <v>66</v>
      </c>
      <c r="J2937" s="1">
        <v>4</v>
      </c>
      <c r="K2937" s="1" t="s">
        <v>142</v>
      </c>
      <c r="L2937" s="1" t="s">
        <v>153</v>
      </c>
      <c r="M2937" s="1" t="s">
        <v>28</v>
      </c>
      <c r="N2937" s="1" t="str">
        <f>HYPERLINK("https://klocwork.india.ti.com:443/review/insight-review.html#issuedetails_goto:problemid=136902,project=MCU_PLUS_SDK_AM263X,searchquery=taxonomy:'C and C++' build:Build_Apr_13_2023_11_11_AM grouping:off ","KW Issue Link")</f>
        <v>KW Issue Link</v>
      </c>
      <c r="O2937" s="1" t="s">
        <v>1083</v>
      </c>
    </row>
    <row r="2938" spans="1:15" ht="75" x14ac:dyDescent="0.25">
      <c r="A2938" s="1" t="s">
        <v>997</v>
      </c>
      <c r="B2938" s="1"/>
      <c r="C2938" s="1" t="s">
        <v>4038</v>
      </c>
      <c r="D2938" s="1">
        <v>136903</v>
      </c>
      <c r="E2938" s="1">
        <v>753</v>
      </c>
      <c r="F2938" s="1" t="s">
        <v>3787</v>
      </c>
      <c r="G2938" s="1" t="s">
        <v>4078</v>
      </c>
      <c r="H2938" s="1" t="s">
        <v>141</v>
      </c>
      <c r="I2938" s="1" t="s">
        <v>66</v>
      </c>
      <c r="J2938" s="1">
        <v>4</v>
      </c>
      <c r="K2938" s="1" t="s">
        <v>142</v>
      </c>
      <c r="L2938" s="1" t="s">
        <v>153</v>
      </c>
      <c r="M2938" s="1" t="s">
        <v>28</v>
      </c>
      <c r="N2938" s="1" t="str">
        <f>HYPERLINK("https://klocwork.india.ti.com:443/review/insight-review.html#issuedetails_goto:problemid=136903,project=MCU_PLUS_SDK_AM263X,searchquery=taxonomy:'C and C++' build:Build_Apr_13_2023_11_11_AM grouping:off ","KW Issue Link")</f>
        <v>KW Issue Link</v>
      </c>
      <c r="O2938" s="1" t="s">
        <v>1083</v>
      </c>
    </row>
    <row r="2939" spans="1:15" ht="75" x14ac:dyDescent="0.25">
      <c r="A2939" s="1" t="s">
        <v>997</v>
      </c>
      <c r="B2939" s="1"/>
      <c r="C2939" s="1" t="s">
        <v>4038</v>
      </c>
      <c r="D2939" s="1">
        <v>136904</v>
      </c>
      <c r="E2939" s="1">
        <v>878</v>
      </c>
      <c r="F2939" s="1" t="s">
        <v>3554</v>
      </c>
      <c r="G2939" s="1" t="s">
        <v>4080</v>
      </c>
      <c r="H2939" s="1" t="s">
        <v>141</v>
      </c>
      <c r="I2939" s="1" t="s">
        <v>66</v>
      </c>
      <c r="J2939" s="1">
        <v>4</v>
      </c>
      <c r="K2939" s="1" t="s">
        <v>142</v>
      </c>
      <c r="L2939" s="1" t="s">
        <v>153</v>
      </c>
      <c r="M2939" s="1" t="s">
        <v>28</v>
      </c>
      <c r="N2939" s="1" t="str">
        <f>HYPERLINK("https://klocwork.india.ti.com:443/review/insight-review.html#issuedetails_goto:problemid=136904,project=MCU_PLUS_SDK_AM263X,searchquery=taxonomy:'C and C++' build:Build_Apr_13_2023_11_11_AM grouping:off ","KW Issue Link")</f>
        <v>KW Issue Link</v>
      </c>
      <c r="O2939" s="1" t="s">
        <v>1083</v>
      </c>
    </row>
    <row r="2940" spans="1:15" ht="75" x14ac:dyDescent="0.25">
      <c r="A2940" s="1" t="s">
        <v>997</v>
      </c>
      <c r="B2940" s="1"/>
      <c r="C2940" s="1" t="s">
        <v>4038</v>
      </c>
      <c r="D2940" s="1">
        <v>136905</v>
      </c>
      <c r="E2940" s="1">
        <v>879</v>
      </c>
      <c r="F2940" s="1" t="s">
        <v>3554</v>
      </c>
      <c r="G2940" s="1" t="s">
        <v>4080</v>
      </c>
      <c r="H2940" s="1" t="s">
        <v>141</v>
      </c>
      <c r="I2940" s="1" t="s">
        <v>66</v>
      </c>
      <c r="J2940" s="1">
        <v>4</v>
      </c>
      <c r="K2940" s="1" t="s">
        <v>142</v>
      </c>
      <c r="L2940" s="1" t="s">
        <v>153</v>
      </c>
      <c r="M2940" s="1" t="s">
        <v>28</v>
      </c>
      <c r="N2940" s="1" t="str">
        <f>HYPERLINK("https://klocwork.india.ti.com:443/review/insight-review.html#issuedetails_goto:problemid=136905,project=MCU_PLUS_SDK_AM263X,searchquery=taxonomy:'C and C++' build:Build_Apr_13_2023_11_11_AM grouping:off ","KW Issue Link")</f>
        <v>KW Issue Link</v>
      </c>
      <c r="O2940" s="1" t="s">
        <v>1083</v>
      </c>
    </row>
    <row r="2941" spans="1:15" ht="75" x14ac:dyDescent="0.25">
      <c r="A2941" s="1" t="s">
        <v>997</v>
      </c>
      <c r="B2941" s="1"/>
      <c r="C2941" s="1" t="s">
        <v>4038</v>
      </c>
      <c r="D2941" s="1">
        <v>136906</v>
      </c>
      <c r="E2941" s="1">
        <v>905</v>
      </c>
      <c r="F2941" s="1" t="s">
        <v>4101</v>
      </c>
      <c r="G2941" s="1" t="s">
        <v>4080</v>
      </c>
      <c r="H2941" s="1" t="s">
        <v>141</v>
      </c>
      <c r="I2941" s="1" t="s">
        <v>66</v>
      </c>
      <c r="J2941" s="1">
        <v>4</v>
      </c>
      <c r="K2941" s="1" t="s">
        <v>142</v>
      </c>
      <c r="L2941" s="1" t="s">
        <v>153</v>
      </c>
      <c r="M2941" s="1" t="s">
        <v>28</v>
      </c>
      <c r="N2941" s="1" t="str">
        <f>HYPERLINK("https://klocwork.india.ti.com:443/review/insight-review.html#issuedetails_goto:problemid=136906,project=MCU_PLUS_SDK_AM263X,searchquery=taxonomy:'C and C++' build:Build_Apr_13_2023_11_11_AM grouping:off ","KW Issue Link")</f>
        <v>KW Issue Link</v>
      </c>
      <c r="O2941" s="1" t="s">
        <v>1083</v>
      </c>
    </row>
    <row r="2942" spans="1:15" ht="75" x14ac:dyDescent="0.25">
      <c r="A2942" s="1" t="s">
        <v>997</v>
      </c>
      <c r="B2942" s="1"/>
      <c r="C2942" s="1" t="s">
        <v>4038</v>
      </c>
      <c r="D2942" s="1">
        <v>136907</v>
      </c>
      <c r="E2942" s="1">
        <v>916</v>
      </c>
      <c r="F2942" s="1" t="s">
        <v>4102</v>
      </c>
      <c r="G2942" s="1" t="s">
        <v>4080</v>
      </c>
      <c r="H2942" s="1" t="s">
        <v>141</v>
      </c>
      <c r="I2942" s="1" t="s">
        <v>66</v>
      </c>
      <c r="J2942" s="1">
        <v>4</v>
      </c>
      <c r="K2942" s="1" t="s">
        <v>142</v>
      </c>
      <c r="L2942" s="1" t="s">
        <v>153</v>
      </c>
      <c r="M2942" s="1" t="s">
        <v>28</v>
      </c>
      <c r="N2942" s="1" t="str">
        <f>HYPERLINK("https://klocwork.india.ti.com:443/review/insight-review.html#issuedetails_goto:problemid=136907,project=MCU_PLUS_SDK_AM263X,searchquery=taxonomy:'C and C++' build:Build_Apr_13_2023_11_11_AM grouping:off ","KW Issue Link")</f>
        <v>KW Issue Link</v>
      </c>
      <c r="O2942" s="1" t="s">
        <v>1083</v>
      </c>
    </row>
    <row r="2943" spans="1:15" ht="75" x14ac:dyDescent="0.25">
      <c r="A2943" s="1" t="s">
        <v>997</v>
      </c>
      <c r="B2943" s="1"/>
      <c r="C2943" s="1" t="s">
        <v>4038</v>
      </c>
      <c r="D2943" s="1">
        <v>136908</v>
      </c>
      <c r="E2943" s="1">
        <v>956</v>
      </c>
      <c r="F2943" s="1" t="s">
        <v>3554</v>
      </c>
      <c r="G2943" s="1" t="s">
        <v>4080</v>
      </c>
      <c r="H2943" s="1" t="s">
        <v>141</v>
      </c>
      <c r="I2943" s="1" t="s">
        <v>66</v>
      </c>
      <c r="J2943" s="1">
        <v>4</v>
      </c>
      <c r="K2943" s="1" t="s">
        <v>142</v>
      </c>
      <c r="L2943" s="1" t="s">
        <v>153</v>
      </c>
      <c r="M2943" s="1" t="s">
        <v>28</v>
      </c>
      <c r="N2943" s="1" t="str">
        <f>HYPERLINK("https://klocwork.india.ti.com:443/review/insight-review.html#issuedetails_goto:problemid=136908,project=MCU_PLUS_SDK_AM263X,searchquery=taxonomy:'C and C++' build:Build_Apr_13_2023_11_11_AM grouping:off ","KW Issue Link")</f>
        <v>KW Issue Link</v>
      </c>
      <c r="O2943" s="1" t="s">
        <v>1083</v>
      </c>
    </row>
    <row r="2944" spans="1:15" ht="75" x14ac:dyDescent="0.25">
      <c r="A2944" s="1" t="s">
        <v>997</v>
      </c>
      <c r="B2944" s="1"/>
      <c r="C2944" s="1" t="s">
        <v>4038</v>
      </c>
      <c r="D2944" s="1">
        <v>136909</v>
      </c>
      <c r="E2944" s="1">
        <v>957</v>
      </c>
      <c r="F2944" s="1" t="s">
        <v>3554</v>
      </c>
      <c r="G2944" s="1" t="s">
        <v>4080</v>
      </c>
      <c r="H2944" s="1" t="s">
        <v>141</v>
      </c>
      <c r="I2944" s="1" t="s">
        <v>66</v>
      </c>
      <c r="J2944" s="1">
        <v>4</v>
      </c>
      <c r="K2944" s="1" t="s">
        <v>142</v>
      </c>
      <c r="L2944" s="1" t="s">
        <v>153</v>
      </c>
      <c r="M2944" s="1" t="s">
        <v>28</v>
      </c>
      <c r="N2944" s="1" t="str">
        <f>HYPERLINK("https://klocwork.india.ti.com:443/review/insight-review.html#issuedetails_goto:problemid=136909,project=MCU_PLUS_SDK_AM263X,searchquery=taxonomy:'C and C++' build:Build_Apr_13_2023_11_11_AM grouping:off ","KW Issue Link")</f>
        <v>KW Issue Link</v>
      </c>
      <c r="O2944" s="1" t="s">
        <v>1083</v>
      </c>
    </row>
    <row r="2945" spans="1:15" ht="75" x14ac:dyDescent="0.25">
      <c r="A2945" s="1" t="s">
        <v>157</v>
      </c>
      <c r="B2945" s="1"/>
      <c r="C2945" s="1" t="s">
        <v>4038</v>
      </c>
      <c r="D2945" s="1">
        <v>136910</v>
      </c>
      <c r="E2945" s="1">
        <v>561</v>
      </c>
      <c r="F2945" s="1" t="s">
        <v>708</v>
      </c>
      <c r="G2945" s="1" t="s">
        <v>4076</v>
      </c>
      <c r="H2945" s="1" t="s">
        <v>141</v>
      </c>
      <c r="I2945" s="1" t="s">
        <v>65</v>
      </c>
      <c r="J2945" s="1">
        <v>3</v>
      </c>
      <c r="K2945" s="1" t="s">
        <v>142</v>
      </c>
      <c r="L2945" s="1" t="s">
        <v>153</v>
      </c>
      <c r="M2945" s="1" t="s">
        <v>28</v>
      </c>
      <c r="N2945" s="1" t="str">
        <f>HYPERLINK("https://klocwork.india.ti.com:443/review/insight-review.html#issuedetails_goto:problemid=136910,project=MCU_PLUS_SDK_AM263X,searchquery=taxonomy:'C and C++' build:Build_Apr_13_2023_11_11_AM grouping:off ","KW Issue Link")</f>
        <v>KW Issue Link</v>
      </c>
      <c r="O2945" s="1" t="s">
        <v>1083</v>
      </c>
    </row>
    <row r="2946" spans="1:15" ht="90" x14ac:dyDescent="0.25">
      <c r="A2946" s="1" t="s">
        <v>163</v>
      </c>
      <c r="B2946" s="1"/>
      <c r="C2946" s="1" t="s">
        <v>4038</v>
      </c>
      <c r="D2946" s="1">
        <v>136911</v>
      </c>
      <c r="E2946" s="1">
        <v>592</v>
      </c>
      <c r="F2946" s="1" t="s">
        <v>4103</v>
      </c>
      <c r="G2946" s="1" t="s">
        <v>4076</v>
      </c>
      <c r="H2946" s="1" t="s">
        <v>141</v>
      </c>
      <c r="I2946" s="1" t="s">
        <v>65</v>
      </c>
      <c r="J2946" s="1">
        <v>3</v>
      </c>
      <c r="K2946" s="1" t="s">
        <v>142</v>
      </c>
      <c r="L2946" s="1" t="s">
        <v>153</v>
      </c>
      <c r="M2946" s="1" t="s">
        <v>28</v>
      </c>
      <c r="N2946" s="1" t="str">
        <f>HYPERLINK("https://klocwork.india.ti.com:443/review/insight-review.html#issuedetails_goto:problemid=136911,project=MCU_PLUS_SDK_AM263X,searchquery=taxonomy:'C and C++' build:Build_Apr_13_2023_11_11_AM grouping:off ","KW Issue Link")</f>
        <v>KW Issue Link</v>
      </c>
      <c r="O2946" s="1" t="s">
        <v>1083</v>
      </c>
    </row>
    <row r="2947" spans="1:15" ht="90" x14ac:dyDescent="0.25">
      <c r="A2947" s="1" t="s">
        <v>163</v>
      </c>
      <c r="B2947" s="1"/>
      <c r="C2947" s="1" t="s">
        <v>4038</v>
      </c>
      <c r="D2947" s="1">
        <v>136912</v>
      </c>
      <c r="E2947" s="1">
        <v>592</v>
      </c>
      <c r="F2947" s="1" t="s">
        <v>4104</v>
      </c>
      <c r="G2947" s="1" t="s">
        <v>4076</v>
      </c>
      <c r="H2947" s="1" t="s">
        <v>141</v>
      </c>
      <c r="I2947" s="1" t="s">
        <v>65</v>
      </c>
      <c r="J2947" s="1">
        <v>3</v>
      </c>
      <c r="K2947" s="1" t="s">
        <v>142</v>
      </c>
      <c r="L2947" s="1" t="s">
        <v>153</v>
      </c>
      <c r="M2947" s="1" t="s">
        <v>28</v>
      </c>
      <c r="N2947" s="1" t="str">
        <f>HYPERLINK("https://klocwork.india.ti.com:443/review/insight-review.html#issuedetails_goto:problemid=136912,project=MCU_PLUS_SDK_AM263X,searchquery=taxonomy:'C and C++' build:Build_Apr_13_2023_11_11_AM grouping:off ","KW Issue Link")</f>
        <v>KW Issue Link</v>
      </c>
      <c r="O2947" s="1" t="s">
        <v>1083</v>
      </c>
    </row>
    <row r="2948" spans="1:15" ht="90" x14ac:dyDescent="0.25">
      <c r="A2948" s="1" t="s">
        <v>163</v>
      </c>
      <c r="B2948" s="1"/>
      <c r="C2948" s="1" t="s">
        <v>4038</v>
      </c>
      <c r="D2948" s="1">
        <v>136913</v>
      </c>
      <c r="E2948" s="1">
        <v>592</v>
      </c>
      <c r="F2948" s="1" t="s">
        <v>4105</v>
      </c>
      <c r="G2948" s="1" t="s">
        <v>4076</v>
      </c>
      <c r="H2948" s="1" t="s">
        <v>141</v>
      </c>
      <c r="I2948" s="1" t="s">
        <v>65</v>
      </c>
      <c r="J2948" s="1">
        <v>3</v>
      </c>
      <c r="K2948" s="1" t="s">
        <v>142</v>
      </c>
      <c r="L2948" s="1" t="s">
        <v>153</v>
      </c>
      <c r="M2948" s="1" t="s">
        <v>28</v>
      </c>
      <c r="N2948" s="1" t="str">
        <f>HYPERLINK("https://klocwork.india.ti.com:443/review/insight-review.html#issuedetails_goto:problemid=136913,project=MCU_PLUS_SDK_AM263X,searchquery=taxonomy:'C and C++' build:Build_Apr_13_2023_11_11_AM grouping:off ","KW Issue Link")</f>
        <v>KW Issue Link</v>
      </c>
      <c r="O2948" s="1" t="s">
        <v>1083</v>
      </c>
    </row>
    <row r="2949" spans="1:15" ht="90" x14ac:dyDescent="0.25">
      <c r="A2949" s="1" t="s">
        <v>163</v>
      </c>
      <c r="B2949" s="1"/>
      <c r="C2949" s="1" t="s">
        <v>4038</v>
      </c>
      <c r="D2949" s="1">
        <v>136914</v>
      </c>
      <c r="E2949" s="1">
        <v>592</v>
      </c>
      <c r="F2949" s="1" t="s">
        <v>4106</v>
      </c>
      <c r="G2949" s="1" t="s">
        <v>4076</v>
      </c>
      <c r="H2949" s="1" t="s">
        <v>141</v>
      </c>
      <c r="I2949" s="1" t="s">
        <v>65</v>
      </c>
      <c r="J2949" s="1">
        <v>3</v>
      </c>
      <c r="K2949" s="1" t="s">
        <v>142</v>
      </c>
      <c r="L2949" s="1" t="s">
        <v>153</v>
      </c>
      <c r="M2949" s="1" t="s">
        <v>28</v>
      </c>
      <c r="N2949" s="1" t="str">
        <f>HYPERLINK("https://klocwork.india.ti.com:443/review/insight-review.html#issuedetails_goto:problemid=136914,project=MCU_PLUS_SDK_AM263X,searchquery=taxonomy:'C and C++' build:Build_Apr_13_2023_11_11_AM grouping:off ","KW Issue Link")</f>
        <v>KW Issue Link</v>
      </c>
      <c r="O2949" s="1" t="s">
        <v>1083</v>
      </c>
    </row>
    <row r="2950" spans="1:15" ht="90" x14ac:dyDescent="0.25">
      <c r="A2950" s="1" t="s">
        <v>163</v>
      </c>
      <c r="B2950" s="1"/>
      <c r="C2950" s="1" t="s">
        <v>4038</v>
      </c>
      <c r="D2950" s="1">
        <v>136915</v>
      </c>
      <c r="E2950" s="1">
        <v>592</v>
      </c>
      <c r="F2950" s="1" t="s">
        <v>4107</v>
      </c>
      <c r="G2950" s="1" t="s">
        <v>4076</v>
      </c>
      <c r="H2950" s="1" t="s">
        <v>141</v>
      </c>
      <c r="I2950" s="1" t="s">
        <v>65</v>
      </c>
      <c r="J2950" s="1">
        <v>3</v>
      </c>
      <c r="K2950" s="1" t="s">
        <v>142</v>
      </c>
      <c r="L2950" s="1" t="s">
        <v>153</v>
      </c>
      <c r="M2950" s="1" t="s">
        <v>28</v>
      </c>
      <c r="N2950" s="1" t="str">
        <f>HYPERLINK("https://klocwork.india.ti.com:443/review/insight-review.html#issuedetails_goto:problemid=136915,project=MCU_PLUS_SDK_AM263X,searchquery=taxonomy:'C and C++' build:Build_Apr_13_2023_11_11_AM grouping:off ","KW Issue Link")</f>
        <v>KW Issue Link</v>
      </c>
      <c r="O2950" s="1" t="s">
        <v>1083</v>
      </c>
    </row>
    <row r="2951" spans="1:15" ht="75" x14ac:dyDescent="0.25">
      <c r="A2951" s="1" t="s">
        <v>136</v>
      </c>
      <c r="B2951" s="1"/>
      <c r="C2951" s="1" t="s">
        <v>4038</v>
      </c>
      <c r="D2951" s="1">
        <v>136991</v>
      </c>
      <c r="E2951" s="1">
        <v>1600</v>
      </c>
      <c r="F2951" s="1" t="s">
        <v>465</v>
      </c>
      <c r="G2951" s="1" t="s">
        <v>4060</v>
      </c>
      <c r="H2951" s="1" t="s">
        <v>141</v>
      </c>
      <c r="I2951" s="1" t="s">
        <v>66</v>
      </c>
      <c r="J2951" s="1">
        <v>4</v>
      </c>
      <c r="K2951" s="1" t="s">
        <v>142</v>
      </c>
      <c r="L2951" s="1" t="s">
        <v>153</v>
      </c>
      <c r="M2951" s="1" t="s">
        <v>28</v>
      </c>
      <c r="N2951" s="1" t="str">
        <f>HYPERLINK("https://klocwork.india.ti.com:443/review/insight-review.html#issuedetails_goto:problemid=136991,project=MCU_PLUS_SDK_AM263X,searchquery=taxonomy:'C and C++' build:Build_Apr_13_2023_11_11_AM grouping:off ","KW Issue Link")</f>
        <v>KW Issue Link</v>
      </c>
      <c r="O2951" s="1" t="s">
        <v>1083</v>
      </c>
    </row>
    <row r="2952" spans="1:15" ht="75" x14ac:dyDescent="0.25">
      <c r="A2952" s="1" t="s">
        <v>1257</v>
      </c>
      <c r="B2952" s="1"/>
      <c r="C2952" s="1" t="s">
        <v>4108</v>
      </c>
      <c r="D2952" s="1">
        <v>137031</v>
      </c>
      <c r="E2952" s="1">
        <v>68</v>
      </c>
      <c r="F2952" s="1" t="s">
        <v>4109</v>
      </c>
      <c r="G2952" s="1" t="s">
        <v>4110</v>
      </c>
      <c r="H2952" s="1" t="s">
        <v>141</v>
      </c>
      <c r="I2952" s="1" t="s">
        <v>65</v>
      </c>
      <c r="J2952" s="1">
        <v>3</v>
      </c>
      <c r="K2952" s="1" t="s">
        <v>142</v>
      </c>
      <c r="L2952" s="1" t="s">
        <v>153</v>
      </c>
      <c r="M2952" s="1" t="s">
        <v>1256</v>
      </c>
      <c r="N2952" s="1" t="str">
        <f>HYPERLINK("https://klocwork.india.ti.com:443/review/insight-review.html#issuedetails_goto:problemid=137031,project=MCU_PLUS_SDK_AM263X,searchquery=taxonomy:'C and C++' build:Build_Apr_13_2023_11_11_AM grouping:off ","KW Issue Link")</f>
        <v>KW Issue Link</v>
      </c>
      <c r="O2952" s="1" t="s">
        <v>1083</v>
      </c>
    </row>
    <row r="2953" spans="1:15" ht="75" x14ac:dyDescent="0.25">
      <c r="A2953" s="1" t="s">
        <v>1266</v>
      </c>
      <c r="B2953" s="1"/>
      <c r="C2953" s="1" t="s">
        <v>4108</v>
      </c>
      <c r="D2953" s="1">
        <v>137032</v>
      </c>
      <c r="E2953" s="1">
        <v>68</v>
      </c>
      <c r="F2953" s="1" t="s">
        <v>4111</v>
      </c>
      <c r="G2953" s="1" t="s">
        <v>4110</v>
      </c>
      <c r="H2953" s="1" t="s">
        <v>141</v>
      </c>
      <c r="I2953" s="1" t="s">
        <v>65</v>
      </c>
      <c r="J2953" s="1">
        <v>3</v>
      </c>
      <c r="K2953" s="1" t="s">
        <v>142</v>
      </c>
      <c r="L2953" s="1" t="s">
        <v>153</v>
      </c>
      <c r="M2953" s="1" t="s">
        <v>1256</v>
      </c>
      <c r="N2953" s="1" t="str">
        <f>HYPERLINK("https://klocwork.india.ti.com:443/review/insight-review.html#issuedetails_goto:problemid=137032,project=MCU_PLUS_SDK_AM263X,searchquery=taxonomy:'C and C++' build:Build_Apr_13_2023_11_11_AM grouping:off ","KW Issue Link")</f>
        <v>KW Issue Link</v>
      </c>
      <c r="O2953" s="1" t="s">
        <v>1083</v>
      </c>
    </row>
    <row r="2954" spans="1:15" ht="75" x14ac:dyDescent="0.25">
      <c r="A2954" s="1" t="s">
        <v>1266</v>
      </c>
      <c r="B2954" s="1"/>
      <c r="C2954" s="1" t="s">
        <v>4108</v>
      </c>
      <c r="D2954" s="1">
        <v>137033</v>
      </c>
      <c r="E2954" s="1">
        <v>203</v>
      </c>
      <c r="F2954" s="1" t="s">
        <v>4112</v>
      </c>
      <c r="G2954" s="1" t="s">
        <v>4113</v>
      </c>
      <c r="H2954" s="1" t="s">
        <v>141</v>
      </c>
      <c r="I2954" s="1" t="s">
        <v>65</v>
      </c>
      <c r="J2954" s="1">
        <v>3</v>
      </c>
      <c r="K2954" s="1" t="s">
        <v>142</v>
      </c>
      <c r="L2954" s="1" t="s">
        <v>153</v>
      </c>
      <c r="M2954" s="1" t="s">
        <v>1256</v>
      </c>
      <c r="N2954" s="1" t="str">
        <f>HYPERLINK("https://klocwork.india.ti.com:443/review/insight-review.html#issuedetails_goto:problemid=137033,project=MCU_PLUS_SDK_AM263X,searchquery=taxonomy:'C and C++' build:Build_Apr_13_2023_11_11_AM grouping:off ","KW Issue Link")</f>
        <v>KW Issue Link</v>
      </c>
      <c r="O2954" s="1" t="s">
        <v>1083</v>
      </c>
    </row>
    <row r="2955" spans="1:15" ht="75" x14ac:dyDescent="0.25">
      <c r="A2955" s="1" t="s">
        <v>1266</v>
      </c>
      <c r="B2955" s="1"/>
      <c r="C2955" s="1" t="s">
        <v>4108</v>
      </c>
      <c r="D2955" s="1">
        <v>137034</v>
      </c>
      <c r="E2955" s="1">
        <v>249</v>
      </c>
      <c r="F2955" s="1" t="s">
        <v>4114</v>
      </c>
      <c r="G2955" s="1" t="s">
        <v>4115</v>
      </c>
      <c r="H2955" s="1" t="s">
        <v>141</v>
      </c>
      <c r="I2955" s="1" t="s">
        <v>65</v>
      </c>
      <c r="J2955" s="1">
        <v>3</v>
      </c>
      <c r="K2955" s="1" t="s">
        <v>142</v>
      </c>
      <c r="L2955" s="1" t="s">
        <v>153</v>
      </c>
      <c r="M2955" s="1" t="s">
        <v>1256</v>
      </c>
      <c r="N2955" s="1" t="str">
        <f>HYPERLINK("https://klocwork.india.ti.com:443/review/insight-review.html#issuedetails_goto:problemid=137034,project=MCU_PLUS_SDK_AM263X,searchquery=taxonomy:'C and C++' build:Build_Apr_13_2023_11_11_AM grouping:off ","KW Issue Link")</f>
        <v>KW Issue Link</v>
      </c>
      <c r="O2955" s="1" t="s">
        <v>1083</v>
      </c>
    </row>
    <row r="2956" spans="1:15" ht="75" x14ac:dyDescent="0.25">
      <c r="A2956" s="1" t="s">
        <v>1266</v>
      </c>
      <c r="B2956" s="1"/>
      <c r="C2956" s="1" t="s">
        <v>4108</v>
      </c>
      <c r="D2956" s="1">
        <v>137035</v>
      </c>
      <c r="E2956" s="1">
        <v>337</v>
      </c>
      <c r="F2956" s="1" t="s">
        <v>4116</v>
      </c>
      <c r="G2956" s="1" t="s">
        <v>4117</v>
      </c>
      <c r="H2956" s="1" t="s">
        <v>141</v>
      </c>
      <c r="I2956" s="1" t="s">
        <v>65</v>
      </c>
      <c r="J2956" s="1">
        <v>3</v>
      </c>
      <c r="K2956" s="1" t="s">
        <v>142</v>
      </c>
      <c r="L2956" s="1" t="s">
        <v>153</v>
      </c>
      <c r="M2956" s="1" t="s">
        <v>1256</v>
      </c>
      <c r="N2956" s="1" t="str">
        <f>HYPERLINK("https://klocwork.india.ti.com:443/review/insight-review.html#issuedetails_goto:problemid=137035,project=MCU_PLUS_SDK_AM263X,searchquery=taxonomy:'C and C++' build:Build_Apr_13_2023_11_11_AM grouping:off ","KW Issue Link")</f>
        <v>KW Issue Link</v>
      </c>
      <c r="O2956" s="1" t="s">
        <v>1083</v>
      </c>
    </row>
    <row r="2957" spans="1:15" ht="75" x14ac:dyDescent="0.25">
      <c r="A2957" s="1" t="s">
        <v>1266</v>
      </c>
      <c r="B2957" s="1"/>
      <c r="C2957" s="1" t="s">
        <v>4108</v>
      </c>
      <c r="D2957" s="1">
        <v>137036</v>
      </c>
      <c r="E2957" s="1">
        <v>453</v>
      </c>
      <c r="F2957" s="1" t="s">
        <v>4118</v>
      </c>
      <c r="G2957" s="1" t="s">
        <v>4119</v>
      </c>
      <c r="H2957" s="1" t="s">
        <v>141</v>
      </c>
      <c r="I2957" s="1" t="s">
        <v>65</v>
      </c>
      <c r="J2957" s="1">
        <v>3</v>
      </c>
      <c r="K2957" s="1" t="s">
        <v>142</v>
      </c>
      <c r="L2957" s="1" t="s">
        <v>153</v>
      </c>
      <c r="M2957" s="1" t="s">
        <v>1256</v>
      </c>
      <c r="N2957" s="1" t="str">
        <f>HYPERLINK("https://klocwork.india.ti.com:443/review/insight-review.html#issuedetails_goto:problemid=137036,project=MCU_PLUS_SDK_AM263X,searchquery=taxonomy:'C and C++' build:Build_Apr_13_2023_11_11_AM grouping:off ","KW Issue Link")</f>
        <v>KW Issue Link</v>
      </c>
      <c r="O2957" s="1" t="s">
        <v>1083</v>
      </c>
    </row>
    <row r="2958" spans="1:15" ht="75" x14ac:dyDescent="0.25">
      <c r="A2958" s="1" t="s">
        <v>1268</v>
      </c>
      <c r="B2958" s="1"/>
      <c r="C2958" s="1" t="s">
        <v>4108</v>
      </c>
      <c r="D2958" s="1">
        <v>137037</v>
      </c>
      <c r="E2958" s="1">
        <v>68</v>
      </c>
      <c r="F2958" s="1" t="s">
        <v>4120</v>
      </c>
      <c r="G2958" s="1" t="s">
        <v>4110</v>
      </c>
      <c r="H2958" s="1" t="s">
        <v>141</v>
      </c>
      <c r="I2958" s="1" t="s">
        <v>65</v>
      </c>
      <c r="J2958" s="1">
        <v>3</v>
      </c>
      <c r="K2958" s="1" t="s">
        <v>142</v>
      </c>
      <c r="L2958" s="1" t="s">
        <v>153</v>
      </c>
      <c r="M2958" s="1" t="s">
        <v>1256</v>
      </c>
      <c r="N2958" s="1" t="str">
        <f>HYPERLINK("https://klocwork.india.ti.com:443/review/insight-review.html#issuedetails_goto:problemid=137037,project=MCU_PLUS_SDK_AM263X,searchquery=taxonomy:'C and C++' build:Build_Apr_13_2023_11_11_AM grouping:off ","KW Issue Link")</f>
        <v>KW Issue Link</v>
      </c>
      <c r="O2958" s="1" t="s">
        <v>1083</v>
      </c>
    </row>
    <row r="2959" spans="1:15" ht="75" x14ac:dyDescent="0.25">
      <c r="A2959" s="1" t="s">
        <v>1268</v>
      </c>
      <c r="B2959" s="1"/>
      <c r="C2959" s="1" t="s">
        <v>4108</v>
      </c>
      <c r="D2959" s="1">
        <v>137038</v>
      </c>
      <c r="E2959" s="1">
        <v>203</v>
      </c>
      <c r="F2959" s="1" t="s">
        <v>4121</v>
      </c>
      <c r="G2959" s="1" t="s">
        <v>4113</v>
      </c>
      <c r="H2959" s="1" t="s">
        <v>141</v>
      </c>
      <c r="I2959" s="1" t="s">
        <v>65</v>
      </c>
      <c r="J2959" s="1">
        <v>3</v>
      </c>
      <c r="K2959" s="1" t="s">
        <v>142</v>
      </c>
      <c r="L2959" s="1" t="s">
        <v>153</v>
      </c>
      <c r="M2959" s="1" t="s">
        <v>1256</v>
      </c>
      <c r="N2959" s="1" t="str">
        <f>HYPERLINK("https://klocwork.india.ti.com:443/review/insight-review.html#issuedetails_goto:problemid=137038,project=MCU_PLUS_SDK_AM263X,searchquery=taxonomy:'C and C++' build:Build_Apr_13_2023_11_11_AM grouping:off ","KW Issue Link")</f>
        <v>KW Issue Link</v>
      </c>
      <c r="O2959" s="1" t="s">
        <v>1083</v>
      </c>
    </row>
    <row r="2960" spans="1:15" ht="75" x14ac:dyDescent="0.25">
      <c r="A2960" s="1" t="s">
        <v>1268</v>
      </c>
      <c r="B2960" s="1"/>
      <c r="C2960" s="1" t="s">
        <v>4108</v>
      </c>
      <c r="D2960" s="1">
        <v>137039</v>
      </c>
      <c r="E2960" s="1">
        <v>249</v>
      </c>
      <c r="F2960" s="1" t="s">
        <v>4122</v>
      </c>
      <c r="G2960" s="1" t="s">
        <v>4115</v>
      </c>
      <c r="H2960" s="1" t="s">
        <v>141</v>
      </c>
      <c r="I2960" s="1" t="s">
        <v>65</v>
      </c>
      <c r="J2960" s="1">
        <v>3</v>
      </c>
      <c r="K2960" s="1" t="s">
        <v>142</v>
      </c>
      <c r="L2960" s="1" t="s">
        <v>153</v>
      </c>
      <c r="M2960" s="1" t="s">
        <v>1256</v>
      </c>
      <c r="N2960" s="1" t="str">
        <f>HYPERLINK("https://klocwork.india.ti.com:443/review/insight-review.html#issuedetails_goto:problemid=137039,project=MCU_PLUS_SDK_AM263X,searchquery=taxonomy:'C and C++' build:Build_Apr_13_2023_11_11_AM grouping:off ","KW Issue Link")</f>
        <v>KW Issue Link</v>
      </c>
      <c r="O2960" s="1" t="s">
        <v>1083</v>
      </c>
    </row>
    <row r="2961" spans="1:15" ht="75" x14ac:dyDescent="0.25">
      <c r="A2961" s="1" t="s">
        <v>1268</v>
      </c>
      <c r="B2961" s="1"/>
      <c r="C2961" s="1" t="s">
        <v>4108</v>
      </c>
      <c r="D2961" s="1">
        <v>137040</v>
      </c>
      <c r="E2961" s="1">
        <v>337</v>
      </c>
      <c r="F2961" s="1" t="s">
        <v>4123</v>
      </c>
      <c r="G2961" s="1" t="s">
        <v>4117</v>
      </c>
      <c r="H2961" s="1" t="s">
        <v>141</v>
      </c>
      <c r="I2961" s="1" t="s">
        <v>65</v>
      </c>
      <c r="J2961" s="1">
        <v>3</v>
      </c>
      <c r="K2961" s="1" t="s">
        <v>142</v>
      </c>
      <c r="L2961" s="1" t="s">
        <v>153</v>
      </c>
      <c r="M2961" s="1" t="s">
        <v>1256</v>
      </c>
      <c r="N2961" s="1" t="str">
        <f>HYPERLINK("https://klocwork.india.ti.com:443/review/insight-review.html#issuedetails_goto:problemid=137040,project=MCU_PLUS_SDK_AM263X,searchquery=taxonomy:'C and C++' build:Build_Apr_13_2023_11_11_AM grouping:off ","KW Issue Link")</f>
        <v>KW Issue Link</v>
      </c>
      <c r="O2961" s="1" t="s">
        <v>1083</v>
      </c>
    </row>
    <row r="2962" spans="1:15" ht="75" x14ac:dyDescent="0.25">
      <c r="A2962" s="1" t="s">
        <v>1268</v>
      </c>
      <c r="B2962" s="1"/>
      <c r="C2962" s="1" t="s">
        <v>4108</v>
      </c>
      <c r="D2962" s="1">
        <v>137041</v>
      </c>
      <c r="E2962" s="1">
        <v>453</v>
      </c>
      <c r="F2962" s="1" t="s">
        <v>4124</v>
      </c>
      <c r="G2962" s="1" t="s">
        <v>4119</v>
      </c>
      <c r="H2962" s="1" t="s">
        <v>141</v>
      </c>
      <c r="I2962" s="1" t="s">
        <v>65</v>
      </c>
      <c r="J2962" s="1">
        <v>3</v>
      </c>
      <c r="K2962" s="1" t="s">
        <v>142</v>
      </c>
      <c r="L2962" s="1" t="s">
        <v>153</v>
      </c>
      <c r="M2962" s="1" t="s">
        <v>1256</v>
      </c>
      <c r="N2962" s="1" t="str">
        <f>HYPERLINK("https://klocwork.india.ti.com:443/review/insight-review.html#issuedetails_goto:problemid=137041,project=MCU_PLUS_SDK_AM263X,searchquery=taxonomy:'C and C++' build:Build_Apr_13_2023_11_11_AM grouping:off ","KW Issue Link")</f>
        <v>KW Issue Link</v>
      </c>
      <c r="O2962" s="1" t="s">
        <v>1083</v>
      </c>
    </row>
    <row r="2963" spans="1:15" ht="75" x14ac:dyDescent="0.25">
      <c r="A2963" s="1" t="s">
        <v>997</v>
      </c>
      <c r="B2963" s="1"/>
      <c r="C2963" s="1" t="s">
        <v>4108</v>
      </c>
      <c r="D2963" s="1">
        <v>137290</v>
      </c>
      <c r="E2963" s="1">
        <v>115</v>
      </c>
      <c r="F2963" s="1" t="s">
        <v>3554</v>
      </c>
      <c r="G2963" s="1" t="s">
        <v>4110</v>
      </c>
      <c r="H2963" s="1" t="s">
        <v>141</v>
      </c>
      <c r="I2963" s="1" t="s">
        <v>66</v>
      </c>
      <c r="J2963" s="1">
        <v>4</v>
      </c>
      <c r="K2963" s="1" t="s">
        <v>142</v>
      </c>
      <c r="L2963" s="1" t="s">
        <v>153</v>
      </c>
      <c r="M2963" s="1" t="s">
        <v>28</v>
      </c>
      <c r="N2963" s="1" t="str">
        <f>HYPERLINK("https://klocwork.india.ti.com:443/review/insight-review.html#issuedetails_goto:problemid=137290,project=MCU_PLUS_SDK_AM263X,searchquery=taxonomy:'C and C++' build:Build_Apr_13_2023_11_11_AM grouping:off ","KW Issue Link")</f>
        <v>KW Issue Link</v>
      </c>
      <c r="O2963" s="1" t="s">
        <v>1083</v>
      </c>
    </row>
    <row r="2964" spans="1:15" ht="75" x14ac:dyDescent="0.25">
      <c r="A2964" s="1" t="s">
        <v>997</v>
      </c>
      <c r="B2964" s="1"/>
      <c r="C2964" s="1" t="s">
        <v>4108</v>
      </c>
      <c r="D2964" s="1">
        <v>137291</v>
      </c>
      <c r="E2964" s="1">
        <v>146</v>
      </c>
      <c r="F2964" s="1" t="s">
        <v>4125</v>
      </c>
      <c r="G2964" s="1" t="s">
        <v>4110</v>
      </c>
      <c r="H2964" s="1" t="s">
        <v>141</v>
      </c>
      <c r="I2964" s="1" t="s">
        <v>66</v>
      </c>
      <c r="J2964" s="1">
        <v>4</v>
      </c>
      <c r="K2964" s="1" t="s">
        <v>142</v>
      </c>
      <c r="L2964" s="1" t="s">
        <v>153</v>
      </c>
      <c r="M2964" s="1" t="s">
        <v>28</v>
      </c>
      <c r="N2964" s="1" t="str">
        <f>HYPERLINK("https://klocwork.india.ti.com:443/review/insight-review.html#issuedetails_goto:problemid=137291,project=MCU_PLUS_SDK_AM263X,searchquery=taxonomy:'C and C++' build:Build_Apr_13_2023_11_11_AM grouping:off ","KW Issue Link")</f>
        <v>KW Issue Link</v>
      </c>
      <c r="O2964" s="1" t="s">
        <v>1083</v>
      </c>
    </row>
    <row r="2965" spans="1:15" ht="75" x14ac:dyDescent="0.25">
      <c r="A2965" s="1" t="s">
        <v>997</v>
      </c>
      <c r="B2965" s="1"/>
      <c r="C2965" s="1" t="s">
        <v>4108</v>
      </c>
      <c r="D2965" s="1">
        <v>137292</v>
      </c>
      <c r="E2965" s="1">
        <v>157</v>
      </c>
      <c r="F2965" s="1" t="s">
        <v>4125</v>
      </c>
      <c r="G2965" s="1" t="s">
        <v>4110</v>
      </c>
      <c r="H2965" s="1" t="s">
        <v>141</v>
      </c>
      <c r="I2965" s="1" t="s">
        <v>66</v>
      </c>
      <c r="J2965" s="1">
        <v>4</v>
      </c>
      <c r="K2965" s="1" t="s">
        <v>142</v>
      </c>
      <c r="L2965" s="1" t="s">
        <v>153</v>
      </c>
      <c r="M2965" s="1" t="s">
        <v>28</v>
      </c>
      <c r="N2965" s="1" t="str">
        <f>HYPERLINK("https://klocwork.india.ti.com:443/review/insight-review.html#issuedetails_goto:problemid=137292,project=MCU_PLUS_SDK_AM263X,searchquery=taxonomy:'C and C++' build:Build_Apr_13_2023_11_11_AM grouping:off ","KW Issue Link")</f>
        <v>KW Issue Link</v>
      </c>
      <c r="O2965" s="1" t="s">
        <v>1083</v>
      </c>
    </row>
    <row r="2966" spans="1:15" ht="75" x14ac:dyDescent="0.25">
      <c r="A2966" s="1" t="s">
        <v>997</v>
      </c>
      <c r="B2966" s="1"/>
      <c r="C2966" s="1" t="s">
        <v>4108</v>
      </c>
      <c r="D2966" s="1">
        <v>137293</v>
      </c>
      <c r="E2966" s="1">
        <v>172</v>
      </c>
      <c r="F2966" s="1" t="s">
        <v>4125</v>
      </c>
      <c r="G2966" s="1" t="s">
        <v>4110</v>
      </c>
      <c r="H2966" s="1" t="s">
        <v>141</v>
      </c>
      <c r="I2966" s="1" t="s">
        <v>66</v>
      </c>
      <c r="J2966" s="1">
        <v>4</v>
      </c>
      <c r="K2966" s="1" t="s">
        <v>142</v>
      </c>
      <c r="L2966" s="1" t="s">
        <v>153</v>
      </c>
      <c r="M2966" s="1" t="s">
        <v>28</v>
      </c>
      <c r="N2966" s="1" t="str">
        <f>HYPERLINK("https://klocwork.india.ti.com:443/review/insight-review.html#issuedetails_goto:problemid=137293,project=MCU_PLUS_SDK_AM263X,searchquery=taxonomy:'C and C++' build:Build_Apr_13_2023_11_11_AM grouping:off ","KW Issue Link")</f>
        <v>KW Issue Link</v>
      </c>
      <c r="O2966" s="1" t="s">
        <v>1083</v>
      </c>
    </row>
    <row r="2967" spans="1:15" ht="75" x14ac:dyDescent="0.25">
      <c r="A2967" s="1" t="s">
        <v>997</v>
      </c>
      <c r="B2967" s="1"/>
      <c r="C2967" s="1" t="s">
        <v>4108</v>
      </c>
      <c r="D2967" s="1">
        <v>137294</v>
      </c>
      <c r="E2967" s="1">
        <v>173</v>
      </c>
      <c r="F2967" s="1" t="s">
        <v>4125</v>
      </c>
      <c r="G2967" s="1" t="s">
        <v>4110</v>
      </c>
      <c r="H2967" s="1" t="s">
        <v>141</v>
      </c>
      <c r="I2967" s="1" t="s">
        <v>66</v>
      </c>
      <c r="J2967" s="1">
        <v>4</v>
      </c>
      <c r="K2967" s="1" t="s">
        <v>142</v>
      </c>
      <c r="L2967" s="1" t="s">
        <v>153</v>
      </c>
      <c r="M2967" s="1" t="s">
        <v>28</v>
      </c>
      <c r="N2967" s="1" t="str">
        <f>HYPERLINK("https://klocwork.india.ti.com:443/review/insight-review.html#issuedetails_goto:problemid=137294,project=MCU_PLUS_SDK_AM263X,searchquery=taxonomy:'C and C++' build:Build_Apr_13_2023_11_11_AM grouping:off ","KW Issue Link")</f>
        <v>KW Issue Link</v>
      </c>
      <c r="O2967" s="1" t="s">
        <v>1083</v>
      </c>
    </row>
    <row r="2968" spans="1:15" ht="75" x14ac:dyDescent="0.25">
      <c r="A2968" s="1" t="s">
        <v>997</v>
      </c>
      <c r="B2968" s="1"/>
      <c r="C2968" s="1" t="s">
        <v>4108</v>
      </c>
      <c r="D2968" s="1">
        <v>137295</v>
      </c>
      <c r="E2968" s="1">
        <v>174</v>
      </c>
      <c r="F2968" s="1" t="s">
        <v>4125</v>
      </c>
      <c r="G2968" s="1" t="s">
        <v>4110</v>
      </c>
      <c r="H2968" s="1" t="s">
        <v>141</v>
      </c>
      <c r="I2968" s="1" t="s">
        <v>66</v>
      </c>
      <c r="J2968" s="1">
        <v>4</v>
      </c>
      <c r="K2968" s="1" t="s">
        <v>142</v>
      </c>
      <c r="L2968" s="1" t="s">
        <v>153</v>
      </c>
      <c r="M2968" s="1" t="s">
        <v>28</v>
      </c>
      <c r="N2968" s="1" t="str">
        <f>HYPERLINK("https://klocwork.india.ti.com:443/review/insight-review.html#issuedetails_goto:problemid=137295,project=MCU_PLUS_SDK_AM263X,searchquery=taxonomy:'C and C++' build:Build_Apr_13_2023_11_11_AM grouping:off ","KW Issue Link")</f>
        <v>KW Issue Link</v>
      </c>
      <c r="O2968" s="1" t="s">
        <v>1083</v>
      </c>
    </row>
    <row r="2969" spans="1:15" ht="75" x14ac:dyDescent="0.25">
      <c r="A2969" s="1" t="s">
        <v>997</v>
      </c>
      <c r="B2969" s="1"/>
      <c r="C2969" s="1" t="s">
        <v>4108</v>
      </c>
      <c r="D2969" s="1">
        <v>137296</v>
      </c>
      <c r="E2969" s="1">
        <v>232</v>
      </c>
      <c r="F2969" s="1" t="s">
        <v>4125</v>
      </c>
      <c r="G2969" s="1" t="s">
        <v>4113</v>
      </c>
      <c r="H2969" s="1" t="s">
        <v>141</v>
      </c>
      <c r="I2969" s="1" t="s">
        <v>66</v>
      </c>
      <c r="J2969" s="1">
        <v>4</v>
      </c>
      <c r="K2969" s="1" t="s">
        <v>142</v>
      </c>
      <c r="L2969" s="1" t="s">
        <v>153</v>
      </c>
      <c r="M2969" s="1" t="s">
        <v>28</v>
      </c>
      <c r="N2969" s="1" t="str">
        <f>HYPERLINK("https://klocwork.india.ti.com:443/review/insight-review.html#issuedetails_goto:problemid=137296,project=MCU_PLUS_SDK_AM263X,searchquery=taxonomy:'C and C++' build:Build_Apr_13_2023_11_11_AM grouping:off ","KW Issue Link")</f>
        <v>KW Issue Link</v>
      </c>
      <c r="O2969" s="1" t="s">
        <v>1083</v>
      </c>
    </row>
    <row r="2970" spans="1:15" ht="75" x14ac:dyDescent="0.25">
      <c r="A2970" s="1" t="s">
        <v>997</v>
      </c>
      <c r="B2970" s="1"/>
      <c r="C2970" s="1" t="s">
        <v>4108</v>
      </c>
      <c r="D2970" s="1">
        <v>137297</v>
      </c>
      <c r="E2970" s="1">
        <v>233</v>
      </c>
      <c r="F2970" s="1" t="s">
        <v>4125</v>
      </c>
      <c r="G2970" s="1" t="s">
        <v>4113</v>
      </c>
      <c r="H2970" s="1" t="s">
        <v>141</v>
      </c>
      <c r="I2970" s="1" t="s">
        <v>66</v>
      </c>
      <c r="J2970" s="1">
        <v>4</v>
      </c>
      <c r="K2970" s="1" t="s">
        <v>142</v>
      </c>
      <c r="L2970" s="1" t="s">
        <v>153</v>
      </c>
      <c r="M2970" s="1" t="s">
        <v>28</v>
      </c>
      <c r="N2970" s="1" t="str">
        <f>HYPERLINK("https://klocwork.india.ti.com:443/review/insight-review.html#issuedetails_goto:problemid=137297,project=MCU_PLUS_SDK_AM263X,searchquery=taxonomy:'C and C++' build:Build_Apr_13_2023_11_11_AM grouping:off ","KW Issue Link")</f>
        <v>KW Issue Link</v>
      </c>
      <c r="O2970" s="1" t="s">
        <v>1083</v>
      </c>
    </row>
    <row r="2971" spans="1:15" ht="75" x14ac:dyDescent="0.25">
      <c r="A2971" s="1" t="s">
        <v>997</v>
      </c>
      <c r="B2971" s="1"/>
      <c r="C2971" s="1" t="s">
        <v>4108</v>
      </c>
      <c r="D2971" s="1">
        <v>137298</v>
      </c>
      <c r="E2971" s="1">
        <v>270</v>
      </c>
      <c r="F2971" s="1" t="s">
        <v>4126</v>
      </c>
      <c r="G2971" s="1" t="s">
        <v>4115</v>
      </c>
      <c r="H2971" s="1" t="s">
        <v>141</v>
      </c>
      <c r="I2971" s="1" t="s">
        <v>66</v>
      </c>
      <c r="J2971" s="1">
        <v>4</v>
      </c>
      <c r="K2971" s="1" t="s">
        <v>142</v>
      </c>
      <c r="L2971" s="1" t="s">
        <v>153</v>
      </c>
      <c r="M2971" s="1" t="s">
        <v>28</v>
      </c>
      <c r="N2971" s="1" t="str">
        <f>HYPERLINK("https://klocwork.india.ti.com:443/review/insight-review.html#issuedetails_goto:problemid=137298,project=MCU_PLUS_SDK_AM263X,searchquery=taxonomy:'C and C++' build:Build_Apr_13_2023_11_11_AM grouping:off ","KW Issue Link")</f>
        <v>KW Issue Link</v>
      </c>
      <c r="O2971" s="1" t="s">
        <v>1083</v>
      </c>
    </row>
    <row r="2972" spans="1:15" ht="75" x14ac:dyDescent="0.25">
      <c r="A2972" s="1" t="s">
        <v>997</v>
      </c>
      <c r="B2972" s="1"/>
      <c r="C2972" s="1" t="s">
        <v>4108</v>
      </c>
      <c r="D2972" s="1">
        <v>137299</v>
      </c>
      <c r="E2972" s="1">
        <v>290</v>
      </c>
      <c r="F2972" s="1" t="s">
        <v>4126</v>
      </c>
      <c r="G2972" s="1" t="s">
        <v>4115</v>
      </c>
      <c r="H2972" s="1" t="s">
        <v>141</v>
      </c>
      <c r="I2972" s="1" t="s">
        <v>66</v>
      </c>
      <c r="J2972" s="1">
        <v>4</v>
      </c>
      <c r="K2972" s="1" t="s">
        <v>142</v>
      </c>
      <c r="L2972" s="1" t="s">
        <v>153</v>
      </c>
      <c r="M2972" s="1" t="s">
        <v>28</v>
      </c>
      <c r="N2972" s="1" t="str">
        <f>HYPERLINK("https://klocwork.india.ti.com:443/review/insight-review.html#issuedetails_goto:problemid=137299,project=MCU_PLUS_SDK_AM263X,searchquery=taxonomy:'C and C++' build:Build_Apr_13_2023_11_11_AM grouping:off ","KW Issue Link")</f>
        <v>KW Issue Link</v>
      </c>
      <c r="O2972" s="1" t="s">
        <v>1083</v>
      </c>
    </row>
    <row r="2973" spans="1:15" ht="75" x14ac:dyDescent="0.25">
      <c r="A2973" s="1" t="s">
        <v>997</v>
      </c>
      <c r="B2973" s="1"/>
      <c r="C2973" s="1" t="s">
        <v>4108</v>
      </c>
      <c r="D2973" s="1">
        <v>137300</v>
      </c>
      <c r="E2973" s="1">
        <v>309</v>
      </c>
      <c r="F2973" s="1" t="s">
        <v>4125</v>
      </c>
      <c r="G2973" s="1" t="s">
        <v>4115</v>
      </c>
      <c r="H2973" s="1" t="s">
        <v>141</v>
      </c>
      <c r="I2973" s="1" t="s">
        <v>66</v>
      </c>
      <c r="J2973" s="1">
        <v>4</v>
      </c>
      <c r="K2973" s="1" t="s">
        <v>142</v>
      </c>
      <c r="L2973" s="1" t="s">
        <v>153</v>
      </c>
      <c r="M2973" s="1" t="s">
        <v>28</v>
      </c>
      <c r="N2973" s="1" t="str">
        <f>HYPERLINK("https://klocwork.india.ti.com:443/review/insight-review.html#issuedetails_goto:problemid=137300,project=MCU_PLUS_SDK_AM263X,searchquery=taxonomy:'C and C++' build:Build_Apr_13_2023_11_11_AM grouping:off ","KW Issue Link")</f>
        <v>KW Issue Link</v>
      </c>
      <c r="O2973" s="1" t="s">
        <v>1083</v>
      </c>
    </row>
    <row r="2974" spans="1:15" ht="75" x14ac:dyDescent="0.25">
      <c r="A2974" s="1" t="s">
        <v>997</v>
      </c>
      <c r="B2974" s="1"/>
      <c r="C2974" s="1" t="s">
        <v>4108</v>
      </c>
      <c r="D2974" s="1">
        <v>137301</v>
      </c>
      <c r="E2974" s="1">
        <v>310</v>
      </c>
      <c r="F2974" s="1" t="s">
        <v>4125</v>
      </c>
      <c r="G2974" s="1" t="s">
        <v>4115</v>
      </c>
      <c r="H2974" s="1" t="s">
        <v>141</v>
      </c>
      <c r="I2974" s="1" t="s">
        <v>66</v>
      </c>
      <c r="J2974" s="1">
        <v>4</v>
      </c>
      <c r="K2974" s="1" t="s">
        <v>142</v>
      </c>
      <c r="L2974" s="1" t="s">
        <v>153</v>
      </c>
      <c r="M2974" s="1" t="s">
        <v>28</v>
      </c>
      <c r="N2974" s="1" t="str">
        <f>HYPERLINK("https://klocwork.india.ti.com:443/review/insight-review.html#issuedetails_goto:problemid=137301,project=MCU_PLUS_SDK_AM263X,searchquery=taxonomy:'C and C++' build:Build_Apr_13_2023_11_11_AM grouping:off ","KW Issue Link")</f>
        <v>KW Issue Link</v>
      </c>
      <c r="O2974" s="1" t="s">
        <v>1083</v>
      </c>
    </row>
    <row r="2975" spans="1:15" ht="75" x14ac:dyDescent="0.25">
      <c r="A2975" s="1" t="s">
        <v>997</v>
      </c>
      <c r="B2975" s="1"/>
      <c r="C2975" s="1" t="s">
        <v>4108</v>
      </c>
      <c r="D2975" s="1">
        <v>137302</v>
      </c>
      <c r="E2975" s="1">
        <v>418</v>
      </c>
      <c r="F2975" s="1" t="s">
        <v>4125</v>
      </c>
      <c r="G2975" s="1" t="s">
        <v>4117</v>
      </c>
      <c r="H2975" s="1" t="s">
        <v>141</v>
      </c>
      <c r="I2975" s="1" t="s">
        <v>66</v>
      </c>
      <c r="J2975" s="1">
        <v>4</v>
      </c>
      <c r="K2975" s="1" t="s">
        <v>142</v>
      </c>
      <c r="L2975" s="1" t="s">
        <v>153</v>
      </c>
      <c r="M2975" s="1" t="s">
        <v>28</v>
      </c>
      <c r="N2975" s="1" t="str">
        <f>HYPERLINK("https://klocwork.india.ti.com:443/review/insight-review.html#issuedetails_goto:problemid=137302,project=MCU_PLUS_SDK_AM263X,searchquery=taxonomy:'C and C++' build:Build_Apr_13_2023_11_11_AM grouping:off ","KW Issue Link")</f>
        <v>KW Issue Link</v>
      </c>
      <c r="O2975" s="1" t="s">
        <v>1083</v>
      </c>
    </row>
    <row r="2976" spans="1:15" ht="75" x14ac:dyDescent="0.25">
      <c r="A2976" s="1" t="s">
        <v>997</v>
      </c>
      <c r="B2976" s="1"/>
      <c r="C2976" s="1" t="s">
        <v>4108</v>
      </c>
      <c r="D2976" s="1">
        <v>137303</v>
      </c>
      <c r="E2976" s="1">
        <v>420</v>
      </c>
      <c r="F2976" s="1" t="s">
        <v>4125</v>
      </c>
      <c r="G2976" s="1" t="s">
        <v>4117</v>
      </c>
      <c r="H2976" s="1" t="s">
        <v>141</v>
      </c>
      <c r="I2976" s="1" t="s">
        <v>66</v>
      </c>
      <c r="J2976" s="1">
        <v>4</v>
      </c>
      <c r="K2976" s="1" t="s">
        <v>142</v>
      </c>
      <c r="L2976" s="1" t="s">
        <v>153</v>
      </c>
      <c r="M2976" s="1" t="s">
        <v>28</v>
      </c>
      <c r="N2976" s="1" t="str">
        <f>HYPERLINK("https://klocwork.india.ti.com:443/review/insight-review.html#issuedetails_goto:problemid=137303,project=MCU_PLUS_SDK_AM263X,searchquery=taxonomy:'C and C++' build:Build_Apr_13_2023_11_11_AM grouping:off ","KW Issue Link")</f>
        <v>KW Issue Link</v>
      </c>
      <c r="O2976" s="1" t="s">
        <v>1083</v>
      </c>
    </row>
    <row r="2977" spans="1:15" ht="75" x14ac:dyDescent="0.25">
      <c r="A2977" s="1" t="s">
        <v>997</v>
      </c>
      <c r="B2977" s="1"/>
      <c r="C2977" s="1" t="s">
        <v>4108</v>
      </c>
      <c r="D2977" s="1">
        <v>137304</v>
      </c>
      <c r="E2977" s="1">
        <v>429</v>
      </c>
      <c r="F2977" s="1" t="s">
        <v>4125</v>
      </c>
      <c r="G2977" s="1" t="s">
        <v>4117</v>
      </c>
      <c r="H2977" s="1" t="s">
        <v>141</v>
      </c>
      <c r="I2977" s="1" t="s">
        <v>66</v>
      </c>
      <c r="J2977" s="1">
        <v>4</v>
      </c>
      <c r="K2977" s="1" t="s">
        <v>142</v>
      </c>
      <c r="L2977" s="1" t="s">
        <v>153</v>
      </c>
      <c r="M2977" s="1" t="s">
        <v>28</v>
      </c>
      <c r="N2977" s="1" t="str">
        <f>HYPERLINK("https://klocwork.india.ti.com:443/review/insight-review.html#issuedetails_goto:problemid=137304,project=MCU_PLUS_SDK_AM263X,searchquery=taxonomy:'C and C++' build:Build_Apr_13_2023_11_11_AM grouping:off ","KW Issue Link")</f>
        <v>KW Issue Link</v>
      </c>
      <c r="O2977" s="1" t="s">
        <v>1083</v>
      </c>
    </row>
    <row r="2978" spans="1:15" ht="75" x14ac:dyDescent="0.25">
      <c r="A2978" s="1" t="s">
        <v>997</v>
      </c>
      <c r="B2978" s="1"/>
      <c r="C2978" s="1" t="s">
        <v>4108</v>
      </c>
      <c r="D2978" s="1">
        <v>137305</v>
      </c>
      <c r="E2978" s="1">
        <v>431</v>
      </c>
      <c r="F2978" s="1" t="s">
        <v>4125</v>
      </c>
      <c r="G2978" s="1" t="s">
        <v>4117</v>
      </c>
      <c r="H2978" s="1" t="s">
        <v>141</v>
      </c>
      <c r="I2978" s="1" t="s">
        <v>66</v>
      </c>
      <c r="J2978" s="1">
        <v>4</v>
      </c>
      <c r="K2978" s="1" t="s">
        <v>142</v>
      </c>
      <c r="L2978" s="1" t="s">
        <v>153</v>
      </c>
      <c r="M2978" s="1" t="s">
        <v>28</v>
      </c>
      <c r="N2978" s="1" t="str">
        <f>HYPERLINK("https://klocwork.india.ti.com:443/review/insight-review.html#issuedetails_goto:problemid=137305,project=MCU_PLUS_SDK_AM263X,searchquery=taxonomy:'C and C++' build:Build_Apr_13_2023_11_11_AM grouping:off ","KW Issue Link")</f>
        <v>KW Issue Link</v>
      </c>
      <c r="O2978" s="1" t="s">
        <v>1083</v>
      </c>
    </row>
    <row r="2979" spans="1:15" ht="75" x14ac:dyDescent="0.25">
      <c r="A2979" s="1" t="s">
        <v>1252</v>
      </c>
      <c r="B2979" s="1"/>
      <c r="C2979" s="1" t="s">
        <v>4108</v>
      </c>
      <c r="D2979" s="1">
        <v>137313</v>
      </c>
      <c r="E2979" s="1">
        <v>249</v>
      </c>
      <c r="F2979" s="1" t="s">
        <v>4127</v>
      </c>
      <c r="G2979" s="1" t="s">
        <v>4115</v>
      </c>
      <c r="H2979" s="1" t="s">
        <v>141</v>
      </c>
      <c r="I2979" s="1" t="s">
        <v>65</v>
      </c>
      <c r="J2979" s="1">
        <v>3</v>
      </c>
      <c r="K2979" s="1" t="s">
        <v>142</v>
      </c>
      <c r="L2979" s="1" t="s">
        <v>153</v>
      </c>
      <c r="M2979" s="1" t="s">
        <v>1256</v>
      </c>
      <c r="N2979" s="1" t="str">
        <f>HYPERLINK("https://klocwork.india.ti.com:443/review/insight-review.html#issuedetails_goto:problemid=137313,project=MCU_PLUS_SDK_AM263X,searchquery=taxonomy:'C and C++' build:Build_Apr_13_2023_11_11_AM grouping:off ","KW Issue Link")</f>
        <v>KW Issue Link</v>
      </c>
      <c r="O2979" s="1" t="s">
        <v>1083</v>
      </c>
    </row>
    <row r="2980" spans="1:15" ht="75" x14ac:dyDescent="0.25">
      <c r="A2980" s="1" t="s">
        <v>1252</v>
      </c>
      <c r="B2980" s="1"/>
      <c r="C2980" s="1" t="s">
        <v>4108</v>
      </c>
      <c r="D2980" s="1">
        <v>137314</v>
      </c>
      <c r="E2980" s="1">
        <v>337</v>
      </c>
      <c r="F2980" s="1" t="s">
        <v>4128</v>
      </c>
      <c r="G2980" s="1" t="s">
        <v>4117</v>
      </c>
      <c r="H2980" s="1" t="s">
        <v>141</v>
      </c>
      <c r="I2980" s="1" t="s">
        <v>65</v>
      </c>
      <c r="J2980" s="1">
        <v>3</v>
      </c>
      <c r="K2980" s="1" t="s">
        <v>142</v>
      </c>
      <c r="L2980" s="1" t="s">
        <v>153</v>
      </c>
      <c r="M2980" s="1" t="s">
        <v>1256</v>
      </c>
      <c r="N2980" s="1" t="str">
        <f>HYPERLINK("https://klocwork.india.ti.com:443/review/insight-review.html#issuedetails_goto:problemid=137314,project=MCU_PLUS_SDK_AM263X,searchquery=taxonomy:'C and C++' build:Build_Apr_13_2023_11_11_AM grouping:off ","KW Issue Link")</f>
        <v>KW Issue Link</v>
      </c>
      <c r="O2980" s="1" t="s">
        <v>1083</v>
      </c>
    </row>
    <row r="2981" spans="1:15" ht="75" x14ac:dyDescent="0.25">
      <c r="A2981" s="1" t="s">
        <v>1252</v>
      </c>
      <c r="B2981" s="1"/>
      <c r="C2981" s="1" t="s">
        <v>4108</v>
      </c>
      <c r="D2981" s="1">
        <v>137315</v>
      </c>
      <c r="E2981" s="1">
        <v>453</v>
      </c>
      <c r="F2981" s="1" t="s">
        <v>4129</v>
      </c>
      <c r="G2981" s="1" t="s">
        <v>4119</v>
      </c>
      <c r="H2981" s="1" t="s">
        <v>141</v>
      </c>
      <c r="I2981" s="1" t="s">
        <v>65</v>
      </c>
      <c r="J2981" s="1">
        <v>3</v>
      </c>
      <c r="K2981" s="1" t="s">
        <v>142</v>
      </c>
      <c r="L2981" s="1" t="s">
        <v>153</v>
      </c>
      <c r="M2981" s="1" t="s">
        <v>1256</v>
      </c>
      <c r="N2981" s="1" t="str">
        <f>HYPERLINK("https://klocwork.india.ti.com:443/review/insight-review.html#issuedetails_goto:problemid=137315,project=MCU_PLUS_SDK_AM263X,searchquery=taxonomy:'C and C++' build:Build_Apr_13_2023_11_11_AM grouping:off ","KW Issue Link")</f>
        <v>KW Issue Link</v>
      </c>
      <c r="O2981" s="1" t="s">
        <v>1083</v>
      </c>
    </row>
    <row r="2982" spans="1:15" ht="75" x14ac:dyDescent="0.25">
      <c r="A2982" s="1" t="s">
        <v>1266</v>
      </c>
      <c r="B2982" s="1"/>
      <c r="C2982" s="1" t="s">
        <v>4130</v>
      </c>
      <c r="D2982" s="1">
        <v>137570</v>
      </c>
      <c r="E2982" s="1">
        <v>317</v>
      </c>
      <c r="F2982" s="1" t="s">
        <v>4131</v>
      </c>
      <c r="G2982" s="1" t="s">
        <v>4132</v>
      </c>
      <c r="H2982" s="1" t="s">
        <v>141</v>
      </c>
      <c r="I2982" s="1" t="s">
        <v>65</v>
      </c>
      <c r="J2982" s="1">
        <v>3</v>
      </c>
      <c r="K2982" s="1" t="s">
        <v>142</v>
      </c>
      <c r="L2982" s="1" t="s">
        <v>153</v>
      </c>
      <c r="M2982" s="1" t="s">
        <v>1256</v>
      </c>
      <c r="N2982" s="1" t="str">
        <f>HYPERLINK("https://klocwork.india.ti.com:443/review/insight-review.html#issuedetails_goto:problemid=137570,project=MCU_PLUS_SDK_AM263X,searchquery=taxonomy:'C and C++' build:Build_Apr_13_2023_11_11_AM grouping:off ","KW Issue Link")</f>
        <v>KW Issue Link</v>
      </c>
      <c r="O2982" s="1" t="s">
        <v>1083</v>
      </c>
    </row>
    <row r="2983" spans="1:15" ht="75" x14ac:dyDescent="0.25">
      <c r="A2983" s="1" t="s">
        <v>1268</v>
      </c>
      <c r="B2983" s="1"/>
      <c r="C2983" s="1" t="s">
        <v>4130</v>
      </c>
      <c r="D2983" s="1">
        <v>137572</v>
      </c>
      <c r="E2983" s="1">
        <v>317</v>
      </c>
      <c r="F2983" s="1" t="s">
        <v>4133</v>
      </c>
      <c r="G2983" s="1" t="s">
        <v>4132</v>
      </c>
      <c r="H2983" s="1" t="s">
        <v>141</v>
      </c>
      <c r="I2983" s="1" t="s">
        <v>65</v>
      </c>
      <c r="J2983" s="1">
        <v>3</v>
      </c>
      <c r="K2983" s="1" t="s">
        <v>142</v>
      </c>
      <c r="L2983" s="1" t="s">
        <v>153</v>
      </c>
      <c r="M2983" s="1" t="s">
        <v>1256</v>
      </c>
      <c r="N2983" s="1" t="str">
        <f>HYPERLINK("https://klocwork.india.ti.com:443/review/insight-review.html#issuedetails_goto:problemid=137572,project=MCU_PLUS_SDK_AM263X,searchquery=taxonomy:'C and C++' build:Build_Apr_13_2023_11_11_AM grouping:off ","KW Issue Link")</f>
        <v>KW Issue Link</v>
      </c>
      <c r="O2983" s="1" t="s">
        <v>1083</v>
      </c>
    </row>
    <row r="2984" spans="1:15" ht="105" x14ac:dyDescent="0.25">
      <c r="A2984" s="1" t="s">
        <v>149</v>
      </c>
      <c r="B2984" s="1"/>
      <c r="C2984" s="1" t="s">
        <v>4130</v>
      </c>
      <c r="D2984" s="1">
        <v>137575</v>
      </c>
      <c r="E2984" s="1">
        <v>400</v>
      </c>
      <c r="F2984" s="1" t="s">
        <v>4134</v>
      </c>
      <c r="G2984" s="1" t="s">
        <v>4135</v>
      </c>
      <c r="H2984" s="1" t="s">
        <v>141</v>
      </c>
      <c r="I2984" s="1" t="s">
        <v>65</v>
      </c>
      <c r="J2984" s="1">
        <v>3</v>
      </c>
      <c r="K2984" s="1" t="s">
        <v>142</v>
      </c>
      <c r="L2984" s="1" t="s">
        <v>153</v>
      </c>
      <c r="M2984" s="1" t="s">
        <v>28</v>
      </c>
      <c r="N2984" s="1" t="str">
        <f>HYPERLINK("https://klocwork.india.ti.com:443/review/insight-review.html#issuedetails_goto:problemid=137575,project=MCU_PLUS_SDK_AM263X,searchquery=taxonomy:'C and C++' build:Build_Apr_13_2023_11_11_AM grouping:off ","KW Issue Link")</f>
        <v>KW Issue Link</v>
      </c>
      <c r="O2984" s="1" t="s">
        <v>1083</v>
      </c>
    </row>
    <row r="2985" spans="1:15" ht="75" x14ac:dyDescent="0.25">
      <c r="A2985" s="1" t="s">
        <v>155</v>
      </c>
      <c r="B2985" s="1"/>
      <c r="C2985" s="1" t="s">
        <v>4130</v>
      </c>
      <c r="D2985" s="1">
        <v>137586</v>
      </c>
      <c r="E2985" s="1">
        <v>401</v>
      </c>
      <c r="F2985" s="1" t="s">
        <v>156</v>
      </c>
      <c r="G2985" s="1" t="s">
        <v>4135</v>
      </c>
      <c r="H2985" s="1" t="s">
        <v>141</v>
      </c>
      <c r="I2985" s="1" t="s">
        <v>65</v>
      </c>
      <c r="J2985" s="1">
        <v>3</v>
      </c>
      <c r="K2985" s="1" t="s">
        <v>142</v>
      </c>
      <c r="L2985" s="1" t="s">
        <v>153</v>
      </c>
      <c r="M2985" s="1" t="s">
        <v>28</v>
      </c>
      <c r="N2985" s="1" t="str">
        <f>HYPERLINK("https://klocwork.india.ti.com:443/review/insight-review.html#issuedetails_goto:problemid=137586,project=MCU_PLUS_SDK_AM263X,searchquery=taxonomy:'C and C++' build:Build_Apr_13_2023_11_11_AM grouping:off ","KW Issue Link")</f>
        <v>KW Issue Link</v>
      </c>
      <c r="O2985" s="1" t="s">
        <v>1083</v>
      </c>
    </row>
    <row r="2986" spans="1:15" ht="75" x14ac:dyDescent="0.25">
      <c r="A2986" s="1" t="s">
        <v>149</v>
      </c>
      <c r="B2986" s="1"/>
      <c r="C2986" s="1" t="s">
        <v>4136</v>
      </c>
      <c r="D2986" s="1">
        <v>137723</v>
      </c>
      <c r="E2986" s="1">
        <v>312</v>
      </c>
      <c r="F2986" s="1" t="s">
        <v>3582</v>
      </c>
      <c r="G2986" s="1" t="s">
        <v>4137</v>
      </c>
      <c r="H2986" s="1" t="s">
        <v>141</v>
      </c>
      <c r="I2986" s="1" t="s">
        <v>65</v>
      </c>
      <c r="J2986" s="1">
        <v>3</v>
      </c>
      <c r="K2986" s="1" t="s">
        <v>142</v>
      </c>
      <c r="L2986" s="1" t="s">
        <v>153</v>
      </c>
      <c r="M2986" s="1" t="s">
        <v>28</v>
      </c>
      <c r="N2986" s="1" t="str">
        <f>HYPERLINK("https://klocwork.india.ti.com:443/review/insight-review.html#issuedetails_goto:problemid=137723,project=MCU_PLUS_SDK_AM263X,searchquery=taxonomy:'C and C++' build:Build_Apr_13_2023_11_11_AM grouping:off ","KW Issue Link")</f>
        <v>KW Issue Link</v>
      </c>
      <c r="O2986" s="1" t="s">
        <v>1083</v>
      </c>
    </row>
    <row r="2987" spans="1:15" ht="75" x14ac:dyDescent="0.25">
      <c r="A2987" s="1" t="s">
        <v>149</v>
      </c>
      <c r="B2987" s="1"/>
      <c r="C2987" s="1" t="s">
        <v>4136</v>
      </c>
      <c r="D2987" s="1">
        <v>137724</v>
      </c>
      <c r="E2987" s="1">
        <v>322</v>
      </c>
      <c r="F2987" s="1" t="s">
        <v>3582</v>
      </c>
      <c r="G2987" s="1" t="s">
        <v>4137</v>
      </c>
      <c r="H2987" s="1" t="s">
        <v>141</v>
      </c>
      <c r="I2987" s="1" t="s">
        <v>65</v>
      </c>
      <c r="J2987" s="1">
        <v>3</v>
      </c>
      <c r="K2987" s="1" t="s">
        <v>142</v>
      </c>
      <c r="L2987" s="1" t="s">
        <v>153</v>
      </c>
      <c r="M2987" s="1" t="s">
        <v>28</v>
      </c>
      <c r="N2987" s="1" t="str">
        <f>HYPERLINK("https://klocwork.india.ti.com:443/review/insight-review.html#issuedetails_goto:problemid=137724,project=MCU_PLUS_SDK_AM263X,searchquery=taxonomy:'C and C++' build:Build_Apr_13_2023_11_11_AM grouping:off ","KW Issue Link")</f>
        <v>KW Issue Link</v>
      </c>
      <c r="O2987" s="1" t="s">
        <v>1083</v>
      </c>
    </row>
    <row r="2988" spans="1:15" ht="75" x14ac:dyDescent="0.25">
      <c r="A2988" s="1" t="s">
        <v>149</v>
      </c>
      <c r="B2988" s="1"/>
      <c r="C2988" s="1" t="s">
        <v>4136</v>
      </c>
      <c r="D2988" s="1">
        <v>137725</v>
      </c>
      <c r="E2988" s="1">
        <v>371</v>
      </c>
      <c r="F2988" s="1" t="s">
        <v>3582</v>
      </c>
      <c r="G2988" s="1" t="s">
        <v>4138</v>
      </c>
      <c r="H2988" s="1" t="s">
        <v>141</v>
      </c>
      <c r="I2988" s="1" t="s">
        <v>65</v>
      </c>
      <c r="J2988" s="1">
        <v>3</v>
      </c>
      <c r="K2988" s="1" t="s">
        <v>142</v>
      </c>
      <c r="L2988" s="1" t="s">
        <v>153</v>
      </c>
      <c r="M2988" s="1" t="s">
        <v>28</v>
      </c>
      <c r="N2988" s="1" t="str">
        <f>HYPERLINK("https://klocwork.india.ti.com:443/review/insight-review.html#issuedetails_goto:problemid=137725,project=MCU_PLUS_SDK_AM263X,searchquery=taxonomy:'C and C++' build:Build_Apr_13_2023_11_11_AM grouping:off ","KW Issue Link")</f>
        <v>KW Issue Link</v>
      </c>
      <c r="O2988" s="1" t="s">
        <v>1083</v>
      </c>
    </row>
    <row r="2989" spans="1:15" ht="75" x14ac:dyDescent="0.25">
      <c r="A2989" s="1" t="s">
        <v>149</v>
      </c>
      <c r="B2989" s="1"/>
      <c r="C2989" s="1" t="s">
        <v>4136</v>
      </c>
      <c r="D2989" s="1">
        <v>137726</v>
      </c>
      <c r="E2989" s="1">
        <v>387</v>
      </c>
      <c r="F2989" s="1" t="s">
        <v>3582</v>
      </c>
      <c r="G2989" s="1" t="s">
        <v>4138</v>
      </c>
      <c r="H2989" s="1" t="s">
        <v>141</v>
      </c>
      <c r="I2989" s="1" t="s">
        <v>65</v>
      </c>
      <c r="J2989" s="1">
        <v>3</v>
      </c>
      <c r="K2989" s="1" t="s">
        <v>142</v>
      </c>
      <c r="L2989" s="1" t="s">
        <v>153</v>
      </c>
      <c r="M2989" s="1" t="s">
        <v>28</v>
      </c>
      <c r="N2989" s="1" t="str">
        <f>HYPERLINK("https://klocwork.india.ti.com:443/review/insight-review.html#issuedetails_goto:problemid=137726,project=MCU_PLUS_SDK_AM263X,searchquery=taxonomy:'C and C++' build:Build_Apr_13_2023_11_11_AM grouping:off ","KW Issue Link")</f>
        <v>KW Issue Link</v>
      </c>
      <c r="O2989" s="1" t="s">
        <v>1083</v>
      </c>
    </row>
    <row r="2990" spans="1:15" ht="105" x14ac:dyDescent="0.25">
      <c r="A2990" s="1" t="s">
        <v>149</v>
      </c>
      <c r="B2990" s="1"/>
      <c r="C2990" s="1" t="s">
        <v>4136</v>
      </c>
      <c r="D2990" s="1">
        <v>137727</v>
      </c>
      <c r="E2990" s="1">
        <v>432</v>
      </c>
      <c r="F2990" s="1" t="s">
        <v>4139</v>
      </c>
      <c r="G2990" s="1" t="s">
        <v>4140</v>
      </c>
      <c r="H2990" s="1" t="s">
        <v>141</v>
      </c>
      <c r="I2990" s="1" t="s">
        <v>65</v>
      </c>
      <c r="J2990" s="1">
        <v>3</v>
      </c>
      <c r="K2990" s="1" t="s">
        <v>142</v>
      </c>
      <c r="L2990" s="1" t="s">
        <v>153</v>
      </c>
      <c r="M2990" s="1" t="s">
        <v>28</v>
      </c>
      <c r="N2990" s="1" t="str">
        <f>HYPERLINK("https://klocwork.india.ti.com:443/review/insight-review.html#issuedetails_goto:problemid=137727,project=MCU_PLUS_SDK_AM263X,searchquery=taxonomy:'C and C++' build:Build_Apr_13_2023_11_11_AM grouping:off ","KW Issue Link")</f>
        <v>KW Issue Link</v>
      </c>
      <c r="O2990" s="1" t="s">
        <v>1083</v>
      </c>
    </row>
    <row r="2991" spans="1:15" ht="105" x14ac:dyDescent="0.25">
      <c r="A2991" s="1" t="s">
        <v>149</v>
      </c>
      <c r="B2991" s="1"/>
      <c r="C2991" s="1" t="s">
        <v>4136</v>
      </c>
      <c r="D2991" s="1">
        <v>137728</v>
      </c>
      <c r="E2991" s="1">
        <v>435</v>
      </c>
      <c r="F2991" s="1" t="s">
        <v>4141</v>
      </c>
      <c r="G2991" s="1" t="s">
        <v>4140</v>
      </c>
      <c r="H2991" s="1" t="s">
        <v>141</v>
      </c>
      <c r="I2991" s="1" t="s">
        <v>65</v>
      </c>
      <c r="J2991" s="1">
        <v>3</v>
      </c>
      <c r="K2991" s="1" t="s">
        <v>142</v>
      </c>
      <c r="L2991" s="1" t="s">
        <v>153</v>
      </c>
      <c r="M2991" s="1" t="s">
        <v>28</v>
      </c>
      <c r="N2991" s="1" t="str">
        <f>HYPERLINK("https://klocwork.india.ti.com:443/review/insight-review.html#issuedetails_goto:problemid=137728,project=MCU_PLUS_SDK_AM263X,searchquery=taxonomy:'C and C++' build:Build_Apr_13_2023_11_11_AM grouping:off ","KW Issue Link")</f>
        <v>KW Issue Link</v>
      </c>
      <c r="O2991" s="1" t="s">
        <v>1083</v>
      </c>
    </row>
    <row r="2992" spans="1:15" ht="105" x14ac:dyDescent="0.25">
      <c r="A2992" s="1" t="s">
        <v>149</v>
      </c>
      <c r="B2992" s="1"/>
      <c r="C2992" s="1" t="s">
        <v>4136</v>
      </c>
      <c r="D2992" s="1">
        <v>137729</v>
      </c>
      <c r="E2992" s="1">
        <v>438</v>
      </c>
      <c r="F2992" s="1" t="s">
        <v>4142</v>
      </c>
      <c r="G2992" s="1" t="s">
        <v>4140</v>
      </c>
      <c r="H2992" s="1" t="s">
        <v>141</v>
      </c>
      <c r="I2992" s="1" t="s">
        <v>65</v>
      </c>
      <c r="J2992" s="1">
        <v>3</v>
      </c>
      <c r="K2992" s="1" t="s">
        <v>142</v>
      </c>
      <c r="L2992" s="1" t="s">
        <v>153</v>
      </c>
      <c r="M2992" s="1" t="s">
        <v>28</v>
      </c>
      <c r="N2992" s="1" t="str">
        <f>HYPERLINK("https://klocwork.india.ti.com:443/review/insight-review.html#issuedetails_goto:problemid=137729,project=MCU_PLUS_SDK_AM263X,searchquery=taxonomy:'C and C++' build:Build_Apr_13_2023_11_11_AM grouping:off ","KW Issue Link")</f>
        <v>KW Issue Link</v>
      </c>
      <c r="O2992" s="1" t="s">
        <v>1083</v>
      </c>
    </row>
    <row r="2993" spans="1:15" ht="75" x14ac:dyDescent="0.25">
      <c r="A2993" s="1" t="s">
        <v>155</v>
      </c>
      <c r="B2993" s="1"/>
      <c r="C2993" s="1" t="s">
        <v>4136</v>
      </c>
      <c r="D2993" s="1">
        <v>137766</v>
      </c>
      <c r="E2993" s="1">
        <v>433</v>
      </c>
      <c r="F2993" s="1" t="s">
        <v>156</v>
      </c>
      <c r="G2993" s="1" t="s">
        <v>4140</v>
      </c>
      <c r="H2993" s="1" t="s">
        <v>141</v>
      </c>
      <c r="I2993" s="1" t="s">
        <v>65</v>
      </c>
      <c r="J2993" s="1">
        <v>3</v>
      </c>
      <c r="K2993" s="1" t="s">
        <v>142</v>
      </c>
      <c r="L2993" s="1" t="s">
        <v>153</v>
      </c>
      <c r="M2993" s="1" t="s">
        <v>28</v>
      </c>
      <c r="N2993" s="1" t="str">
        <f>HYPERLINK("https://klocwork.india.ti.com:443/review/insight-review.html#issuedetails_goto:problemid=137766,project=MCU_PLUS_SDK_AM263X,searchquery=taxonomy:'C and C++' build:Build_Apr_13_2023_11_11_AM grouping:off ","KW Issue Link")</f>
        <v>KW Issue Link</v>
      </c>
      <c r="O2993" s="1" t="s">
        <v>1083</v>
      </c>
    </row>
    <row r="2994" spans="1:15" ht="75" x14ac:dyDescent="0.25">
      <c r="A2994" s="1" t="s">
        <v>155</v>
      </c>
      <c r="B2994" s="1"/>
      <c r="C2994" s="1" t="s">
        <v>4136</v>
      </c>
      <c r="D2994" s="1">
        <v>137767</v>
      </c>
      <c r="E2994" s="1">
        <v>436</v>
      </c>
      <c r="F2994" s="1" t="s">
        <v>156</v>
      </c>
      <c r="G2994" s="1" t="s">
        <v>4140</v>
      </c>
      <c r="H2994" s="1" t="s">
        <v>141</v>
      </c>
      <c r="I2994" s="1" t="s">
        <v>65</v>
      </c>
      <c r="J2994" s="1">
        <v>3</v>
      </c>
      <c r="K2994" s="1" t="s">
        <v>142</v>
      </c>
      <c r="L2994" s="1" t="s">
        <v>153</v>
      </c>
      <c r="M2994" s="1" t="s">
        <v>28</v>
      </c>
      <c r="N2994" s="1" t="str">
        <f>HYPERLINK("https://klocwork.india.ti.com:443/review/insight-review.html#issuedetails_goto:problemid=137767,project=MCU_PLUS_SDK_AM263X,searchquery=taxonomy:'C and C++' build:Build_Apr_13_2023_11_11_AM grouping:off ","KW Issue Link")</f>
        <v>KW Issue Link</v>
      </c>
      <c r="O2994" s="1" t="s">
        <v>1083</v>
      </c>
    </row>
    <row r="2995" spans="1:15" ht="75" x14ac:dyDescent="0.25">
      <c r="A2995" s="1" t="s">
        <v>155</v>
      </c>
      <c r="B2995" s="1"/>
      <c r="C2995" s="1" t="s">
        <v>4136</v>
      </c>
      <c r="D2995" s="1">
        <v>137768</v>
      </c>
      <c r="E2995" s="1">
        <v>439</v>
      </c>
      <c r="F2995" s="1" t="s">
        <v>156</v>
      </c>
      <c r="G2995" s="1" t="s">
        <v>4140</v>
      </c>
      <c r="H2995" s="1" t="s">
        <v>141</v>
      </c>
      <c r="I2995" s="1" t="s">
        <v>65</v>
      </c>
      <c r="J2995" s="1">
        <v>3</v>
      </c>
      <c r="K2995" s="1" t="s">
        <v>142</v>
      </c>
      <c r="L2995" s="1" t="s">
        <v>153</v>
      </c>
      <c r="M2995" s="1" t="s">
        <v>28</v>
      </c>
      <c r="N2995" s="1" t="str">
        <f>HYPERLINK("https://klocwork.india.ti.com:443/review/insight-review.html#issuedetails_goto:problemid=137768,project=MCU_PLUS_SDK_AM263X,searchquery=taxonomy:'C and C++' build:Build_Apr_13_2023_11_11_AM grouping:off ","KW Issue Link")</f>
        <v>KW Issue Link</v>
      </c>
      <c r="O2995" s="1" t="s">
        <v>1083</v>
      </c>
    </row>
    <row r="2996" spans="1:15" ht="75" x14ac:dyDescent="0.25">
      <c r="A2996" s="1" t="s">
        <v>136</v>
      </c>
      <c r="B2996" s="1"/>
      <c r="C2996" s="1" t="s">
        <v>4143</v>
      </c>
      <c r="D2996" s="1">
        <v>137808</v>
      </c>
      <c r="E2996" s="1">
        <v>73</v>
      </c>
      <c r="F2996" s="1" t="s">
        <v>4144</v>
      </c>
      <c r="G2996" s="1" t="s">
        <v>4145</v>
      </c>
      <c r="H2996" s="1" t="s">
        <v>141</v>
      </c>
      <c r="I2996" s="1" t="s">
        <v>66</v>
      </c>
      <c r="J2996" s="1">
        <v>4</v>
      </c>
      <c r="K2996" s="1" t="s">
        <v>142</v>
      </c>
      <c r="L2996" s="1" t="s">
        <v>153</v>
      </c>
      <c r="M2996" s="1" t="s">
        <v>28</v>
      </c>
      <c r="N2996" s="1" t="str">
        <f>HYPERLINK("https://klocwork.india.ti.com:443/review/insight-review.html#issuedetails_goto:problemid=137808,project=MCU_PLUS_SDK_AM263X,searchquery=taxonomy:'C and C++' build:Build_Apr_13_2023_11_11_AM grouping:off ","KW Issue Link")</f>
        <v>KW Issue Link</v>
      </c>
      <c r="O2996" s="1" t="s">
        <v>1083</v>
      </c>
    </row>
    <row r="2997" spans="1:15" ht="75" x14ac:dyDescent="0.25">
      <c r="A2997" s="1" t="s">
        <v>1266</v>
      </c>
      <c r="B2997" s="1"/>
      <c r="C2997" s="1" t="s">
        <v>4143</v>
      </c>
      <c r="D2997" s="1">
        <v>137844</v>
      </c>
      <c r="E2997" s="1">
        <v>137</v>
      </c>
      <c r="F2997" s="1" t="s">
        <v>4146</v>
      </c>
      <c r="G2997" s="1" t="s">
        <v>4147</v>
      </c>
      <c r="H2997" s="1" t="s">
        <v>141</v>
      </c>
      <c r="I2997" s="1" t="s">
        <v>65</v>
      </c>
      <c r="J2997" s="1">
        <v>3</v>
      </c>
      <c r="K2997" s="1" t="s">
        <v>142</v>
      </c>
      <c r="L2997" s="1" t="s">
        <v>153</v>
      </c>
      <c r="M2997" s="1" t="s">
        <v>1256</v>
      </c>
      <c r="N2997" s="1" t="str">
        <f>HYPERLINK("https://klocwork.india.ti.com:443/review/insight-review.html#issuedetails_goto:problemid=137844,project=MCU_PLUS_SDK_AM263X,searchquery=taxonomy:'C and C++' build:Build_Apr_13_2023_11_11_AM grouping:off ","KW Issue Link")</f>
        <v>KW Issue Link</v>
      </c>
      <c r="O2997" s="1" t="s">
        <v>1083</v>
      </c>
    </row>
    <row r="2998" spans="1:15" ht="75" x14ac:dyDescent="0.25">
      <c r="A2998" s="1" t="s">
        <v>1268</v>
      </c>
      <c r="B2998" s="1"/>
      <c r="C2998" s="1" t="s">
        <v>4143</v>
      </c>
      <c r="D2998" s="1">
        <v>137845</v>
      </c>
      <c r="E2998" s="1">
        <v>137</v>
      </c>
      <c r="F2998" s="1" t="s">
        <v>4148</v>
      </c>
      <c r="G2998" s="1" t="s">
        <v>4147</v>
      </c>
      <c r="H2998" s="1" t="s">
        <v>141</v>
      </c>
      <c r="I2998" s="1" t="s">
        <v>65</v>
      </c>
      <c r="J2998" s="1">
        <v>3</v>
      </c>
      <c r="K2998" s="1" t="s">
        <v>142</v>
      </c>
      <c r="L2998" s="1" t="s">
        <v>153</v>
      </c>
      <c r="M2998" s="1" t="s">
        <v>1256</v>
      </c>
      <c r="N2998" s="1" t="str">
        <f>HYPERLINK("https://klocwork.india.ti.com:443/review/insight-review.html#issuedetails_goto:problemid=137845,project=MCU_PLUS_SDK_AM263X,searchquery=taxonomy:'C and C++' build:Build_Apr_13_2023_11_11_AM grouping:off ","KW Issue Link")</f>
        <v>KW Issue Link</v>
      </c>
      <c r="O2998" s="1" t="s">
        <v>1083</v>
      </c>
    </row>
    <row r="2999" spans="1:15" ht="75" x14ac:dyDescent="0.25">
      <c r="A2999" s="1" t="s">
        <v>136</v>
      </c>
      <c r="B2999" s="1"/>
      <c r="C2999" s="1" t="s">
        <v>4149</v>
      </c>
      <c r="D2999" s="1">
        <v>139285</v>
      </c>
      <c r="E2999" s="1">
        <v>245</v>
      </c>
      <c r="F2999" s="1" t="s">
        <v>465</v>
      </c>
      <c r="G2999" s="1" t="s">
        <v>4150</v>
      </c>
      <c r="H2999" s="1" t="s">
        <v>141</v>
      </c>
      <c r="I2999" s="1" t="s">
        <v>66</v>
      </c>
      <c r="J2999" s="1">
        <v>4</v>
      </c>
      <c r="K2999" s="1" t="s">
        <v>142</v>
      </c>
      <c r="L2999" s="1" t="s">
        <v>153</v>
      </c>
      <c r="M2999" s="1" t="s">
        <v>28</v>
      </c>
      <c r="N2999" s="1" t="str">
        <f>HYPERLINK("https://klocwork.india.ti.com:443/review/insight-review.html#issuedetails_goto:problemid=139285,project=MCU_PLUS_SDK_AM263X,searchquery=taxonomy:'C and C++' build:Build_Apr_13_2023_11_11_AM grouping:off ","KW Issue Link")</f>
        <v>KW Issue Link</v>
      </c>
      <c r="O2999" s="1" t="s">
        <v>1083</v>
      </c>
    </row>
    <row r="3000" spans="1:15" ht="75" x14ac:dyDescent="0.25">
      <c r="A3000" s="1" t="s">
        <v>136</v>
      </c>
      <c r="B3000" s="1"/>
      <c r="C3000" s="1" t="s">
        <v>4149</v>
      </c>
      <c r="D3000" s="1">
        <v>139286</v>
      </c>
      <c r="E3000" s="1">
        <v>322</v>
      </c>
      <c r="F3000" s="1" t="s">
        <v>465</v>
      </c>
      <c r="G3000" s="1" t="s">
        <v>4151</v>
      </c>
      <c r="H3000" s="1" t="s">
        <v>141</v>
      </c>
      <c r="I3000" s="1" t="s">
        <v>66</v>
      </c>
      <c r="J3000" s="1">
        <v>4</v>
      </c>
      <c r="K3000" s="1" t="s">
        <v>142</v>
      </c>
      <c r="L3000" s="1" t="s">
        <v>153</v>
      </c>
      <c r="M3000" s="1" t="s">
        <v>28</v>
      </c>
      <c r="N3000" s="1" t="str">
        <f>HYPERLINK("https://klocwork.india.ti.com:443/review/insight-review.html#issuedetails_goto:problemid=139286,project=MCU_PLUS_SDK_AM263X,searchquery=taxonomy:'C and C++' build:Build_Apr_13_2023_11_11_AM grouping:off ","KW Issue Link")</f>
        <v>KW Issue Link</v>
      </c>
      <c r="O3000" s="1" t="s">
        <v>1083</v>
      </c>
    </row>
    <row r="3001" spans="1:15" ht="75" x14ac:dyDescent="0.25">
      <c r="A3001" s="1" t="s">
        <v>136</v>
      </c>
      <c r="B3001" s="1"/>
      <c r="C3001" s="1" t="s">
        <v>4149</v>
      </c>
      <c r="D3001" s="1">
        <v>139287</v>
      </c>
      <c r="E3001" s="1">
        <v>351</v>
      </c>
      <c r="F3001" s="1" t="s">
        <v>465</v>
      </c>
      <c r="G3001" s="1" t="s">
        <v>4152</v>
      </c>
      <c r="H3001" s="1" t="s">
        <v>141</v>
      </c>
      <c r="I3001" s="1" t="s">
        <v>66</v>
      </c>
      <c r="J3001" s="1">
        <v>4</v>
      </c>
      <c r="K3001" s="1" t="s">
        <v>142</v>
      </c>
      <c r="L3001" s="1" t="s">
        <v>153</v>
      </c>
      <c r="M3001" s="1" t="s">
        <v>28</v>
      </c>
      <c r="N3001" s="1" t="str">
        <f>HYPERLINK("https://klocwork.india.ti.com:443/review/insight-review.html#issuedetails_goto:problemid=139287,project=MCU_PLUS_SDK_AM263X,searchquery=taxonomy:'C and C++' build:Build_Apr_13_2023_11_11_AM grouping:off ","KW Issue Link")</f>
        <v>KW Issue Link</v>
      </c>
      <c r="O3001" s="1" t="s">
        <v>1083</v>
      </c>
    </row>
    <row r="3002" spans="1:15" ht="75" x14ac:dyDescent="0.25">
      <c r="A3002" s="1" t="s">
        <v>136</v>
      </c>
      <c r="B3002" s="1"/>
      <c r="C3002" s="1" t="s">
        <v>4149</v>
      </c>
      <c r="D3002" s="1">
        <v>139288</v>
      </c>
      <c r="E3002" s="1">
        <v>464</v>
      </c>
      <c r="F3002" s="1" t="s">
        <v>465</v>
      </c>
      <c r="G3002" s="1" t="s">
        <v>4153</v>
      </c>
      <c r="H3002" s="1" t="s">
        <v>141</v>
      </c>
      <c r="I3002" s="1" t="s">
        <v>66</v>
      </c>
      <c r="J3002" s="1">
        <v>4</v>
      </c>
      <c r="K3002" s="1" t="s">
        <v>142</v>
      </c>
      <c r="L3002" s="1" t="s">
        <v>153</v>
      </c>
      <c r="M3002" s="1" t="s">
        <v>28</v>
      </c>
      <c r="N3002" s="1" t="str">
        <f>HYPERLINK("https://klocwork.india.ti.com:443/review/insight-review.html#issuedetails_goto:problemid=139288,project=MCU_PLUS_SDK_AM263X,searchquery=taxonomy:'C and C++' build:Build_Apr_13_2023_11_11_AM grouping:off ","KW Issue Link")</f>
        <v>KW Issue Link</v>
      </c>
      <c r="O3002" s="1" t="s">
        <v>1083</v>
      </c>
    </row>
    <row r="3003" spans="1:15" ht="75" x14ac:dyDescent="0.25">
      <c r="A3003" s="1" t="s">
        <v>136</v>
      </c>
      <c r="B3003" s="1"/>
      <c r="C3003" s="1" t="s">
        <v>4149</v>
      </c>
      <c r="D3003" s="1">
        <v>139289</v>
      </c>
      <c r="E3003" s="1">
        <v>496</v>
      </c>
      <c r="F3003" s="1" t="s">
        <v>465</v>
      </c>
      <c r="G3003" s="1" t="s">
        <v>4154</v>
      </c>
      <c r="H3003" s="1" t="s">
        <v>141</v>
      </c>
      <c r="I3003" s="1" t="s">
        <v>66</v>
      </c>
      <c r="J3003" s="1">
        <v>4</v>
      </c>
      <c r="K3003" s="1" t="s">
        <v>142</v>
      </c>
      <c r="L3003" s="1" t="s">
        <v>153</v>
      </c>
      <c r="M3003" s="1" t="s">
        <v>28</v>
      </c>
      <c r="N3003" s="1" t="str">
        <f>HYPERLINK("https://klocwork.india.ti.com:443/review/insight-review.html#issuedetails_goto:problemid=139289,project=MCU_PLUS_SDK_AM263X,searchquery=taxonomy:'C and C++' build:Build_Apr_13_2023_11_11_AM grouping:off ","KW Issue Link")</f>
        <v>KW Issue Link</v>
      </c>
      <c r="O3003" s="1" t="s">
        <v>1083</v>
      </c>
    </row>
    <row r="3004" spans="1:15" ht="75" x14ac:dyDescent="0.25">
      <c r="A3004" s="1" t="s">
        <v>136</v>
      </c>
      <c r="B3004" s="1"/>
      <c r="C3004" s="1" t="s">
        <v>4149</v>
      </c>
      <c r="D3004" s="1">
        <v>139290</v>
      </c>
      <c r="E3004" s="1">
        <v>530</v>
      </c>
      <c r="F3004" s="1" t="s">
        <v>465</v>
      </c>
      <c r="G3004" s="1" t="s">
        <v>4155</v>
      </c>
      <c r="H3004" s="1" t="s">
        <v>141</v>
      </c>
      <c r="I3004" s="1" t="s">
        <v>66</v>
      </c>
      <c r="J3004" s="1">
        <v>4</v>
      </c>
      <c r="K3004" s="1" t="s">
        <v>142</v>
      </c>
      <c r="L3004" s="1" t="s">
        <v>153</v>
      </c>
      <c r="M3004" s="1" t="s">
        <v>28</v>
      </c>
      <c r="N3004" s="1" t="str">
        <f>HYPERLINK("https://klocwork.india.ti.com:443/review/insight-review.html#issuedetails_goto:problemid=139290,project=MCU_PLUS_SDK_AM263X,searchquery=taxonomy:'C and C++' build:Build_Apr_13_2023_11_11_AM grouping:off ","KW Issue Link")</f>
        <v>KW Issue Link</v>
      </c>
      <c r="O3004" s="1" t="s">
        <v>1083</v>
      </c>
    </row>
    <row r="3005" spans="1:15" ht="75" x14ac:dyDescent="0.25">
      <c r="A3005" s="1" t="s">
        <v>136</v>
      </c>
      <c r="B3005" s="1"/>
      <c r="C3005" s="1" t="s">
        <v>4149</v>
      </c>
      <c r="D3005" s="1">
        <v>139291</v>
      </c>
      <c r="E3005" s="1">
        <v>564</v>
      </c>
      <c r="F3005" s="1" t="s">
        <v>465</v>
      </c>
      <c r="G3005" s="1" t="s">
        <v>4156</v>
      </c>
      <c r="H3005" s="1" t="s">
        <v>141</v>
      </c>
      <c r="I3005" s="1" t="s">
        <v>66</v>
      </c>
      <c r="J3005" s="1">
        <v>4</v>
      </c>
      <c r="K3005" s="1" t="s">
        <v>142</v>
      </c>
      <c r="L3005" s="1" t="s">
        <v>153</v>
      </c>
      <c r="M3005" s="1" t="s">
        <v>28</v>
      </c>
      <c r="N3005" s="1" t="str">
        <f>HYPERLINK("https://klocwork.india.ti.com:443/review/insight-review.html#issuedetails_goto:problemid=139291,project=MCU_PLUS_SDK_AM263X,searchquery=taxonomy:'C and C++' build:Build_Apr_13_2023_11_11_AM grouping:off ","KW Issue Link")</f>
        <v>KW Issue Link</v>
      </c>
      <c r="O3005" s="1" t="s">
        <v>1083</v>
      </c>
    </row>
    <row r="3006" spans="1:15" ht="75" x14ac:dyDescent="0.25">
      <c r="A3006" s="1" t="s">
        <v>136</v>
      </c>
      <c r="B3006" s="1"/>
      <c r="C3006" s="1" t="s">
        <v>4149</v>
      </c>
      <c r="D3006" s="1">
        <v>139292</v>
      </c>
      <c r="E3006" s="1">
        <v>961</v>
      </c>
      <c r="F3006" s="1" t="s">
        <v>937</v>
      </c>
      <c r="G3006" s="1" t="s">
        <v>4157</v>
      </c>
      <c r="H3006" s="1" t="s">
        <v>141</v>
      </c>
      <c r="I3006" s="1" t="s">
        <v>66</v>
      </c>
      <c r="J3006" s="1">
        <v>4</v>
      </c>
      <c r="K3006" s="1" t="s">
        <v>142</v>
      </c>
      <c r="L3006" s="1" t="s">
        <v>153</v>
      </c>
      <c r="M3006" s="1" t="s">
        <v>28</v>
      </c>
      <c r="N3006" s="1" t="str">
        <f>HYPERLINK("https://klocwork.india.ti.com:443/review/insight-review.html#issuedetails_goto:problemid=139292,project=MCU_PLUS_SDK_AM263X,searchquery=taxonomy:'C and C++' build:Build_Apr_13_2023_11_11_AM grouping:off ","KW Issue Link")</f>
        <v>KW Issue Link</v>
      </c>
      <c r="O3006" s="1" t="s">
        <v>1083</v>
      </c>
    </row>
    <row r="3007" spans="1:15" ht="75" x14ac:dyDescent="0.25">
      <c r="A3007" s="1" t="s">
        <v>1266</v>
      </c>
      <c r="B3007" s="1"/>
      <c r="C3007" s="1" t="s">
        <v>4149</v>
      </c>
      <c r="D3007" s="1">
        <v>139337</v>
      </c>
      <c r="E3007" s="1">
        <v>760</v>
      </c>
      <c r="F3007" s="1" t="s">
        <v>4158</v>
      </c>
      <c r="G3007" s="1" t="s">
        <v>4157</v>
      </c>
      <c r="H3007" s="1" t="s">
        <v>141</v>
      </c>
      <c r="I3007" s="1" t="s">
        <v>65</v>
      </c>
      <c r="J3007" s="1">
        <v>3</v>
      </c>
      <c r="K3007" s="1" t="s">
        <v>142</v>
      </c>
      <c r="L3007" s="1" t="s">
        <v>153</v>
      </c>
      <c r="M3007" s="1" t="s">
        <v>1256</v>
      </c>
      <c r="N3007" s="1" t="str">
        <f>HYPERLINK("https://klocwork.india.ti.com:443/review/insight-review.html#issuedetails_goto:problemid=139337,project=MCU_PLUS_SDK_AM263X,searchquery=taxonomy:'C and C++' build:Build_Apr_13_2023_11_11_AM grouping:off ","KW Issue Link")</f>
        <v>KW Issue Link</v>
      </c>
      <c r="O3007" s="1" t="s">
        <v>1083</v>
      </c>
    </row>
    <row r="3008" spans="1:15" ht="75" x14ac:dyDescent="0.25">
      <c r="A3008" s="1" t="s">
        <v>1266</v>
      </c>
      <c r="B3008" s="1"/>
      <c r="C3008" s="1" t="s">
        <v>4149</v>
      </c>
      <c r="D3008" s="1">
        <v>139338</v>
      </c>
      <c r="E3008" s="1">
        <v>1483</v>
      </c>
      <c r="F3008" s="1" t="s">
        <v>4159</v>
      </c>
      <c r="G3008" s="1" t="s">
        <v>4160</v>
      </c>
      <c r="H3008" s="1" t="s">
        <v>141</v>
      </c>
      <c r="I3008" s="1" t="s">
        <v>65</v>
      </c>
      <c r="J3008" s="1">
        <v>3</v>
      </c>
      <c r="K3008" s="1" t="s">
        <v>142</v>
      </c>
      <c r="L3008" s="1" t="s">
        <v>153</v>
      </c>
      <c r="M3008" s="1" t="s">
        <v>1256</v>
      </c>
      <c r="N3008" s="1" t="str">
        <f>HYPERLINK("https://klocwork.india.ti.com:443/review/insight-review.html#issuedetails_goto:problemid=139338,project=MCU_PLUS_SDK_AM263X,searchquery=taxonomy:'C and C++' build:Build_Apr_13_2023_11_11_AM grouping:off ","KW Issue Link")</f>
        <v>KW Issue Link</v>
      </c>
      <c r="O3008" s="1" t="s">
        <v>1083</v>
      </c>
    </row>
    <row r="3009" spans="1:15" ht="75" x14ac:dyDescent="0.25">
      <c r="A3009" s="1" t="s">
        <v>1266</v>
      </c>
      <c r="B3009" s="1"/>
      <c r="C3009" s="1" t="s">
        <v>4149</v>
      </c>
      <c r="D3009" s="1">
        <v>139339</v>
      </c>
      <c r="E3009" s="1">
        <v>2310</v>
      </c>
      <c r="F3009" s="1" t="s">
        <v>4161</v>
      </c>
      <c r="G3009" s="1" t="s">
        <v>4162</v>
      </c>
      <c r="H3009" s="1" t="s">
        <v>141</v>
      </c>
      <c r="I3009" s="1" t="s">
        <v>65</v>
      </c>
      <c r="J3009" s="1">
        <v>3</v>
      </c>
      <c r="K3009" s="1" t="s">
        <v>142</v>
      </c>
      <c r="L3009" s="1" t="s">
        <v>153</v>
      </c>
      <c r="M3009" s="1" t="s">
        <v>1256</v>
      </c>
      <c r="N3009" s="1" t="str">
        <f>HYPERLINK("https://klocwork.india.ti.com:443/review/insight-review.html#issuedetails_goto:problemid=139339,project=MCU_PLUS_SDK_AM263X,searchquery=taxonomy:'C and C++' build:Build_Apr_13_2023_11_11_AM grouping:off ","KW Issue Link")</f>
        <v>KW Issue Link</v>
      </c>
      <c r="O3009" s="1" t="s">
        <v>1083</v>
      </c>
    </row>
    <row r="3010" spans="1:15" ht="75" x14ac:dyDescent="0.25">
      <c r="A3010" s="1" t="s">
        <v>1266</v>
      </c>
      <c r="B3010" s="1"/>
      <c r="C3010" s="1" t="s">
        <v>4149</v>
      </c>
      <c r="D3010" s="1">
        <v>139340</v>
      </c>
      <c r="E3010" s="1">
        <v>2641</v>
      </c>
      <c r="F3010" s="1" t="s">
        <v>4163</v>
      </c>
      <c r="G3010" s="1" t="s">
        <v>4164</v>
      </c>
      <c r="H3010" s="1" t="s">
        <v>141</v>
      </c>
      <c r="I3010" s="1" t="s">
        <v>65</v>
      </c>
      <c r="J3010" s="1">
        <v>3</v>
      </c>
      <c r="K3010" s="1" t="s">
        <v>142</v>
      </c>
      <c r="L3010" s="1" t="s">
        <v>153</v>
      </c>
      <c r="M3010" s="1" t="s">
        <v>1256</v>
      </c>
      <c r="N3010" s="1" t="str">
        <f>HYPERLINK("https://klocwork.india.ti.com:443/review/insight-review.html#issuedetails_goto:problemid=139340,project=MCU_PLUS_SDK_AM263X,searchquery=taxonomy:'C and C++' build:Build_Apr_13_2023_11_11_AM grouping:off ","KW Issue Link")</f>
        <v>KW Issue Link</v>
      </c>
      <c r="O3010" s="1" t="s">
        <v>1083</v>
      </c>
    </row>
    <row r="3011" spans="1:15" ht="75" x14ac:dyDescent="0.25">
      <c r="A3011" s="1" t="s">
        <v>1266</v>
      </c>
      <c r="B3011" s="1"/>
      <c r="C3011" s="1" t="s">
        <v>4149</v>
      </c>
      <c r="D3011" s="1">
        <v>139341</v>
      </c>
      <c r="E3011" s="1">
        <v>2844</v>
      </c>
      <c r="F3011" s="1" t="s">
        <v>4165</v>
      </c>
      <c r="G3011" s="1" t="s">
        <v>4166</v>
      </c>
      <c r="H3011" s="1" t="s">
        <v>141</v>
      </c>
      <c r="I3011" s="1" t="s">
        <v>65</v>
      </c>
      <c r="J3011" s="1">
        <v>3</v>
      </c>
      <c r="K3011" s="1" t="s">
        <v>142</v>
      </c>
      <c r="L3011" s="1" t="s">
        <v>153</v>
      </c>
      <c r="M3011" s="1" t="s">
        <v>1256</v>
      </c>
      <c r="N3011" s="1" t="str">
        <f>HYPERLINK("https://klocwork.india.ti.com:443/review/insight-review.html#issuedetails_goto:problemid=139341,project=MCU_PLUS_SDK_AM263X,searchquery=taxonomy:'C and C++' build:Build_Apr_13_2023_11_11_AM grouping:off ","KW Issue Link")</f>
        <v>KW Issue Link</v>
      </c>
      <c r="O3011" s="1" t="s">
        <v>1083</v>
      </c>
    </row>
    <row r="3012" spans="1:15" ht="75" x14ac:dyDescent="0.25">
      <c r="A3012" s="1" t="s">
        <v>1266</v>
      </c>
      <c r="B3012" s="1"/>
      <c r="C3012" s="1" t="s">
        <v>4149</v>
      </c>
      <c r="D3012" s="1">
        <v>139342</v>
      </c>
      <c r="E3012" s="1">
        <v>3133</v>
      </c>
      <c r="F3012" s="1" t="s">
        <v>4167</v>
      </c>
      <c r="G3012" s="1" t="s">
        <v>4168</v>
      </c>
      <c r="H3012" s="1" t="s">
        <v>141</v>
      </c>
      <c r="I3012" s="1" t="s">
        <v>65</v>
      </c>
      <c r="J3012" s="1">
        <v>3</v>
      </c>
      <c r="K3012" s="1" t="s">
        <v>142</v>
      </c>
      <c r="L3012" s="1" t="s">
        <v>153</v>
      </c>
      <c r="M3012" s="1" t="s">
        <v>1256</v>
      </c>
      <c r="N3012" s="1" t="str">
        <f>HYPERLINK("https://klocwork.india.ti.com:443/review/insight-review.html#issuedetails_goto:problemid=139342,project=MCU_PLUS_SDK_AM263X,searchquery=taxonomy:'C and C++' build:Build_Apr_13_2023_11_11_AM grouping:off ","KW Issue Link")</f>
        <v>KW Issue Link</v>
      </c>
      <c r="O3012" s="1" t="s">
        <v>1083</v>
      </c>
    </row>
    <row r="3013" spans="1:15" ht="75" x14ac:dyDescent="0.25">
      <c r="A3013" s="1" t="s">
        <v>1266</v>
      </c>
      <c r="B3013" s="1"/>
      <c r="C3013" s="1" t="s">
        <v>4149</v>
      </c>
      <c r="D3013" s="1">
        <v>139343</v>
      </c>
      <c r="E3013" s="1">
        <v>3398</v>
      </c>
      <c r="F3013" s="1" t="s">
        <v>4169</v>
      </c>
      <c r="G3013" s="1" t="s">
        <v>4170</v>
      </c>
      <c r="H3013" s="1" t="s">
        <v>141</v>
      </c>
      <c r="I3013" s="1" t="s">
        <v>65</v>
      </c>
      <c r="J3013" s="1">
        <v>3</v>
      </c>
      <c r="K3013" s="1" t="s">
        <v>142</v>
      </c>
      <c r="L3013" s="1" t="s">
        <v>153</v>
      </c>
      <c r="M3013" s="1" t="s">
        <v>1256</v>
      </c>
      <c r="N3013" s="1" t="str">
        <f>HYPERLINK("https://klocwork.india.ti.com:443/review/insight-review.html#issuedetails_goto:problemid=139343,project=MCU_PLUS_SDK_AM263X,searchquery=taxonomy:'C and C++' build:Build_Apr_13_2023_11_11_AM grouping:off ","KW Issue Link")</f>
        <v>KW Issue Link</v>
      </c>
      <c r="O3013" s="1" t="s">
        <v>1083</v>
      </c>
    </row>
    <row r="3014" spans="1:15" ht="75" x14ac:dyDescent="0.25">
      <c r="A3014" s="1" t="s">
        <v>1268</v>
      </c>
      <c r="B3014" s="1"/>
      <c r="C3014" s="1" t="s">
        <v>4149</v>
      </c>
      <c r="D3014" s="1">
        <v>139344</v>
      </c>
      <c r="E3014" s="1">
        <v>760</v>
      </c>
      <c r="F3014" s="1" t="s">
        <v>4171</v>
      </c>
      <c r="G3014" s="1" t="s">
        <v>4157</v>
      </c>
      <c r="H3014" s="1" t="s">
        <v>141</v>
      </c>
      <c r="I3014" s="1" t="s">
        <v>65</v>
      </c>
      <c r="J3014" s="1">
        <v>3</v>
      </c>
      <c r="K3014" s="1" t="s">
        <v>142</v>
      </c>
      <c r="L3014" s="1" t="s">
        <v>153</v>
      </c>
      <c r="M3014" s="1" t="s">
        <v>1256</v>
      </c>
      <c r="N3014" s="1" t="str">
        <f>HYPERLINK("https://klocwork.india.ti.com:443/review/insight-review.html#issuedetails_goto:problemid=139344,project=MCU_PLUS_SDK_AM263X,searchquery=taxonomy:'C and C++' build:Build_Apr_13_2023_11_11_AM grouping:off ","KW Issue Link")</f>
        <v>KW Issue Link</v>
      </c>
      <c r="O3014" s="1" t="s">
        <v>1083</v>
      </c>
    </row>
    <row r="3015" spans="1:15" ht="75" x14ac:dyDescent="0.25">
      <c r="A3015" s="1" t="s">
        <v>1268</v>
      </c>
      <c r="B3015" s="1"/>
      <c r="C3015" s="1" t="s">
        <v>4149</v>
      </c>
      <c r="D3015" s="1">
        <v>139345</v>
      </c>
      <c r="E3015" s="1">
        <v>1483</v>
      </c>
      <c r="F3015" s="1" t="s">
        <v>4172</v>
      </c>
      <c r="G3015" s="1" t="s">
        <v>4160</v>
      </c>
      <c r="H3015" s="1" t="s">
        <v>141</v>
      </c>
      <c r="I3015" s="1" t="s">
        <v>65</v>
      </c>
      <c r="J3015" s="1">
        <v>3</v>
      </c>
      <c r="K3015" s="1" t="s">
        <v>142</v>
      </c>
      <c r="L3015" s="1" t="s">
        <v>153</v>
      </c>
      <c r="M3015" s="1" t="s">
        <v>1256</v>
      </c>
      <c r="N3015" s="1" t="str">
        <f>HYPERLINK("https://klocwork.india.ti.com:443/review/insight-review.html#issuedetails_goto:problemid=139345,project=MCU_PLUS_SDK_AM263X,searchquery=taxonomy:'C and C++' build:Build_Apr_13_2023_11_11_AM grouping:off ","KW Issue Link")</f>
        <v>KW Issue Link</v>
      </c>
      <c r="O3015" s="1" t="s">
        <v>1083</v>
      </c>
    </row>
    <row r="3016" spans="1:15" ht="75" x14ac:dyDescent="0.25">
      <c r="A3016" s="1" t="s">
        <v>1268</v>
      </c>
      <c r="B3016" s="1"/>
      <c r="C3016" s="1" t="s">
        <v>4149</v>
      </c>
      <c r="D3016" s="1">
        <v>139346</v>
      </c>
      <c r="E3016" s="1">
        <v>2310</v>
      </c>
      <c r="F3016" s="1" t="s">
        <v>4173</v>
      </c>
      <c r="G3016" s="1" t="s">
        <v>4162</v>
      </c>
      <c r="H3016" s="1" t="s">
        <v>141</v>
      </c>
      <c r="I3016" s="1" t="s">
        <v>65</v>
      </c>
      <c r="J3016" s="1">
        <v>3</v>
      </c>
      <c r="K3016" s="1" t="s">
        <v>142</v>
      </c>
      <c r="L3016" s="1" t="s">
        <v>153</v>
      </c>
      <c r="M3016" s="1" t="s">
        <v>1256</v>
      </c>
      <c r="N3016" s="1" t="str">
        <f>HYPERLINK("https://klocwork.india.ti.com:443/review/insight-review.html#issuedetails_goto:problemid=139346,project=MCU_PLUS_SDK_AM263X,searchquery=taxonomy:'C and C++' build:Build_Apr_13_2023_11_11_AM grouping:off ","KW Issue Link")</f>
        <v>KW Issue Link</v>
      </c>
      <c r="O3016" s="1" t="s">
        <v>1083</v>
      </c>
    </row>
    <row r="3017" spans="1:15" ht="90" x14ac:dyDescent="0.25">
      <c r="A3017" s="1" t="s">
        <v>149</v>
      </c>
      <c r="B3017" s="1"/>
      <c r="C3017" s="1" t="s">
        <v>4149</v>
      </c>
      <c r="D3017" s="1">
        <v>139354</v>
      </c>
      <c r="E3017" s="1">
        <v>980</v>
      </c>
      <c r="F3017" s="1" t="s">
        <v>4174</v>
      </c>
      <c r="G3017" s="1" t="s">
        <v>4157</v>
      </c>
      <c r="H3017" s="1" t="s">
        <v>141</v>
      </c>
      <c r="I3017" s="1" t="s">
        <v>65</v>
      </c>
      <c r="J3017" s="1">
        <v>3</v>
      </c>
      <c r="K3017" s="1" t="s">
        <v>142</v>
      </c>
      <c r="L3017" s="1" t="s">
        <v>153</v>
      </c>
      <c r="M3017" s="1" t="s">
        <v>28</v>
      </c>
      <c r="N3017" s="1" t="str">
        <f>HYPERLINK("https://klocwork.india.ti.com:443/review/insight-review.html#issuedetails_goto:problemid=139354,project=MCU_PLUS_SDK_AM263X,searchquery=taxonomy:'C and C++' build:Build_Apr_13_2023_11_11_AM grouping:off ","KW Issue Link")</f>
        <v>KW Issue Link</v>
      </c>
      <c r="O3017" s="1" t="s">
        <v>1083</v>
      </c>
    </row>
    <row r="3018" spans="1:15" ht="75" x14ac:dyDescent="0.25">
      <c r="A3018" s="1" t="s">
        <v>149</v>
      </c>
      <c r="B3018" s="1"/>
      <c r="C3018" s="1" t="s">
        <v>4149</v>
      </c>
      <c r="D3018" s="1">
        <v>139355</v>
      </c>
      <c r="E3018" s="1">
        <v>1766</v>
      </c>
      <c r="F3018" s="1" t="s">
        <v>4175</v>
      </c>
      <c r="G3018" s="1" t="s">
        <v>4160</v>
      </c>
      <c r="H3018" s="1" t="s">
        <v>141</v>
      </c>
      <c r="I3018" s="1" t="s">
        <v>65</v>
      </c>
      <c r="J3018" s="1">
        <v>3</v>
      </c>
      <c r="K3018" s="1" t="s">
        <v>142</v>
      </c>
      <c r="L3018" s="1" t="s">
        <v>153</v>
      </c>
      <c r="M3018" s="1" t="s">
        <v>28</v>
      </c>
      <c r="N3018" s="1" t="str">
        <f>HYPERLINK("https://klocwork.india.ti.com:443/review/insight-review.html#issuedetails_goto:problemid=139355,project=MCU_PLUS_SDK_AM263X,searchquery=taxonomy:'C and C++' build:Build_Apr_13_2023_11_11_AM grouping:off ","KW Issue Link")</f>
        <v>KW Issue Link</v>
      </c>
      <c r="O3018" s="1" t="s">
        <v>1083</v>
      </c>
    </row>
    <row r="3019" spans="1:15" ht="105" x14ac:dyDescent="0.25">
      <c r="A3019" s="1" t="s">
        <v>149</v>
      </c>
      <c r="B3019" s="1"/>
      <c r="C3019" s="1" t="s">
        <v>4149</v>
      </c>
      <c r="D3019" s="1">
        <v>139356</v>
      </c>
      <c r="E3019" s="1">
        <v>2566</v>
      </c>
      <c r="F3019" s="1" t="s">
        <v>4176</v>
      </c>
      <c r="G3019" s="1" t="s">
        <v>4162</v>
      </c>
      <c r="H3019" s="1" t="s">
        <v>141</v>
      </c>
      <c r="I3019" s="1" t="s">
        <v>65</v>
      </c>
      <c r="J3019" s="1">
        <v>3</v>
      </c>
      <c r="K3019" s="1" t="s">
        <v>142</v>
      </c>
      <c r="L3019" s="1" t="s">
        <v>153</v>
      </c>
      <c r="M3019" s="1" t="s">
        <v>28</v>
      </c>
      <c r="N3019" s="1" t="str">
        <f>HYPERLINK("https://klocwork.india.ti.com:443/review/insight-review.html#issuedetails_goto:problemid=139356,project=MCU_PLUS_SDK_AM263X,searchquery=taxonomy:'C and C++' build:Build_Apr_13_2023_11_11_AM grouping:off ","KW Issue Link")</f>
        <v>KW Issue Link</v>
      </c>
      <c r="O3019" s="1" t="s">
        <v>1083</v>
      </c>
    </row>
    <row r="3020" spans="1:15" ht="120" x14ac:dyDescent="0.25">
      <c r="A3020" s="1" t="s">
        <v>149</v>
      </c>
      <c r="B3020" s="1"/>
      <c r="C3020" s="1" t="s">
        <v>4149</v>
      </c>
      <c r="D3020" s="1">
        <v>139357</v>
      </c>
      <c r="E3020" s="1">
        <v>3009</v>
      </c>
      <c r="F3020" s="1" t="s">
        <v>4177</v>
      </c>
      <c r="G3020" s="1" t="s">
        <v>4166</v>
      </c>
      <c r="H3020" s="1" t="s">
        <v>141</v>
      </c>
      <c r="I3020" s="1" t="s">
        <v>65</v>
      </c>
      <c r="J3020" s="1">
        <v>3</v>
      </c>
      <c r="K3020" s="1" t="s">
        <v>142</v>
      </c>
      <c r="L3020" s="1" t="s">
        <v>153</v>
      </c>
      <c r="M3020" s="1" t="s">
        <v>28</v>
      </c>
      <c r="N3020" s="1" t="str">
        <f>HYPERLINK("https://klocwork.india.ti.com:443/review/insight-review.html#issuedetails_goto:problemid=139357,project=MCU_PLUS_SDK_AM263X,searchquery=taxonomy:'C and C++' build:Build_Apr_13_2023_11_11_AM grouping:off ","KW Issue Link")</f>
        <v>KW Issue Link</v>
      </c>
      <c r="O3020" s="1" t="s">
        <v>1083</v>
      </c>
    </row>
    <row r="3021" spans="1:15" ht="90" x14ac:dyDescent="0.25">
      <c r="A3021" s="1" t="s">
        <v>149</v>
      </c>
      <c r="B3021" s="1"/>
      <c r="C3021" s="1" t="s">
        <v>4149</v>
      </c>
      <c r="D3021" s="1">
        <v>139358</v>
      </c>
      <c r="E3021" s="1">
        <v>3214</v>
      </c>
      <c r="F3021" s="1" t="s">
        <v>4178</v>
      </c>
      <c r="G3021" s="1" t="s">
        <v>4168</v>
      </c>
      <c r="H3021" s="1" t="s">
        <v>141</v>
      </c>
      <c r="I3021" s="1" t="s">
        <v>65</v>
      </c>
      <c r="J3021" s="1">
        <v>3</v>
      </c>
      <c r="K3021" s="1" t="s">
        <v>142</v>
      </c>
      <c r="L3021" s="1" t="s">
        <v>153</v>
      </c>
      <c r="M3021" s="1" t="s">
        <v>28</v>
      </c>
      <c r="N3021" s="1" t="str">
        <f>HYPERLINK("https://klocwork.india.ti.com:443/review/insight-review.html#issuedetails_goto:problemid=139358,project=MCU_PLUS_SDK_AM263X,searchquery=taxonomy:'C and C++' build:Build_Apr_13_2023_11_11_AM grouping:off ","KW Issue Link")</f>
        <v>KW Issue Link</v>
      </c>
      <c r="O3021" s="1" t="s">
        <v>1083</v>
      </c>
    </row>
    <row r="3022" spans="1:15" ht="75" x14ac:dyDescent="0.25">
      <c r="A3022" s="1" t="s">
        <v>155</v>
      </c>
      <c r="B3022" s="1"/>
      <c r="C3022" s="1" t="s">
        <v>4149</v>
      </c>
      <c r="D3022" s="1">
        <v>139359</v>
      </c>
      <c r="E3022" s="1">
        <v>982</v>
      </c>
      <c r="F3022" s="1" t="s">
        <v>156</v>
      </c>
      <c r="G3022" s="1" t="s">
        <v>4157</v>
      </c>
      <c r="H3022" s="1" t="s">
        <v>141</v>
      </c>
      <c r="I3022" s="1" t="s">
        <v>65</v>
      </c>
      <c r="J3022" s="1">
        <v>3</v>
      </c>
      <c r="K3022" s="1" t="s">
        <v>142</v>
      </c>
      <c r="L3022" s="1" t="s">
        <v>153</v>
      </c>
      <c r="M3022" s="1" t="s">
        <v>28</v>
      </c>
      <c r="N3022" s="1" t="str">
        <f>HYPERLINK("https://klocwork.india.ti.com:443/review/insight-review.html#issuedetails_goto:problemid=139359,project=MCU_PLUS_SDK_AM263X,searchquery=taxonomy:'C and C++' build:Build_Apr_13_2023_11_11_AM grouping:off ","KW Issue Link")</f>
        <v>KW Issue Link</v>
      </c>
      <c r="O3022" s="1" t="s">
        <v>1083</v>
      </c>
    </row>
    <row r="3023" spans="1:15" ht="75" x14ac:dyDescent="0.25">
      <c r="A3023" s="1" t="s">
        <v>155</v>
      </c>
      <c r="B3023" s="1"/>
      <c r="C3023" s="1" t="s">
        <v>4149</v>
      </c>
      <c r="D3023" s="1">
        <v>139360</v>
      </c>
      <c r="E3023" s="1">
        <v>1772</v>
      </c>
      <c r="F3023" s="1" t="s">
        <v>156</v>
      </c>
      <c r="G3023" s="1" t="s">
        <v>4160</v>
      </c>
      <c r="H3023" s="1" t="s">
        <v>141</v>
      </c>
      <c r="I3023" s="1" t="s">
        <v>65</v>
      </c>
      <c r="J3023" s="1">
        <v>3</v>
      </c>
      <c r="K3023" s="1" t="s">
        <v>142</v>
      </c>
      <c r="L3023" s="1" t="s">
        <v>153</v>
      </c>
      <c r="M3023" s="1" t="s">
        <v>28</v>
      </c>
      <c r="N3023" s="1" t="str">
        <f>HYPERLINK("https://klocwork.india.ti.com:443/review/insight-review.html#issuedetails_goto:problemid=139360,project=MCU_PLUS_SDK_AM263X,searchquery=taxonomy:'C and C++' build:Build_Apr_13_2023_11_11_AM grouping:off ","KW Issue Link")</f>
        <v>KW Issue Link</v>
      </c>
      <c r="O3023" s="1" t="s">
        <v>1083</v>
      </c>
    </row>
    <row r="3024" spans="1:15" ht="75" x14ac:dyDescent="0.25">
      <c r="A3024" s="1" t="s">
        <v>155</v>
      </c>
      <c r="B3024" s="1"/>
      <c r="C3024" s="1" t="s">
        <v>4149</v>
      </c>
      <c r="D3024" s="1">
        <v>139361</v>
      </c>
      <c r="E3024" s="1">
        <v>2578</v>
      </c>
      <c r="F3024" s="1" t="s">
        <v>156</v>
      </c>
      <c r="G3024" s="1" t="s">
        <v>4162</v>
      </c>
      <c r="H3024" s="1" t="s">
        <v>141</v>
      </c>
      <c r="I3024" s="1" t="s">
        <v>65</v>
      </c>
      <c r="J3024" s="1">
        <v>3</v>
      </c>
      <c r="K3024" s="1" t="s">
        <v>142</v>
      </c>
      <c r="L3024" s="1" t="s">
        <v>153</v>
      </c>
      <c r="M3024" s="1" t="s">
        <v>28</v>
      </c>
      <c r="N3024" s="1" t="str">
        <f>HYPERLINK("https://klocwork.india.ti.com:443/review/insight-review.html#issuedetails_goto:problemid=139361,project=MCU_PLUS_SDK_AM263X,searchquery=taxonomy:'C and C++' build:Build_Apr_13_2023_11_11_AM grouping:off ","KW Issue Link")</f>
        <v>KW Issue Link</v>
      </c>
      <c r="O3024" s="1" t="s">
        <v>1083</v>
      </c>
    </row>
    <row r="3025" spans="1:15" ht="75" x14ac:dyDescent="0.25">
      <c r="A3025" s="1" t="s">
        <v>155</v>
      </c>
      <c r="B3025" s="1"/>
      <c r="C3025" s="1" t="s">
        <v>4149</v>
      </c>
      <c r="D3025" s="1">
        <v>139362</v>
      </c>
      <c r="E3025" s="1">
        <v>3028</v>
      </c>
      <c r="F3025" s="1" t="s">
        <v>156</v>
      </c>
      <c r="G3025" s="1" t="s">
        <v>4166</v>
      </c>
      <c r="H3025" s="1" t="s">
        <v>141</v>
      </c>
      <c r="I3025" s="1" t="s">
        <v>65</v>
      </c>
      <c r="J3025" s="1">
        <v>3</v>
      </c>
      <c r="K3025" s="1" t="s">
        <v>142</v>
      </c>
      <c r="L3025" s="1" t="s">
        <v>153</v>
      </c>
      <c r="M3025" s="1" t="s">
        <v>28</v>
      </c>
      <c r="N3025" s="1" t="str">
        <f>HYPERLINK("https://klocwork.india.ti.com:443/review/insight-review.html#issuedetails_goto:problemid=139362,project=MCU_PLUS_SDK_AM263X,searchquery=taxonomy:'C and C++' build:Build_Apr_13_2023_11_11_AM grouping:off ","KW Issue Link")</f>
        <v>KW Issue Link</v>
      </c>
      <c r="O3025" s="1" t="s">
        <v>1083</v>
      </c>
    </row>
    <row r="3026" spans="1:15" ht="75" x14ac:dyDescent="0.25">
      <c r="A3026" s="1" t="s">
        <v>155</v>
      </c>
      <c r="B3026" s="1"/>
      <c r="C3026" s="1" t="s">
        <v>4149</v>
      </c>
      <c r="D3026" s="1">
        <v>139363</v>
      </c>
      <c r="E3026" s="1">
        <v>3251</v>
      </c>
      <c r="F3026" s="1" t="s">
        <v>156</v>
      </c>
      <c r="G3026" s="1" t="s">
        <v>4168</v>
      </c>
      <c r="H3026" s="1" t="s">
        <v>141</v>
      </c>
      <c r="I3026" s="1" t="s">
        <v>65</v>
      </c>
      <c r="J3026" s="1">
        <v>3</v>
      </c>
      <c r="K3026" s="1" t="s">
        <v>142</v>
      </c>
      <c r="L3026" s="1" t="s">
        <v>153</v>
      </c>
      <c r="M3026" s="1" t="s">
        <v>28</v>
      </c>
      <c r="N3026" s="1" t="str">
        <f>HYPERLINK("https://klocwork.india.ti.com:443/review/insight-review.html#issuedetails_goto:problemid=139363,project=MCU_PLUS_SDK_AM263X,searchquery=taxonomy:'C and C++' build:Build_Apr_13_2023_11_11_AM grouping:off ","KW Issue Link")</f>
        <v>KW Issue Link</v>
      </c>
      <c r="O3026" s="1" t="s">
        <v>1083</v>
      </c>
    </row>
    <row r="3027" spans="1:15" ht="105" x14ac:dyDescent="0.25">
      <c r="A3027" s="1" t="s">
        <v>163</v>
      </c>
      <c r="B3027" s="1"/>
      <c r="C3027" s="1" t="s">
        <v>4149</v>
      </c>
      <c r="D3027" s="1">
        <v>139379</v>
      </c>
      <c r="E3027" s="1">
        <v>1459</v>
      </c>
      <c r="F3027" s="1" t="s">
        <v>4179</v>
      </c>
      <c r="G3027" s="1" t="s">
        <v>4180</v>
      </c>
      <c r="H3027" s="1" t="s">
        <v>141</v>
      </c>
      <c r="I3027" s="1" t="s">
        <v>65</v>
      </c>
      <c r="J3027" s="1">
        <v>3</v>
      </c>
      <c r="K3027" s="1" t="s">
        <v>142</v>
      </c>
      <c r="L3027" s="1" t="s">
        <v>153</v>
      </c>
      <c r="M3027" s="1" t="s">
        <v>28</v>
      </c>
      <c r="N3027" s="1" t="str">
        <f>HYPERLINK("https://klocwork.india.ti.com:443/review/insight-review.html#issuedetails_goto:problemid=139379,project=MCU_PLUS_SDK_AM263X,searchquery=taxonomy:'C and C++' build:Build_Apr_13_2023_11_11_AM grouping:off ","KW Issue Link")</f>
        <v>KW Issue Link</v>
      </c>
      <c r="O3027" s="1" t="s">
        <v>1083</v>
      </c>
    </row>
    <row r="3028" spans="1:15" ht="105" x14ac:dyDescent="0.25">
      <c r="A3028" s="1" t="s">
        <v>163</v>
      </c>
      <c r="B3028" s="1"/>
      <c r="C3028" s="1" t="s">
        <v>4149</v>
      </c>
      <c r="D3028" s="1">
        <v>139380</v>
      </c>
      <c r="E3028" s="1">
        <v>3521</v>
      </c>
      <c r="F3028" s="1" t="s">
        <v>4181</v>
      </c>
      <c r="G3028" s="1" t="s">
        <v>4170</v>
      </c>
      <c r="H3028" s="1" t="s">
        <v>141</v>
      </c>
      <c r="I3028" s="1" t="s">
        <v>65</v>
      </c>
      <c r="J3028" s="1">
        <v>3</v>
      </c>
      <c r="K3028" s="1" t="s">
        <v>142</v>
      </c>
      <c r="L3028" s="1" t="s">
        <v>153</v>
      </c>
      <c r="M3028" s="1" t="s">
        <v>28</v>
      </c>
      <c r="N3028" s="1" t="str">
        <f>HYPERLINK("https://klocwork.india.ti.com:443/review/insight-review.html#issuedetails_goto:problemid=139380,project=MCU_PLUS_SDK_AM263X,searchquery=taxonomy:'C and C++' build:Build_Apr_13_2023_11_11_AM grouping:off ","KW Issue Link")</f>
        <v>KW Issue Link</v>
      </c>
      <c r="O3028" s="1" t="s">
        <v>1083</v>
      </c>
    </row>
    <row r="3029" spans="1:15" ht="105" x14ac:dyDescent="0.25">
      <c r="A3029" s="1" t="s">
        <v>163</v>
      </c>
      <c r="B3029" s="1"/>
      <c r="C3029" s="1" t="s">
        <v>4149</v>
      </c>
      <c r="D3029" s="1">
        <v>139381</v>
      </c>
      <c r="E3029" s="1">
        <v>3521</v>
      </c>
      <c r="F3029" s="1" t="s">
        <v>4182</v>
      </c>
      <c r="G3029" s="1" t="s">
        <v>4170</v>
      </c>
      <c r="H3029" s="1" t="s">
        <v>141</v>
      </c>
      <c r="I3029" s="1" t="s">
        <v>65</v>
      </c>
      <c r="J3029" s="1">
        <v>3</v>
      </c>
      <c r="K3029" s="1" t="s">
        <v>142</v>
      </c>
      <c r="L3029" s="1" t="s">
        <v>153</v>
      </c>
      <c r="M3029" s="1" t="s">
        <v>28</v>
      </c>
      <c r="N3029" s="1" t="str">
        <f>HYPERLINK("https://klocwork.india.ti.com:443/review/insight-review.html#issuedetails_goto:problemid=139381,project=MCU_PLUS_SDK_AM263X,searchquery=taxonomy:'C and C++' build:Build_Apr_13_2023_11_11_AM grouping:off ","KW Issue Link")</f>
        <v>KW Issue Link</v>
      </c>
      <c r="O3029" s="1" t="s">
        <v>1083</v>
      </c>
    </row>
    <row r="3030" spans="1:15" ht="105" x14ac:dyDescent="0.25">
      <c r="A3030" s="1" t="s">
        <v>163</v>
      </c>
      <c r="B3030" s="1"/>
      <c r="C3030" s="1" t="s">
        <v>4149</v>
      </c>
      <c r="D3030" s="1">
        <v>139382</v>
      </c>
      <c r="E3030" s="1">
        <v>3521</v>
      </c>
      <c r="F3030" s="1" t="s">
        <v>4183</v>
      </c>
      <c r="G3030" s="1" t="s">
        <v>4170</v>
      </c>
      <c r="H3030" s="1" t="s">
        <v>141</v>
      </c>
      <c r="I3030" s="1" t="s">
        <v>65</v>
      </c>
      <c r="J3030" s="1">
        <v>3</v>
      </c>
      <c r="K3030" s="1" t="s">
        <v>142</v>
      </c>
      <c r="L3030" s="1" t="s">
        <v>153</v>
      </c>
      <c r="M3030" s="1" t="s">
        <v>28</v>
      </c>
      <c r="N3030" s="1" t="str">
        <f>HYPERLINK("https://klocwork.india.ti.com:443/review/insight-review.html#issuedetails_goto:problemid=139382,project=MCU_PLUS_SDK_AM263X,searchquery=taxonomy:'C and C++' build:Build_Apr_13_2023_11_11_AM grouping:off ","KW Issue Link")</f>
        <v>KW Issue Link</v>
      </c>
      <c r="O3030" s="1" t="s">
        <v>1083</v>
      </c>
    </row>
    <row r="3031" spans="1:15" ht="75" x14ac:dyDescent="0.25">
      <c r="A3031" s="1" t="s">
        <v>1257</v>
      </c>
      <c r="B3031" s="1"/>
      <c r="C3031" s="1" t="s">
        <v>4149</v>
      </c>
      <c r="D3031" s="1">
        <v>139385</v>
      </c>
      <c r="E3031" s="1">
        <v>1483</v>
      </c>
      <c r="F3031" s="1" t="s">
        <v>4184</v>
      </c>
      <c r="G3031" s="1" t="s">
        <v>4160</v>
      </c>
      <c r="H3031" s="1" t="s">
        <v>141</v>
      </c>
      <c r="I3031" s="1" t="s">
        <v>65</v>
      </c>
      <c r="J3031" s="1">
        <v>3</v>
      </c>
      <c r="K3031" s="1" t="s">
        <v>142</v>
      </c>
      <c r="L3031" s="1" t="s">
        <v>153</v>
      </c>
      <c r="M3031" s="1" t="s">
        <v>1256</v>
      </c>
      <c r="N3031" s="1" t="str">
        <f>HYPERLINK("https://klocwork.india.ti.com:443/review/insight-review.html#issuedetails_goto:problemid=139385,project=MCU_PLUS_SDK_AM263X,searchquery=taxonomy:'C and C++' build:Build_Apr_13_2023_11_11_AM grouping:off ","KW Issue Link")</f>
        <v>KW Issue Link</v>
      </c>
      <c r="O3031" s="1" t="s">
        <v>1083</v>
      </c>
    </row>
    <row r="3032" spans="1:15" ht="75" x14ac:dyDescent="0.25">
      <c r="A3032" s="1" t="s">
        <v>1257</v>
      </c>
      <c r="B3032" s="1"/>
      <c r="C3032" s="1" t="s">
        <v>4149</v>
      </c>
      <c r="D3032" s="1">
        <v>139386</v>
      </c>
      <c r="E3032" s="1">
        <v>2310</v>
      </c>
      <c r="F3032" s="1" t="s">
        <v>4185</v>
      </c>
      <c r="G3032" s="1" t="s">
        <v>4162</v>
      </c>
      <c r="H3032" s="1" t="s">
        <v>141</v>
      </c>
      <c r="I3032" s="1" t="s">
        <v>65</v>
      </c>
      <c r="J3032" s="1">
        <v>3</v>
      </c>
      <c r="K3032" s="1" t="s">
        <v>142</v>
      </c>
      <c r="L3032" s="1" t="s">
        <v>153</v>
      </c>
      <c r="M3032" s="1" t="s">
        <v>1256</v>
      </c>
      <c r="N3032" s="1" t="str">
        <f>HYPERLINK("https://klocwork.india.ti.com:443/review/insight-review.html#issuedetails_goto:problemid=139386,project=MCU_PLUS_SDK_AM263X,searchquery=taxonomy:'C and C++' build:Build_Apr_13_2023_11_11_AM grouping:off ","KW Issue Link")</f>
        <v>KW Issue Link</v>
      </c>
      <c r="O3032" s="1" t="s">
        <v>1083</v>
      </c>
    </row>
    <row r="3033" spans="1:15" ht="75" x14ac:dyDescent="0.25">
      <c r="A3033" s="1" t="s">
        <v>1257</v>
      </c>
      <c r="B3033" s="1"/>
      <c r="C3033" s="1" t="s">
        <v>4149</v>
      </c>
      <c r="D3033" s="1">
        <v>139387</v>
      </c>
      <c r="E3033" s="1">
        <v>2844</v>
      </c>
      <c r="F3033" s="1" t="s">
        <v>4186</v>
      </c>
      <c r="G3033" s="1" t="s">
        <v>4166</v>
      </c>
      <c r="H3033" s="1" t="s">
        <v>141</v>
      </c>
      <c r="I3033" s="1" t="s">
        <v>65</v>
      </c>
      <c r="J3033" s="1">
        <v>3</v>
      </c>
      <c r="K3033" s="1" t="s">
        <v>142</v>
      </c>
      <c r="L3033" s="1" t="s">
        <v>153</v>
      </c>
      <c r="M3033" s="1" t="s">
        <v>1256</v>
      </c>
      <c r="N3033" s="1" t="str">
        <f>HYPERLINK("https://klocwork.india.ti.com:443/review/insight-review.html#issuedetails_goto:problemid=139387,project=MCU_PLUS_SDK_AM263X,searchquery=taxonomy:'C and C++' build:Build_Apr_13_2023_11_11_AM grouping:off ","KW Issue Link")</f>
        <v>KW Issue Link</v>
      </c>
      <c r="O3033" s="1" t="s">
        <v>1083</v>
      </c>
    </row>
    <row r="3034" spans="1:15" ht="75" x14ac:dyDescent="0.25">
      <c r="A3034" s="1" t="s">
        <v>157</v>
      </c>
      <c r="B3034" s="1"/>
      <c r="C3034" s="1" t="s">
        <v>4149</v>
      </c>
      <c r="D3034" s="1">
        <v>139402</v>
      </c>
      <c r="E3034" s="1">
        <v>2514</v>
      </c>
      <c r="F3034" s="1" t="s">
        <v>4187</v>
      </c>
      <c r="G3034" s="1" t="s">
        <v>4162</v>
      </c>
      <c r="H3034" s="1" t="s">
        <v>141</v>
      </c>
      <c r="I3034" s="1" t="s">
        <v>65</v>
      </c>
      <c r="J3034" s="1">
        <v>3</v>
      </c>
      <c r="K3034" s="1" t="s">
        <v>142</v>
      </c>
      <c r="L3034" s="1" t="s">
        <v>153</v>
      </c>
      <c r="M3034" s="1" t="s">
        <v>28</v>
      </c>
      <c r="N3034" s="1" t="str">
        <f>HYPERLINK("https://klocwork.india.ti.com:443/review/insight-review.html#issuedetails_goto:problemid=139402,project=MCU_PLUS_SDK_AM263X,searchquery=taxonomy:'C and C++' build:Build_Apr_13_2023_11_11_AM grouping:off ","KW Issue Link")</f>
        <v>KW Issue Link</v>
      </c>
      <c r="O3034" s="1" t="s">
        <v>1083</v>
      </c>
    </row>
    <row r="3035" spans="1:15" ht="75" x14ac:dyDescent="0.25">
      <c r="A3035" s="1" t="s">
        <v>1252</v>
      </c>
      <c r="B3035" s="1"/>
      <c r="C3035" s="1" t="s">
        <v>4188</v>
      </c>
      <c r="D3035" s="1">
        <v>139465</v>
      </c>
      <c r="E3035" s="1">
        <v>129</v>
      </c>
      <c r="F3035" s="1" t="s">
        <v>4189</v>
      </c>
      <c r="G3035" s="1" t="s">
        <v>4190</v>
      </c>
      <c r="H3035" s="1" t="s">
        <v>141</v>
      </c>
      <c r="I3035" s="1" t="s">
        <v>65</v>
      </c>
      <c r="J3035" s="1">
        <v>3</v>
      </c>
      <c r="K3035" s="1" t="s">
        <v>142</v>
      </c>
      <c r="L3035" s="1" t="s">
        <v>153</v>
      </c>
      <c r="M3035" s="1" t="s">
        <v>1256</v>
      </c>
      <c r="N3035" s="1" t="str">
        <f>HYPERLINK("https://klocwork.india.ti.com:443/review/insight-review.html#issuedetails_goto:problemid=139465,project=MCU_PLUS_SDK_AM263X,searchquery=taxonomy:'C and C++' build:Build_Apr_13_2023_11_11_AM grouping:off ","KW Issue Link")</f>
        <v>KW Issue Link</v>
      </c>
      <c r="O3035" s="1" t="s">
        <v>1083</v>
      </c>
    </row>
    <row r="3036" spans="1:15" ht="75" x14ac:dyDescent="0.25">
      <c r="A3036" s="1" t="s">
        <v>997</v>
      </c>
      <c r="B3036" s="1"/>
      <c r="C3036" s="1" t="s">
        <v>4188</v>
      </c>
      <c r="D3036" s="1">
        <v>139497</v>
      </c>
      <c r="E3036" s="1">
        <v>223</v>
      </c>
      <c r="F3036" s="1" t="s">
        <v>4029</v>
      </c>
      <c r="G3036" s="1" t="s">
        <v>4191</v>
      </c>
      <c r="H3036" s="1" t="s">
        <v>141</v>
      </c>
      <c r="I3036" s="1" t="s">
        <v>66</v>
      </c>
      <c r="J3036" s="1">
        <v>4</v>
      </c>
      <c r="K3036" s="1" t="s">
        <v>142</v>
      </c>
      <c r="L3036" s="1" t="s">
        <v>153</v>
      </c>
      <c r="M3036" s="1" t="s">
        <v>28</v>
      </c>
      <c r="N3036" s="1" t="str">
        <f>HYPERLINK("https://klocwork.india.ti.com:443/review/insight-review.html#issuedetails_goto:problemid=139497,project=MCU_PLUS_SDK_AM263X,searchquery=taxonomy:'C and C++' build:Build_Apr_13_2023_11_11_AM grouping:off ","KW Issue Link")</f>
        <v>KW Issue Link</v>
      </c>
      <c r="O3036" s="1" t="s">
        <v>1083</v>
      </c>
    </row>
    <row r="3037" spans="1:15" ht="90" x14ac:dyDescent="0.25">
      <c r="A3037" s="1" t="s">
        <v>163</v>
      </c>
      <c r="B3037" s="1"/>
      <c r="C3037" s="1" t="s">
        <v>4192</v>
      </c>
      <c r="D3037" s="1">
        <v>140080</v>
      </c>
      <c r="E3037" s="1">
        <v>61</v>
      </c>
      <c r="F3037" s="1" t="s">
        <v>4193</v>
      </c>
      <c r="G3037" s="1" t="s">
        <v>4194</v>
      </c>
      <c r="H3037" s="1" t="s">
        <v>141</v>
      </c>
      <c r="I3037" s="1" t="s">
        <v>65</v>
      </c>
      <c r="J3037" s="1">
        <v>3</v>
      </c>
      <c r="K3037" s="1" t="s">
        <v>142</v>
      </c>
      <c r="L3037" s="1" t="s">
        <v>153</v>
      </c>
      <c r="M3037" s="1" t="s">
        <v>28</v>
      </c>
      <c r="N3037" s="1" t="str">
        <f>HYPERLINK("https://klocwork.india.ti.com:443/review/insight-review.html#issuedetails_goto:problemid=140080,project=MCU_PLUS_SDK_AM263X,searchquery=taxonomy:'C and C++' build:Build_Apr_13_2023_11_11_AM grouping:off ","KW Issue Link")</f>
        <v>KW Issue Link</v>
      </c>
      <c r="O3037" s="1" t="s">
        <v>1083</v>
      </c>
    </row>
    <row r="3038" spans="1:15" ht="120" x14ac:dyDescent="0.25">
      <c r="A3038" s="1" t="s">
        <v>163</v>
      </c>
      <c r="B3038" s="1"/>
      <c r="C3038" s="1" t="s">
        <v>4192</v>
      </c>
      <c r="D3038" s="1">
        <v>140081</v>
      </c>
      <c r="E3038" s="1">
        <v>565</v>
      </c>
      <c r="F3038" s="1" t="s">
        <v>4195</v>
      </c>
      <c r="G3038" s="1" t="s">
        <v>4196</v>
      </c>
      <c r="H3038" s="1" t="s">
        <v>141</v>
      </c>
      <c r="I3038" s="1" t="s">
        <v>65</v>
      </c>
      <c r="J3038" s="1">
        <v>3</v>
      </c>
      <c r="K3038" s="1" t="s">
        <v>142</v>
      </c>
      <c r="L3038" s="1" t="s">
        <v>153</v>
      </c>
      <c r="M3038" s="1" t="s">
        <v>28</v>
      </c>
      <c r="N3038" s="1" t="str">
        <f>HYPERLINK("https://klocwork.india.ti.com:443/review/insight-review.html#issuedetails_goto:problemid=140081,project=MCU_PLUS_SDK_AM263X,searchquery=taxonomy:'C and C++' build:Build_Apr_13_2023_11_11_AM grouping:off ","KW Issue Link")</f>
        <v>KW Issue Link</v>
      </c>
      <c r="O3038" s="1" t="s">
        <v>1083</v>
      </c>
    </row>
    <row r="3039" spans="1:15" ht="105" x14ac:dyDescent="0.25">
      <c r="A3039" s="1" t="s">
        <v>163</v>
      </c>
      <c r="B3039" s="1"/>
      <c r="C3039" s="1" t="s">
        <v>4192</v>
      </c>
      <c r="D3039" s="1">
        <v>140082</v>
      </c>
      <c r="E3039" s="1">
        <v>565</v>
      </c>
      <c r="F3039" s="1" t="s">
        <v>4197</v>
      </c>
      <c r="G3039" s="1" t="s">
        <v>4196</v>
      </c>
      <c r="H3039" s="1" t="s">
        <v>141</v>
      </c>
      <c r="I3039" s="1" t="s">
        <v>65</v>
      </c>
      <c r="J3039" s="1">
        <v>3</v>
      </c>
      <c r="K3039" s="1" t="s">
        <v>142</v>
      </c>
      <c r="L3039" s="1" t="s">
        <v>153</v>
      </c>
      <c r="M3039" s="1" t="s">
        <v>28</v>
      </c>
      <c r="N3039" s="1" t="str">
        <f>HYPERLINK("https://klocwork.india.ti.com:443/review/insight-review.html#issuedetails_goto:problemid=140082,project=MCU_PLUS_SDK_AM263X,searchquery=taxonomy:'C and C++' build:Build_Apr_13_2023_11_11_AM grouping:off ","KW Issue Link")</f>
        <v>KW Issue Link</v>
      </c>
      <c r="O3039" s="1" t="s">
        <v>1083</v>
      </c>
    </row>
    <row r="3040" spans="1:15" ht="105" x14ac:dyDescent="0.25">
      <c r="A3040" s="1" t="s">
        <v>163</v>
      </c>
      <c r="B3040" s="1"/>
      <c r="C3040" s="1" t="s">
        <v>4192</v>
      </c>
      <c r="D3040" s="1">
        <v>140083</v>
      </c>
      <c r="E3040" s="1">
        <v>4365</v>
      </c>
      <c r="F3040" s="1" t="s">
        <v>4198</v>
      </c>
      <c r="G3040" s="1" t="s">
        <v>4199</v>
      </c>
      <c r="H3040" s="1" t="s">
        <v>141</v>
      </c>
      <c r="I3040" s="1" t="s">
        <v>65</v>
      </c>
      <c r="J3040" s="1">
        <v>3</v>
      </c>
      <c r="K3040" s="1" t="s">
        <v>142</v>
      </c>
      <c r="L3040" s="1" t="s">
        <v>153</v>
      </c>
      <c r="M3040" s="1" t="s">
        <v>28</v>
      </c>
      <c r="N3040" s="1" t="str">
        <f>HYPERLINK("https://klocwork.india.ti.com:443/review/insight-review.html#issuedetails_goto:problemid=140083,project=MCU_PLUS_SDK_AM263X,searchquery=taxonomy:'C and C++' build:Build_Apr_13_2023_11_11_AM grouping:off ","KW Issue Link")</f>
        <v>KW Issue Link</v>
      </c>
      <c r="O3040" s="1" t="s">
        <v>1083</v>
      </c>
    </row>
    <row r="3041" spans="1:15" ht="120" x14ac:dyDescent="0.25">
      <c r="A3041" s="1" t="s">
        <v>163</v>
      </c>
      <c r="B3041" s="1"/>
      <c r="C3041" s="1" t="s">
        <v>4192</v>
      </c>
      <c r="D3041" s="1">
        <v>140084</v>
      </c>
      <c r="E3041" s="1">
        <v>4365</v>
      </c>
      <c r="F3041" s="1" t="s">
        <v>4200</v>
      </c>
      <c r="G3041" s="1" t="s">
        <v>4199</v>
      </c>
      <c r="H3041" s="1" t="s">
        <v>141</v>
      </c>
      <c r="I3041" s="1" t="s">
        <v>65</v>
      </c>
      <c r="J3041" s="1">
        <v>3</v>
      </c>
      <c r="K3041" s="1" t="s">
        <v>142</v>
      </c>
      <c r="L3041" s="1" t="s">
        <v>153</v>
      </c>
      <c r="M3041" s="1" t="s">
        <v>28</v>
      </c>
      <c r="N3041" s="1" t="str">
        <f>HYPERLINK("https://klocwork.india.ti.com:443/review/insight-review.html#issuedetails_goto:problemid=140084,project=MCU_PLUS_SDK_AM263X,searchquery=taxonomy:'C and C++' build:Build_Apr_13_2023_11_11_AM grouping:off ","KW Issue Link")</f>
        <v>KW Issue Link</v>
      </c>
      <c r="O3041" s="1" t="s">
        <v>1083</v>
      </c>
    </row>
    <row r="3042" spans="1:15" ht="120" x14ac:dyDescent="0.25">
      <c r="A3042" s="1" t="s">
        <v>163</v>
      </c>
      <c r="B3042" s="1"/>
      <c r="C3042" s="1" t="s">
        <v>4192</v>
      </c>
      <c r="D3042" s="1">
        <v>140085</v>
      </c>
      <c r="E3042" s="1">
        <v>4365</v>
      </c>
      <c r="F3042" s="1" t="s">
        <v>4201</v>
      </c>
      <c r="G3042" s="1" t="s">
        <v>4199</v>
      </c>
      <c r="H3042" s="1" t="s">
        <v>141</v>
      </c>
      <c r="I3042" s="1" t="s">
        <v>65</v>
      </c>
      <c r="J3042" s="1">
        <v>3</v>
      </c>
      <c r="K3042" s="1" t="s">
        <v>142</v>
      </c>
      <c r="L3042" s="1" t="s">
        <v>153</v>
      </c>
      <c r="M3042" s="1" t="s">
        <v>28</v>
      </c>
      <c r="N3042" s="1" t="str">
        <f>HYPERLINK("https://klocwork.india.ti.com:443/review/insight-review.html#issuedetails_goto:problemid=140085,project=MCU_PLUS_SDK_AM263X,searchquery=taxonomy:'C and C++' build:Build_Apr_13_2023_11_11_AM grouping:off ","KW Issue Link")</f>
        <v>KW Issue Link</v>
      </c>
      <c r="O3042" s="1" t="s">
        <v>1083</v>
      </c>
    </row>
    <row r="3043" spans="1:15" ht="75" x14ac:dyDescent="0.25">
      <c r="A3043" s="1" t="s">
        <v>1266</v>
      </c>
      <c r="B3043" s="1"/>
      <c r="C3043" s="1" t="s">
        <v>4192</v>
      </c>
      <c r="D3043" s="1">
        <v>140656</v>
      </c>
      <c r="E3043" s="1">
        <v>700</v>
      </c>
      <c r="F3043" s="1" t="s">
        <v>4202</v>
      </c>
      <c r="G3043" s="1" t="s">
        <v>4203</v>
      </c>
      <c r="H3043" s="1" t="s">
        <v>141</v>
      </c>
      <c r="I3043" s="1" t="s">
        <v>65</v>
      </c>
      <c r="J3043" s="1">
        <v>3</v>
      </c>
      <c r="K3043" s="1" t="s">
        <v>142</v>
      </c>
      <c r="L3043" s="1" t="s">
        <v>153</v>
      </c>
      <c r="M3043" s="1" t="s">
        <v>1256</v>
      </c>
      <c r="N3043" s="1" t="str">
        <f>HYPERLINK("https://klocwork.india.ti.com:443/review/insight-review.html#issuedetails_goto:problemid=140656,project=MCU_PLUS_SDK_AM263X,searchquery=taxonomy:'C and C++' build:Build_Apr_13_2023_11_11_AM grouping:off ","KW Issue Link")</f>
        <v>KW Issue Link</v>
      </c>
      <c r="O3043" s="1" t="s">
        <v>1083</v>
      </c>
    </row>
    <row r="3044" spans="1:15" ht="75" x14ac:dyDescent="0.25">
      <c r="A3044" s="1" t="s">
        <v>1266</v>
      </c>
      <c r="B3044" s="1"/>
      <c r="C3044" s="1" t="s">
        <v>4192</v>
      </c>
      <c r="D3044" s="1">
        <v>140657</v>
      </c>
      <c r="E3044" s="1">
        <v>1184</v>
      </c>
      <c r="F3044" s="1" t="s">
        <v>4204</v>
      </c>
      <c r="G3044" s="1" t="s">
        <v>4205</v>
      </c>
      <c r="H3044" s="1" t="s">
        <v>141</v>
      </c>
      <c r="I3044" s="1" t="s">
        <v>65</v>
      </c>
      <c r="J3044" s="1">
        <v>3</v>
      </c>
      <c r="K3044" s="1" t="s">
        <v>142</v>
      </c>
      <c r="L3044" s="1" t="s">
        <v>153</v>
      </c>
      <c r="M3044" s="1" t="s">
        <v>1256</v>
      </c>
      <c r="N3044" s="1" t="str">
        <f>HYPERLINK("https://klocwork.india.ti.com:443/review/insight-review.html#issuedetails_goto:problemid=140657,project=MCU_PLUS_SDK_AM263X,searchquery=taxonomy:'C and C++' build:Build_Apr_13_2023_11_11_AM grouping:off ","KW Issue Link")</f>
        <v>KW Issue Link</v>
      </c>
      <c r="O3044" s="1" t="s">
        <v>1083</v>
      </c>
    </row>
    <row r="3045" spans="1:15" ht="75" x14ac:dyDescent="0.25">
      <c r="A3045" s="1" t="s">
        <v>1266</v>
      </c>
      <c r="B3045" s="1"/>
      <c r="C3045" s="1" t="s">
        <v>4192</v>
      </c>
      <c r="D3045" s="1">
        <v>140658</v>
      </c>
      <c r="E3045" s="1">
        <v>2408</v>
      </c>
      <c r="F3045" s="1" t="s">
        <v>4206</v>
      </c>
      <c r="G3045" s="1" t="s">
        <v>4207</v>
      </c>
      <c r="H3045" s="1" t="s">
        <v>141</v>
      </c>
      <c r="I3045" s="1" t="s">
        <v>65</v>
      </c>
      <c r="J3045" s="1">
        <v>3</v>
      </c>
      <c r="K3045" s="1" t="s">
        <v>142</v>
      </c>
      <c r="L3045" s="1" t="s">
        <v>153</v>
      </c>
      <c r="M3045" s="1" t="s">
        <v>1256</v>
      </c>
      <c r="N3045" s="1" t="str">
        <f>HYPERLINK("https://klocwork.india.ti.com:443/review/insight-review.html#issuedetails_goto:problemid=140658,project=MCU_PLUS_SDK_AM263X,searchquery=taxonomy:'C and C++' build:Build_Apr_13_2023_11_11_AM grouping:off ","KW Issue Link")</f>
        <v>KW Issue Link</v>
      </c>
      <c r="O3045" s="1" t="s">
        <v>1083</v>
      </c>
    </row>
    <row r="3046" spans="1:15" ht="75" x14ac:dyDescent="0.25">
      <c r="A3046" s="1" t="s">
        <v>1266</v>
      </c>
      <c r="B3046" s="1"/>
      <c r="C3046" s="1" t="s">
        <v>4192</v>
      </c>
      <c r="D3046" s="1">
        <v>140659</v>
      </c>
      <c r="E3046" s="1">
        <v>2898</v>
      </c>
      <c r="F3046" s="1" t="s">
        <v>4208</v>
      </c>
      <c r="G3046" s="1" t="s">
        <v>4209</v>
      </c>
      <c r="H3046" s="1" t="s">
        <v>141</v>
      </c>
      <c r="I3046" s="1" t="s">
        <v>65</v>
      </c>
      <c r="J3046" s="1">
        <v>3</v>
      </c>
      <c r="K3046" s="1" t="s">
        <v>142</v>
      </c>
      <c r="L3046" s="1" t="s">
        <v>153</v>
      </c>
      <c r="M3046" s="1" t="s">
        <v>1256</v>
      </c>
      <c r="N3046" s="1" t="str">
        <f>HYPERLINK("https://klocwork.india.ti.com:443/review/insight-review.html#issuedetails_goto:problemid=140659,project=MCU_PLUS_SDK_AM263X,searchquery=taxonomy:'C and C++' build:Build_Apr_13_2023_11_11_AM grouping:off ","KW Issue Link")</f>
        <v>KW Issue Link</v>
      </c>
      <c r="O3046" s="1" t="s">
        <v>1083</v>
      </c>
    </row>
    <row r="3047" spans="1:15" ht="75" x14ac:dyDescent="0.25">
      <c r="A3047" s="1" t="s">
        <v>1266</v>
      </c>
      <c r="B3047" s="1"/>
      <c r="C3047" s="1" t="s">
        <v>4192</v>
      </c>
      <c r="D3047" s="1">
        <v>140660</v>
      </c>
      <c r="E3047" s="1">
        <v>3707</v>
      </c>
      <c r="F3047" s="1" t="s">
        <v>4210</v>
      </c>
      <c r="G3047" s="1" t="s">
        <v>4211</v>
      </c>
      <c r="H3047" s="1" t="s">
        <v>141</v>
      </c>
      <c r="I3047" s="1" t="s">
        <v>65</v>
      </c>
      <c r="J3047" s="1">
        <v>3</v>
      </c>
      <c r="K3047" s="1" t="s">
        <v>142</v>
      </c>
      <c r="L3047" s="1" t="s">
        <v>153</v>
      </c>
      <c r="M3047" s="1" t="s">
        <v>1256</v>
      </c>
      <c r="N3047" s="1" t="str">
        <f>HYPERLINK("https://klocwork.india.ti.com:443/review/insight-review.html#issuedetails_goto:problemid=140660,project=MCU_PLUS_SDK_AM263X,searchquery=taxonomy:'C and C++' build:Build_Apr_13_2023_11_11_AM grouping:off ","KW Issue Link")</f>
        <v>KW Issue Link</v>
      </c>
      <c r="O3047" s="1" t="s">
        <v>1083</v>
      </c>
    </row>
    <row r="3048" spans="1:15" ht="75" x14ac:dyDescent="0.25">
      <c r="A3048" s="1" t="s">
        <v>1266</v>
      </c>
      <c r="B3048" s="1"/>
      <c r="C3048" s="1" t="s">
        <v>4192</v>
      </c>
      <c r="D3048" s="1">
        <v>140661</v>
      </c>
      <c r="E3048" s="1">
        <v>4012</v>
      </c>
      <c r="F3048" s="1" t="s">
        <v>4212</v>
      </c>
      <c r="G3048" s="1" t="s">
        <v>4213</v>
      </c>
      <c r="H3048" s="1" t="s">
        <v>141</v>
      </c>
      <c r="I3048" s="1" t="s">
        <v>65</v>
      </c>
      <c r="J3048" s="1">
        <v>3</v>
      </c>
      <c r="K3048" s="1" t="s">
        <v>142</v>
      </c>
      <c r="L3048" s="1" t="s">
        <v>153</v>
      </c>
      <c r="M3048" s="1" t="s">
        <v>1256</v>
      </c>
      <c r="N3048" s="1" t="str">
        <f>HYPERLINK("https://klocwork.india.ti.com:443/review/insight-review.html#issuedetails_goto:problemid=140661,project=MCU_PLUS_SDK_AM263X,searchquery=taxonomy:'C and C++' build:Build_Apr_13_2023_11_11_AM grouping:off ","KW Issue Link")</f>
        <v>KW Issue Link</v>
      </c>
      <c r="O3048" s="1" t="s">
        <v>1083</v>
      </c>
    </row>
    <row r="3049" spans="1:15" ht="75" x14ac:dyDescent="0.25">
      <c r="A3049" s="1" t="s">
        <v>1266</v>
      </c>
      <c r="B3049" s="1"/>
      <c r="C3049" s="1" t="s">
        <v>4192</v>
      </c>
      <c r="D3049" s="1">
        <v>140662</v>
      </c>
      <c r="E3049" s="1">
        <v>4248</v>
      </c>
      <c r="F3049" s="1" t="s">
        <v>4214</v>
      </c>
      <c r="G3049" s="1" t="s">
        <v>4199</v>
      </c>
      <c r="H3049" s="1" t="s">
        <v>141</v>
      </c>
      <c r="I3049" s="1" t="s">
        <v>65</v>
      </c>
      <c r="J3049" s="1">
        <v>3</v>
      </c>
      <c r="K3049" s="1" t="s">
        <v>142</v>
      </c>
      <c r="L3049" s="1" t="s">
        <v>153</v>
      </c>
      <c r="M3049" s="1" t="s">
        <v>1256</v>
      </c>
      <c r="N3049" s="1" t="str">
        <f>HYPERLINK("https://klocwork.india.ti.com:443/review/insight-review.html#issuedetails_goto:problemid=140662,project=MCU_PLUS_SDK_AM263X,searchquery=taxonomy:'C and C++' build:Build_Apr_13_2023_11_11_AM grouping:off ","KW Issue Link")</f>
        <v>KW Issue Link</v>
      </c>
      <c r="O3049" s="1" t="s">
        <v>1083</v>
      </c>
    </row>
    <row r="3050" spans="1:15" ht="75" x14ac:dyDescent="0.25">
      <c r="A3050" s="1" t="s">
        <v>1257</v>
      </c>
      <c r="B3050" s="1"/>
      <c r="C3050" s="1" t="s">
        <v>4192</v>
      </c>
      <c r="D3050" s="1">
        <v>140729</v>
      </c>
      <c r="E3050" s="1">
        <v>1184</v>
      </c>
      <c r="F3050" s="1" t="s">
        <v>4215</v>
      </c>
      <c r="G3050" s="1" t="s">
        <v>4205</v>
      </c>
      <c r="H3050" s="1" t="s">
        <v>141</v>
      </c>
      <c r="I3050" s="1" t="s">
        <v>65</v>
      </c>
      <c r="J3050" s="1">
        <v>3</v>
      </c>
      <c r="K3050" s="1" t="s">
        <v>142</v>
      </c>
      <c r="L3050" s="1" t="s">
        <v>153</v>
      </c>
      <c r="M3050" s="1" t="s">
        <v>1256</v>
      </c>
      <c r="N3050" s="1" t="str">
        <f>HYPERLINK("https://klocwork.india.ti.com:443/review/insight-review.html#issuedetails_goto:problemid=140729,project=MCU_PLUS_SDK_AM263X,searchquery=taxonomy:'C and C++' build:Build_Apr_13_2023_11_11_AM grouping:off ","KW Issue Link")</f>
        <v>KW Issue Link</v>
      </c>
      <c r="O3050" s="1" t="s">
        <v>1083</v>
      </c>
    </row>
    <row r="3051" spans="1:15" ht="75" x14ac:dyDescent="0.25">
      <c r="A3051" s="1" t="s">
        <v>1257</v>
      </c>
      <c r="B3051" s="1"/>
      <c r="C3051" s="1" t="s">
        <v>4192</v>
      </c>
      <c r="D3051" s="1">
        <v>140730</v>
      </c>
      <c r="E3051" s="1">
        <v>2898</v>
      </c>
      <c r="F3051" s="1" t="s">
        <v>4216</v>
      </c>
      <c r="G3051" s="1" t="s">
        <v>4209</v>
      </c>
      <c r="H3051" s="1" t="s">
        <v>141</v>
      </c>
      <c r="I3051" s="1" t="s">
        <v>65</v>
      </c>
      <c r="J3051" s="1">
        <v>3</v>
      </c>
      <c r="K3051" s="1" t="s">
        <v>142</v>
      </c>
      <c r="L3051" s="1" t="s">
        <v>153</v>
      </c>
      <c r="M3051" s="1" t="s">
        <v>1256</v>
      </c>
      <c r="N3051" s="1" t="str">
        <f>HYPERLINK("https://klocwork.india.ti.com:443/review/insight-review.html#issuedetails_goto:problemid=140730,project=MCU_PLUS_SDK_AM263X,searchquery=taxonomy:'C and C++' build:Build_Apr_13_2023_11_11_AM grouping:off ","KW Issue Link")</f>
        <v>KW Issue Link</v>
      </c>
      <c r="O3051" s="1" t="s">
        <v>1083</v>
      </c>
    </row>
    <row r="3052" spans="1:15" ht="75" x14ac:dyDescent="0.25">
      <c r="A3052" s="1" t="s">
        <v>1257</v>
      </c>
      <c r="B3052" s="1"/>
      <c r="C3052" s="1" t="s">
        <v>4192</v>
      </c>
      <c r="D3052" s="1">
        <v>140731</v>
      </c>
      <c r="E3052" s="1">
        <v>3707</v>
      </c>
      <c r="F3052" s="1" t="s">
        <v>4217</v>
      </c>
      <c r="G3052" s="1" t="s">
        <v>4211</v>
      </c>
      <c r="H3052" s="1" t="s">
        <v>141</v>
      </c>
      <c r="I3052" s="1" t="s">
        <v>65</v>
      </c>
      <c r="J3052" s="1">
        <v>3</v>
      </c>
      <c r="K3052" s="1" t="s">
        <v>142</v>
      </c>
      <c r="L3052" s="1" t="s">
        <v>153</v>
      </c>
      <c r="M3052" s="1" t="s">
        <v>1256</v>
      </c>
      <c r="N3052" s="1" t="str">
        <f>HYPERLINK("https://klocwork.india.ti.com:443/review/insight-review.html#issuedetails_goto:problemid=140731,project=MCU_PLUS_SDK_AM263X,searchquery=taxonomy:'C and C++' build:Build_Apr_13_2023_11_11_AM grouping:off ","KW Issue Link")</f>
        <v>KW Issue Link</v>
      </c>
      <c r="O3052" s="1" t="s">
        <v>1083</v>
      </c>
    </row>
    <row r="3053" spans="1:15" ht="75" x14ac:dyDescent="0.25">
      <c r="A3053" s="1" t="s">
        <v>1257</v>
      </c>
      <c r="B3053" s="1"/>
      <c r="C3053" s="1" t="s">
        <v>4192</v>
      </c>
      <c r="D3053" s="1">
        <v>140732</v>
      </c>
      <c r="E3053" s="1">
        <v>4012</v>
      </c>
      <c r="F3053" s="1" t="s">
        <v>4218</v>
      </c>
      <c r="G3053" s="1" t="s">
        <v>4213</v>
      </c>
      <c r="H3053" s="1" t="s">
        <v>141</v>
      </c>
      <c r="I3053" s="1" t="s">
        <v>65</v>
      </c>
      <c r="J3053" s="1">
        <v>3</v>
      </c>
      <c r="K3053" s="1" t="s">
        <v>142</v>
      </c>
      <c r="L3053" s="1" t="s">
        <v>153</v>
      </c>
      <c r="M3053" s="1" t="s">
        <v>1256</v>
      </c>
      <c r="N3053" s="1" t="str">
        <f>HYPERLINK("https://klocwork.india.ti.com:443/review/insight-review.html#issuedetails_goto:problemid=140732,project=MCU_PLUS_SDK_AM263X,searchquery=taxonomy:'C and C++' build:Build_Apr_13_2023_11_11_AM grouping:off ","KW Issue Link")</f>
        <v>KW Issue Link</v>
      </c>
      <c r="O3053" s="1" t="s">
        <v>1083</v>
      </c>
    </row>
    <row r="3054" spans="1:15" ht="75" x14ac:dyDescent="0.25">
      <c r="A3054" s="1" t="s">
        <v>1268</v>
      </c>
      <c r="B3054" s="1"/>
      <c r="C3054" s="1" t="s">
        <v>4192</v>
      </c>
      <c r="D3054" s="1">
        <v>140733</v>
      </c>
      <c r="E3054" s="1">
        <v>1184</v>
      </c>
      <c r="F3054" s="1" t="s">
        <v>4219</v>
      </c>
      <c r="G3054" s="1" t="s">
        <v>4205</v>
      </c>
      <c r="H3054" s="1" t="s">
        <v>141</v>
      </c>
      <c r="I3054" s="1" t="s">
        <v>65</v>
      </c>
      <c r="J3054" s="1">
        <v>3</v>
      </c>
      <c r="K3054" s="1" t="s">
        <v>142</v>
      </c>
      <c r="L3054" s="1" t="s">
        <v>153</v>
      </c>
      <c r="M3054" s="1" t="s">
        <v>1256</v>
      </c>
      <c r="N3054" s="1" t="str">
        <f>HYPERLINK("https://klocwork.india.ti.com:443/review/insight-review.html#issuedetails_goto:problemid=140733,project=MCU_PLUS_SDK_AM263X,searchquery=taxonomy:'C and C++' build:Build_Apr_13_2023_11_11_AM grouping:off ","KW Issue Link")</f>
        <v>KW Issue Link</v>
      </c>
      <c r="O3054" s="1" t="s">
        <v>1083</v>
      </c>
    </row>
    <row r="3055" spans="1:15" ht="75" x14ac:dyDescent="0.25">
      <c r="A3055" s="1" t="s">
        <v>1268</v>
      </c>
      <c r="B3055" s="1"/>
      <c r="C3055" s="1" t="s">
        <v>4192</v>
      </c>
      <c r="D3055" s="1">
        <v>140734</v>
      </c>
      <c r="E3055" s="1">
        <v>2898</v>
      </c>
      <c r="F3055" s="1" t="s">
        <v>4220</v>
      </c>
      <c r="G3055" s="1" t="s">
        <v>4209</v>
      </c>
      <c r="H3055" s="1" t="s">
        <v>141</v>
      </c>
      <c r="I3055" s="1" t="s">
        <v>65</v>
      </c>
      <c r="J3055" s="1">
        <v>3</v>
      </c>
      <c r="K3055" s="1" t="s">
        <v>142</v>
      </c>
      <c r="L3055" s="1" t="s">
        <v>153</v>
      </c>
      <c r="M3055" s="1" t="s">
        <v>1256</v>
      </c>
      <c r="N3055" s="1" t="str">
        <f>HYPERLINK("https://klocwork.india.ti.com:443/review/insight-review.html#issuedetails_goto:problemid=140734,project=MCU_PLUS_SDK_AM263X,searchquery=taxonomy:'C and C++' build:Build_Apr_13_2023_11_11_AM grouping:off ","KW Issue Link")</f>
        <v>KW Issue Link</v>
      </c>
      <c r="O3055" s="1" t="s">
        <v>1083</v>
      </c>
    </row>
    <row r="3056" spans="1:15" ht="75" x14ac:dyDescent="0.25">
      <c r="A3056" s="1" t="s">
        <v>149</v>
      </c>
      <c r="B3056" s="1"/>
      <c r="C3056" s="1" t="s">
        <v>4192</v>
      </c>
      <c r="D3056" s="1">
        <v>140744</v>
      </c>
      <c r="E3056" s="1">
        <v>1680</v>
      </c>
      <c r="F3056" s="1" t="s">
        <v>4221</v>
      </c>
      <c r="G3056" s="1" t="s">
        <v>4205</v>
      </c>
      <c r="H3056" s="1" t="s">
        <v>141</v>
      </c>
      <c r="I3056" s="1" t="s">
        <v>65</v>
      </c>
      <c r="J3056" s="1">
        <v>3</v>
      </c>
      <c r="K3056" s="1" t="s">
        <v>142</v>
      </c>
      <c r="L3056" s="1" t="s">
        <v>153</v>
      </c>
      <c r="M3056" s="1" t="s">
        <v>28</v>
      </c>
      <c r="N3056" s="1" t="str">
        <f>HYPERLINK("https://klocwork.india.ti.com:443/review/insight-review.html#issuedetails_goto:problemid=140744,project=MCU_PLUS_SDK_AM263X,searchquery=taxonomy:'C and C++' build:Build_Apr_13_2023_11_11_AM grouping:off ","KW Issue Link")</f>
        <v>KW Issue Link</v>
      </c>
      <c r="O3056" s="1" t="s">
        <v>1083</v>
      </c>
    </row>
    <row r="3057" spans="1:15" ht="75" x14ac:dyDescent="0.25">
      <c r="A3057" s="1" t="s">
        <v>149</v>
      </c>
      <c r="B3057" s="1"/>
      <c r="C3057" s="1" t="s">
        <v>4192</v>
      </c>
      <c r="D3057" s="1">
        <v>140745</v>
      </c>
      <c r="E3057" s="1">
        <v>1811</v>
      </c>
      <c r="F3057" s="1" t="s">
        <v>3620</v>
      </c>
      <c r="G3057" s="1" t="s">
        <v>4205</v>
      </c>
      <c r="H3057" s="1" t="s">
        <v>141</v>
      </c>
      <c r="I3057" s="1" t="s">
        <v>65</v>
      </c>
      <c r="J3057" s="1">
        <v>3</v>
      </c>
      <c r="K3057" s="1" t="s">
        <v>142</v>
      </c>
      <c r="L3057" s="1" t="s">
        <v>153</v>
      </c>
      <c r="M3057" s="1" t="s">
        <v>28</v>
      </c>
      <c r="N3057" s="1" t="str">
        <f>HYPERLINK("https://klocwork.india.ti.com:443/review/insight-review.html#issuedetails_goto:problemid=140745,project=MCU_PLUS_SDK_AM263X,searchquery=taxonomy:'C and C++' build:Build_Apr_13_2023_11_11_AM grouping:off ","KW Issue Link")</f>
        <v>KW Issue Link</v>
      </c>
      <c r="O3057" s="1" t="s">
        <v>1083</v>
      </c>
    </row>
    <row r="3058" spans="1:15" ht="105" x14ac:dyDescent="0.25">
      <c r="A3058" s="1" t="s">
        <v>149</v>
      </c>
      <c r="B3058" s="1"/>
      <c r="C3058" s="1" t="s">
        <v>4192</v>
      </c>
      <c r="D3058" s="1">
        <v>140746</v>
      </c>
      <c r="E3058" s="1">
        <v>3158</v>
      </c>
      <c r="F3058" s="1" t="s">
        <v>4176</v>
      </c>
      <c r="G3058" s="1" t="s">
        <v>4209</v>
      </c>
      <c r="H3058" s="1" t="s">
        <v>141</v>
      </c>
      <c r="I3058" s="1" t="s">
        <v>65</v>
      </c>
      <c r="J3058" s="1">
        <v>3</v>
      </c>
      <c r="K3058" s="1" t="s">
        <v>142</v>
      </c>
      <c r="L3058" s="1" t="s">
        <v>153</v>
      </c>
      <c r="M3058" s="1" t="s">
        <v>28</v>
      </c>
      <c r="N3058" s="1" t="str">
        <f>HYPERLINK("https://klocwork.india.ti.com:443/review/insight-review.html#issuedetails_goto:problemid=140746,project=MCU_PLUS_SDK_AM263X,searchquery=taxonomy:'C and C++' build:Build_Apr_13_2023_11_11_AM grouping:off ","KW Issue Link")</f>
        <v>KW Issue Link</v>
      </c>
      <c r="O3058" s="1" t="s">
        <v>1083</v>
      </c>
    </row>
    <row r="3059" spans="1:15" ht="90" x14ac:dyDescent="0.25">
      <c r="A3059" s="1" t="s">
        <v>149</v>
      </c>
      <c r="B3059" s="1"/>
      <c r="C3059" s="1" t="s">
        <v>4192</v>
      </c>
      <c r="D3059" s="1">
        <v>140747</v>
      </c>
      <c r="E3059" s="1">
        <v>4086</v>
      </c>
      <c r="F3059" s="1" t="s">
        <v>4178</v>
      </c>
      <c r="G3059" s="1" t="s">
        <v>4213</v>
      </c>
      <c r="H3059" s="1" t="s">
        <v>141</v>
      </c>
      <c r="I3059" s="1" t="s">
        <v>65</v>
      </c>
      <c r="J3059" s="1">
        <v>3</v>
      </c>
      <c r="K3059" s="1" t="s">
        <v>142</v>
      </c>
      <c r="L3059" s="1" t="s">
        <v>153</v>
      </c>
      <c r="M3059" s="1" t="s">
        <v>28</v>
      </c>
      <c r="N3059" s="1" t="str">
        <f>HYPERLINK("https://klocwork.india.ti.com:443/review/insight-review.html#issuedetails_goto:problemid=140747,project=MCU_PLUS_SDK_AM263X,searchquery=taxonomy:'C and C++' build:Build_Apr_13_2023_11_11_AM grouping:off ","KW Issue Link")</f>
        <v>KW Issue Link</v>
      </c>
      <c r="O3059" s="1" t="s">
        <v>1083</v>
      </c>
    </row>
    <row r="3060" spans="1:15" ht="75" x14ac:dyDescent="0.25">
      <c r="A3060" s="1" t="s">
        <v>155</v>
      </c>
      <c r="B3060" s="1"/>
      <c r="C3060" s="1" t="s">
        <v>4192</v>
      </c>
      <c r="D3060" s="1">
        <v>140748</v>
      </c>
      <c r="E3060" s="1">
        <v>1681</v>
      </c>
      <c r="F3060" s="1" t="s">
        <v>156</v>
      </c>
      <c r="G3060" s="1" t="s">
        <v>4205</v>
      </c>
      <c r="H3060" s="1" t="s">
        <v>141</v>
      </c>
      <c r="I3060" s="1" t="s">
        <v>65</v>
      </c>
      <c r="J3060" s="1">
        <v>3</v>
      </c>
      <c r="K3060" s="1" t="s">
        <v>142</v>
      </c>
      <c r="L3060" s="1" t="s">
        <v>153</v>
      </c>
      <c r="M3060" s="1" t="s">
        <v>28</v>
      </c>
      <c r="N3060" s="1" t="str">
        <f>HYPERLINK("https://klocwork.india.ti.com:443/review/insight-review.html#issuedetails_goto:problemid=140748,project=MCU_PLUS_SDK_AM263X,searchquery=taxonomy:'C and C++' build:Build_Apr_13_2023_11_11_AM grouping:off ","KW Issue Link")</f>
        <v>KW Issue Link</v>
      </c>
      <c r="O3060" s="1" t="s">
        <v>1083</v>
      </c>
    </row>
    <row r="3061" spans="1:15" ht="75" x14ac:dyDescent="0.25">
      <c r="A3061" s="1" t="s">
        <v>155</v>
      </c>
      <c r="B3061" s="1"/>
      <c r="C3061" s="1" t="s">
        <v>4192</v>
      </c>
      <c r="D3061" s="1">
        <v>140749</v>
      </c>
      <c r="E3061" s="1">
        <v>3171</v>
      </c>
      <c r="F3061" s="1" t="s">
        <v>156</v>
      </c>
      <c r="G3061" s="1" t="s">
        <v>4209</v>
      </c>
      <c r="H3061" s="1" t="s">
        <v>141</v>
      </c>
      <c r="I3061" s="1" t="s">
        <v>65</v>
      </c>
      <c r="J3061" s="1">
        <v>3</v>
      </c>
      <c r="K3061" s="1" t="s">
        <v>142</v>
      </c>
      <c r="L3061" s="1" t="s">
        <v>153</v>
      </c>
      <c r="M3061" s="1" t="s">
        <v>28</v>
      </c>
      <c r="N3061" s="1" t="str">
        <f>HYPERLINK("https://klocwork.india.ti.com:443/review/insight-review.html#issuedetails_goto:problemid=140749,project=MCU_PLUS_SDK_AM263X,searchquery=taxonomy:'C and C++' build:Build_Apr_13_2023_11_11_AM grouping:off ","KW Issue Link")</f>
        <v>KW Issue Link</v>
      </c>
      <c r="O3061" s="1" t="s">
        <v>1083</v>
      </c>
    </row>
    <row r="3062" spans="1:15" ht="75" x14ac:dyDescent="0.25">
      <c r="A3062" s="1" t="s">
        <v>155</v>
      </c>
      <c r="B3062" s="1"/>
      <c r="C3062" s="1" t="s">
        <v>4192</v>
      </c>
      <c r="D3062" s="1">
        <v>140750</v>
      </c>
      <c r="E3062" s="1">
        <v>4141</v>
      </c>
      <c r="F3062" s="1" t="s">
        <v>156</v>
      </c>
      <c r="G3062" s="1" t="s">
        <v>4213</v>
      </c>
      <c r="H3062" s="1" t="s">
        <v>141</v>
      </c>
      <c r="I3062" s="1" t="s">
        <v>65</v>
      </c>
      <c r="J3062" s="1">
        <v>3</v>
      </c>
      <c r="K3062" s="1" t="s">
        <v>142</v>
      </c>
      <c r="L3062" s="1" t="s">
        <v>153</v>
      </c>
      <c r="M3062" s="1" t="s">
        <v>28</v>
      </c>
      <c r="N3062" s="1" t="str">
        <f>HYPERLINK("https://klocwork.india.ti.com:443/review/insight-review.html#issuedetails_goto:problemid=140750,project=MCU_PLUS_SDK_AM263X,searchquery=taxonomy:'C and C++' build:Build_Apr_13_2023_11_11_AM grouping:off ","KW Issue Link")</f>
        <v>KW Issue Link</v>
      </c>
      <c r="O3062" s="1" t="s">
        <v>1083</v>
      </c>
    </row>
    <row r="3063" spans="1:15" ht="75" x14ac:dyDescent="0.25">
      <c r="A3063" s="1" t="s">
        <v>136</v>
      </c>
      <c r="B3063" s="1"/>
      <c r="C3063" s="1" t="s">
        <v>4192</v>
      </c>
      <c r="D3063" s="1">
        <v>140773</v>
      </c>
      <c r="E3063" s="1">
        <v>2057</v>
      </c>
      <c r="F3063" s="1" t="s">
        <v>465</v>
      </c>
      <c r="G3063" s="1" t="s">
        <v>4154</v>
      </c>
      <c r="H3063" s="1" t="s">
        <v>141</v>
      </c>
      <c r="I3063" s="1" t="s">
        <v>66</v>
      </c>
      <c r="J3063" s="1">
        <v>4</v>
      </c>
      <c r="K3063" s="1" t="s">
        <v>142</v>
      </c>
      <c r="L3063" s="1" t="s">
        <v>153</v>
      </c>
      <c r="M3063" s="1" t="s">
        <v>28</v>
      </c>
      <c r="N3063" s="1" t="str">
        <f>HYPERLINK("https://klocwork.india.ti.com:443/review/insight-review.html#issuedetails_goto:problemid=140773,project=MCU_PLUS_SDK_AM263X,searchquery=taxonomy:'C and C++' build:Build_Apr_13_2023_11_11_AM grouping:off ","KW Issue Link")</f>
        <v>KW Issue Link</v>
      </c>
      <c r="O3063" s="1" t="s">
        <v>1083</v>
      </c>
    </row>
    <row r="3064" spans="1:15" ht="75" x14ac:dyDescent="0.25">
      <c r="A3064" s="1" t="s">
        <v>136</v>
      </c>
      <c r="B3064" s="1"/>
      <c r="C3064" s="1" t="s">
        <v>4192</v>
      </c>
      <c r="D3064" s="1">
        <v>140774</v>
      </c>
      <c r="E3064" s="1">
        <v>2100</v>
      </c>
      <c r="F3064" s="1" t="s">
        <v>465</v>
      </c>
      <c r="G3064" s="1" t="s">
        <v>4155</v>
      </c>
      <c r="H3064" s="1" t="s">
        <v>141</v>
      </c>
      <c r="I3064" s="1" t="s">
        <v>66</v>
      </c>
      <c r="J3064" s="1">
        <v>4</v>
      </c>
      <c r="K3064" s="1" t="s">
        <v>142</v>
      </c>
      <c r="L3064" s="1" t="s">
        <v>153</v>
      </c>
      <c r="M3064" s="1" t="s">
        <v>28</v>
      </c>
      <c r="N3064" s="1" t="str">
        <f>HYPERLINK("https://klocwork.india.ti.com:443/review/insight-review.html#issuedetails_goto:problemid=140774,project=MCU_PLUS_SDK_AM263X,searchquery=taxonomy:'C and C++' build:Build_Apr_13_2023_11_11_AM grouping:off ","KW Issue Link")</f>
        <v>KW Issue Link</v>
      </c>
      <c r="O3064" s="1" t="s">
        <v>1083</v>
      </c>
    </row>
    <row r="3065" spans="1:15" ht="75" x14ac:dyDescent="0.25">
      <c r="A3065" s="1" t="s">
        <v>136</v>
      </c>
      <c r="B3065" s="1"/>
      <c r="C3065" s="1" t="s">
        <v>4192</v>
      </c>
      <c r="D3065" s="1">
        <v>140775</v>
      </c>
      <c r="E3065" s="1">
        <v>2127</v>
      </c>
      <c r="F3065" s="1" t="s">
        <v>465</v>
      </c>
      <c r="G3065" s="1" t="s">
        <v>4156</v>
      </c>
      <c r="H3065" s="1" t="s">
        <v>141</v>
      </c>
      <c r="I3065" s="1" t="s">
        <v>66</v>
      </c>
      <c r="J3065" s="1">
        <v>4</v>
      </c>
      <c r="K3065" s="1" t="s">
        <v>142</v>
      </c>
      <c r="L3065" s="1" t="s">
        <v>153</v>
      </c>
      <c r="M3065" s="1" t="s">
        <v>28</v>
      </c>
      <c r="N3065" s="1" t="str">
        <f>HYPERLINK("https://klocwork.india.ti.com:443/review/insight-review.html#issuedetails_goto:problemid=140775,project=MCU_PLUS_SDK_AM263X,searchquery=taxonomy:'C and C++' build:Build_Apr_13_2023_11_11_AM grouping:off ","KW Issue Link")</f>
        <v>KW Issue Link</v>
      </c>
      <c r="O3065" s="1" t="s">
        <v>1083</v>
      </c>
    </row>
    <row r="3066" spans="1:15" ht="75" x14ac:dyDescent="0.25">
      <c r="A3066" s="1" t="s">
        <v>136</v>
      </c>
      <c r="B3066" s="1"/>
      <c r="C3066" s="1" t="s">
        <v>4192</v>
      </c>
      <c r="D3066" s="1">
        <v>140776</v>
      </c>
      <c r="E3066" s="1">
        <v>2152</v>
      </c>
      <c r="F3066" s="1" t="s">
        <v>465</v>
      </c>
      <c r="G3066" s="1" t="s">
        <v>4222</v>
      </c>
      <c r="H3066" s="1" t="s">
        <v>141</v>
      </c>
      <c r="I3066" s="1" t="s">
        <v>66</v>
      </c>
      <c r="J3066" s="1">
        <v>4</v>
      </c>
      <c r="K3066" s="1" t="s">
        <v>142</v>
      </c>
      <c r="L3066" s="1" t="s">
        <v>153</v>
      </c>
      <c r="M3066" s="1" t="s">
        <v>28</v>
      </c>
      <c r="N3066" s="1" t="str">
        <f>HYPERLINK("https://klocwork.india.ti.com:443/review/insight-review.html#issuedetails_goto:problemid=140776,project=MCU_PLUS_SDK_AM263X,searchquery=taxonomy:'C and C++' build:Build_Apr_13_2023_11_11_AM grouping:off ","KW Issue Link")</f>
        <v>KW Issue Link</v>
      </c>
      <c r="O3066" s="1" t="s">
        <v>1083</v>
      </c>
    </row>
    <row r="3067" spans="1:15" ht="75" x14ac:dyDescent="0.25">
      <c r="A3067" s="1" t="s">
        <v>136</v>
      </c>
      <c r="B3067" s="1"/>
      <c r="C3067" s="1" t="s">
        <v>4192</v>
      </c>
      <c r="D3067" s="1">
        <v>140777</v>
      </c>
      <c r="E3067" s="1">
        <v>2219</v>
      </c>
      <c r="F3067" s="1" t="s">
        <v>465</v>
      </c>
      <c r="G3067" s="1" t="s">
        <v>4153</v>
      </c>
      <c r="H3067" s="1" t="s">
        <v>141</v>
      </c>
      <c r="I3067" s="1" t="s">
        <v>66</v>
      </c>
      <c r="J3067" s="1">
        <v>4</v>
      </c>
      <c r="K3067" s="1" t="s">
        <v>142</v>
      </c>
      <c r="L3067" s="1" t="s">
        <v>153</v>
      </c>
      <c r="M3067" s="1" t="s">
        <v>28</v>
      </c>
      <c r="N3067" s="1" t="str">
        <f>HYPERLINK("https://klocwork.india.ti.com:443/review/insight-review.html#issuedetails_goto:problemid=140777,project=MCU_PLUS_SDK_AM263X,searchquery=taxonomy:'C and C++' build:Build_Apr_13_2023_11_11_AM grouping:off ","KW Issue Link")</f>
        <v>KW Issue Link</v>
      </c>
      <c r="O3067" s="1" t="s">
        <v>1083</v>
      </c>
    </row>
    <row r="3068" spans="1:15" ht="75" x14ac:dyDescent="0.25">
      <c r="A3068" s="1" t="s">
        <v>136</v>
      </c>
      <c r="B3068" s="1"/>
      <c r="C3068" s="1" t="s">
        <v>4192</v>
      </c>
      <c r="D3068" s="1">
        <v>140778</v>
      </c>
      <c r="E3068" s="1">
        <v>2250</v>
      </c>
      <c r="F3068" s="1" t="s">
        <v>465</v>
      </c>
      <c r="G3068" s="1" t="s">
        <v>4152</v>
      </c>
      <c r="H3068" s="1" t="s">
        <v>141</v>
      </c>
      <c r="I3068" s="1" t="s">
        <v>66</v>
      </c>
      <c r="J3068" s="1">
        <v>4</v>
      </c>
      <c r="K3068" s="1" t="s">
        <v>142</v>
      </c>
      <c r="L3068" s="1" t="s">
        <v>153</v>
      </c>
      <c r="M3068" s="1" t="s">
        <v>28</v>
      </c>
      <c r="N3068" s="1" t="str">
        <f>HYPERLINK("https://klocwork.india.ti.com:443/review/insight-review.html#issuedetails_goto:problemid=140778,project=MCU_PLUS_SDK_AM263X,searchquery=taxonomy:'C and C++' build:Build_Apr_13_2023_11_11_AM grouping:off ","KW Issue Link")</f>
        <v>KW Issue Link</v>
      </c>
      <c r="O3068" s="1" t="s">
        <v>1083</v>
      </c>
    </row>
    <row r="3069" spans="1:15" ht="165" x14ac:dyDescent="0.25">
      <c r="A3069" s="1" t="s">
        <v>190</v>
      </c>
      <c r="B3069" s="1"/>
      <c r="C3069" s="1" t="s">
        <v>4192</v>
      </c>
      <c r="D3069" s="1">
        <v>140787</v>
      </c>
      <c r="E3069" s="1">
        <v>2602</v>
      </c>
      <c r="F3069" s="1" t="s">
        <v>4223</v>
      </c>
      <c r="G3069" s="1" t="s">
        <v>4207</v>
      </c>
      <c r="H3069" s="1" t="s">
        <v>141</v>
      </c>
      <c r="I3069" s="1" t="s">
        <v>63</v>
      </c>
      <c r="J3069" s="1">
        <v>1</v>
      </c>
      <c r="K3069" s="1" t="s">
        <v>142</v>
      </c>
      <c r="L3069" s="11" t="s">
        <v>177</v>
      </c>
      <c r="M3069" s="1" t="s">
        <v>28</v>
      </c>
      <c r="N3069" s="1" t="str">
        <f>HYPERLINK("https://klocwork.india.ti.com:443/review/insight-review.html#issuedetails_goto:problemid=140787,project=MCU_PLUS_SDK_AM263X,searchquery=taxonomy:'C and C++' build:Build_Apr_13_2023_11_11_AM grouping:off ","KW Issue Link")</f>
        <v>KW Issue Link</v>
      </c>
      <c r="O3069" s="1" t="s">
        <v>1083</v>
      </c>
    </row>
    <row r="3070" spans="1:15" ht="135" x14ac:dyDescent="0.25">
      <c r="A3070" s="1" t="s">
        <v>190</v>
      </c>
      <c r="B3070" s="1"/>
      <c r="C3070" s="1" t="s">
        <v>4192</v>
      </c>
      <c r="D3070" s="1">
        <v>140788</v>
      </c>
      <c r="E3070" s="1">
        <v>2857</v>
      </c>
      <c r="F3070" s="1" t="s">
        <v>4224</v>
      </c>
      <c r="G3070" s="1" t="s">
        <v>4225</v>
      </c>
      <c r="H3070" s="1" t="s">
        <v>141</v>
      </c>
      <c r="I3070" s="1" t="s">
        <v>63</v>
      </c>
      <c r="J3070" s="1">
        <v>1</v>
      </c>
      <c r="K3070" s="1" t="s">
        <v>142</v>
      </c>
      <c r="L3070" s="11" t="s">
        <v>177</v>
      </c>
      <c r="M3070" s="1" t="s">
        <v>28</v>
      </c>
      <c r="N3070" s="1" t="str">
        <f>HYPERLINK("https://klocwork.india.ti.com:443/review/insight-review.html#issuedetails_goto:problemid=140788,project=MCU_PLUS_SDK_AM263X,searchquery=taxonomy:'C and C++' build:Build_Apr_13_2023_11_11_AM grouping:off ","KW Issue Link")</f>
        <v>KW Issue Link</v>
      </c>
      <c r="O3070" s="1" t="s">
        <v>1083</v>
      </c>
    </row>
    <row r="3071" spans="1:15" ht="75" x14ac:dyDescent="0.25">
      <c r="A3071" s="1" t="s">
        <v>1252</v>
      </c>
      <c r="B3071" s="1"/>
      <c r="C3071" s="1" t="s">
        <v>4192</v>
      </c>
      <c r="D3071" s="1">
        <v>140789</v>
      </c>
      <c r="E3071" s="1">
        <v>3457</v>
      </c>
      <c r="F3071" s="1" t="s">
        <v>4226</v>
      </c>
      <c r="G3071" s="1" t="s">
        <v>4227</v>
      </c>
      <c r="H3071" s="1" t="s">
        <v>141</v>
      </c>
      <c r="I3071" s="1" t="s">
        <v>65</v>
      </c>
      <c r="J3071" s="1">
        <v>3</v>
      </c>
      <c r="K3071" s="1" t="s">
        <v>142</v>
      </c>
      <c r="L3071" s="1" t="s">
        <v>153</v>
      </c>
      <c r="M3071" s="1" t="s">
        <v>1256</v>
      </c>
      <c r="N3071" s="1" t="str">
        <f>HYPERLINK("https://klocwork.india.ti.com:443/review/insight-review.html#issuedetails_goto:problemid=140789,project=MCU_PLUS_SDK_AM263X,searchquery=taxonomy:'C and C++' build:Build_Apr_13_2023_11_11_AM grouping:off ","KW Issue Link")</f>
        <v>KW Issue Link</v>
      </c>
      <c r="O3071" s="1" t="s">
        <v>1083</v>
      </c>
    </row>
    <row r="3072" spans="1:15" ht="75" x14ac:dyDescent="0.25">
      <c r="A3072" s="1" t="s">
        <v>157</v>
      </c>
      <c r="B3072" s="1"/>
      <c r="C3072" s="1" t="s">
        <v>4192</v>
      </c>
      <c r="D3072" s="1">
        <v>140792</v>
      </c>
      <c r="E3072" s="1">
        <v>3671</v>
      </c>
      <c r="F3072" s="1" t="s">
        <v>4228</v>
      </c>
      <c r="G3072" s="1" t="s">
        <v>4229</v>
      </c>
      <c r="H3072" s="1" t="s">
        <v>141</v>
      </c>
      <c r="I3072" s="1" t="s">
        <v>65</v>
      </c>
      <c r="J3072" s="1">
        <v>3</v>
      </c>
      <c r="K3072" s="1" t="s">
        <v>142</v>
      </c>
      <c r="L3072" s="1" t="s">
        <v>153</v>
      </c>
      <c r="M3072" s="1" t="s">
        <v>28</v>
      </c>
      <c r="N3072" s="1" t="str">
        <f>HYPERLINK("https://klocwork.india.ti.com:443/review/insight-review.html#issuedetails_goto:problemid=140792,project=MCU_PLUS_SDK_AM263X,searchquery=taxonomy:'C and C++' build:Build_Apr_13_2023_11_11_AM grouping:off ","KW Issue Link")</f>
        <v>KW Issue Link</v>
      </c>
      <c r="O3072" s="1" t="s">
        <v>1083</v>
      </c>
    </row>
    <row r="3073" spans="1:15" ht="75" x14ac:dyDescent="0.25">
      <c r="A3073" s="1" t="s">
        <v>997</v>
      </c>
      <c r="B3073" s="1"/>
      <c r="C3073" s="1" t="s">
        <v>4230</v>
      </c>
      <c r="D3073" s="1">
        <v>140921</v>
      </c>
      <c r="E3073" s="1">
        <v>78</v>
      </c>
      <c r="F3073" s="1" t="s">
        <v>4231</v>
      </c>
      <c r="G3073" s="1" t="s">
        <v>4232</v>
      </c>
      <c r="H3073" s="1" t="s">
        <v>141</v>
      </c>
      <c r="I3073" s="1" t="s">
        <v>66</v>
      </c>
      <c r="J3073" s="1">
        <v>4</v>
      </c>
      <c r="K3073" s="1" t="s">
        <v>142</v>
      </c>
      <c r="L3073" s="1" t="s">
        <v>153</v>
      </c>
      <c r="M3073" s="1" t="s">
        <v>28</v>
      </c>
      <c r="N3073" s="1" t="str">
        <f>HYPERLINK("https://klocwork.india.ti.com:443/review/insight-review.html#issuedetails_goto:problemid=140921,project=MCU_PLUS_SDK_AM263X,searchquery=taxonomy:'C and C++' build:Build_Apr_13_2023_11_11_AM grouping:off ","KW Issue Link")</f>
        <v>KW Issue Link</v>
      </c>
      <c r="O3073" s="1" t="s">
        <v>1083</v>
      </c>
    </row>
    <row r="3074" spans="1:15" ht="75" x14ac:dyDescent="0.25">
      <c r="A3074" s="1" t="s">
        <v>1252</v>
      </c>
      <c r="B3074" s="1"/>
      <c r="C3074" s="1" t="s">
        <v>4230</v>
      </c>
      <c r="D3074" s="1">
        <v>140992</v>
      </c>
      <c r="E3074" s="1">
        <v>281</v>
      </c>
      <c r="F3074" s="1" t="s">
        <v>4233</v>
      </c>
      <c r="G3074" s="1" t="s">
        <v>4234</v>
      </c>
      <c r="H3074" s="1" t="s">
        <v>141</v>
      </c>
      <c r="I3074" s="1" t="s">
        <v>65</v>
      </c>
      <c r="J3074" s="1">
        <v>3</v>
      </c>
      <c r="K3074" s="1" t="s">
        <v>142</v>
      </c>
      <c r="L3074" s="1" t="s">
        <v>153</v>
      </c>
      <c r="M3074" s="1" t="s">
        <v>1256</v>
      </c>
      <c r="N3074" s="1" t="str">
        <f>HYPERLINK("https://klocwork.india.ti.com:443/review/insight-review.html#issuedetails_goto:problemid=140992,project=MCU_PLUS_SDK_AM263X,searchquery=taxonomy:'C and C++' build:Build_Apr_13_2023_11_11_AM grouping:off ","KW Issue Link")</f>
        <v>KW Issue Link</v>
      </c>
      <c r="O3074" s="1" t="s">
        <v>1083</v>
      </c>
    </row>
    <row r="3075" spans="1:15" ht="75" x14ac:dyDescent="0.25">
      <c r="A3075" s="1" t="s">
        <v>1266</v>
      </c>
      <c r="B3075" s="1"/>
      <c r="C3075" s="1" t="s">
        <v>4230</v>
      </c>
      <c r="D3075" s="1">
        <v>141008</v>
      </c>
      <c r="E3075" s="1">
        <v>379</v>
      </c>
      <c r="F3075" s="1" t="s">
        <v>4235</v>
      </c>
      <c r="G3075" s="1" t="s">
        <v>4236</v>
      </c>
      <c r="H3075" s="1" t="s">
        <v>141</v>
      </c>
      <c r="I3075" s="1" t="s">
        <v>65</v>
      </c>
      <c r="J3075" s="1">
        <v>3</v>
      </c>
      <c r="K3075" s="1" t="s">
        <v>142</v>
      </c>
      <c r="L3075" s="1" t="s">
        <v>153</v>
      </c>
      <c r="M3075" s="1" t="s">
        <v>1256</v>
      </c>
      <c r="N3075" s="1" t="str">
        <f>HYPERLINK("https://klocwork.india.ti.com:443/review/insight-review.html#issuedetails_goto:problemid=141008,project=MCU_PLUS_SDK_AM263X,searchquery=taxonomy:'C and C++' build:Build_Apr_13_2023_11_11_AM grouping:off ","KW Issue Link")</f>
        <v>KW Issue Link</v>
      </c>
      <c r="O3075" s="1" t="s">
        <v>1083</v>
      </c>
    </row>
    <row r="3076" spans="1:15" ht="75" x14ac:dyDescent="0.25">
      <c r="A3076" s="1" t="s">
        <v>1268</v>
      </c>
      <c r="B3076" s="1"/>
      <c r="C3076" s="1" t="s">
        <v>4230</v>
      </c>
      <c r="D3076" s="1">
        <v>141009</v>
      </c>
      <c r="E3076" s="1">
        <v>379</v>
      </c>
      <c r="F3076" s="1" t="s">
        <v>4237</v>
      </c>
      <c r="G3076" s="1" t="s">
        <v>4236</v>
      </c>
      <c r="H3076" s="1" t="s">
        <v>141</v>
      </c>
      <c r="I3076" s="1" t="s">
        <v>65</v>
      </c>
      <c r="J3076" s="1">
        <v>3</v>
      </c>
      <c r="K3076" s="1" t="s">
        <v>142</v>
      </c>
      <c r="L3076" s="1" t="s">
        <v>153</v>
      </c>
      <c r="M3076" s="1" t="s">
        <v>1256</v>
      </c>
      <c r="N3076" s="1" t="str">
        <f>HYPERLINK("https://klocwork.india.ti.com:443/review/insight-review.html#issuedetails_goto:problemid=141009,project=MCU_PLUS_SDK_AM263X,searchquery=taxonomy:'C and C++' build:Build_Apr_13_2023_11_11_AM grouping:off ","KW Issue Link")</f>
        <v>KW Issue Link</v>
      </c>
      <c r="O3076" s="1" t="s">
        <v>1083</v>
      </c>
    </row>
    <row r="3077" spans="1:15" ht="75" x14ac:dyDescent="0.25">
      <c r="A3077" s="1" t="s">
        <v>1252</v>
      </c>
      <c r="B3077" s="1"/>
      <c r="C3077" s="1" t="s">
        <v>4238</v>
      </c>
      <c r="D3077" s="1">
        <v>143247</v>
      </c>
      <c r="E3077" s="1">
        <v>392</v>
      </c>
      <c r="F3077" s="1" t="s">
        <v>4239</v>
      </c>
      <c r="G3077" s="1" t="s">
        <v>4240</v>
      </c>
      <c r="H3077" s="1" t="s">
        <v>141</v>
      </c>
      <c r="I3077" s="1" t="s">
        <v>65</v>
      </c>
      <c r="J3077" s="1">
        <v>3</v>
      </c>
      <c r="K3077" s="1" t="s">
        <v>142</v>
      </c>
      <c r="L3077" s="1" t="s">
        <v>153</v>
      </c>
      <c r="M3077" s="1" t="s">
        <v>1256</v>
      </c>
      <c r="N3077" s="1" t="str">
        <f>HYPERLINK("https://klocwork.india.ti.com:443/review/insight-review.html#issuedetails_goto:problemid=143247,project=MCU_PLUS_SDK_AM263X,searchquery=taxonomy:'C and C++' build:Build_Apr_13_2023_11_11_AM grouping:off ","KW Issue Link")</f>
        <v>KW Issue Link</v>
      </c>
      <c r="O3077" s="1" t="s">
        <v>1083</v>
      </c>
    </row>
    <row r="3078" spans="1:15" ht="75" x14ac:dyDescent="0.25">
      <c r="A3078" s="1" t="s">
        <v>1252</v>
      </c>
      <c r="B3078" s="1"/>
      <c r="C3078" s="1" t="s">
        <v>4238</v>
      </c>
      <c r="D3078" s="1">
        <v>143248</v>
      </c>
      <c r="E3078" s="1">
        <v>490</v>
      </c>
      <c r="F3078" s="1" t="s">
        <v>4241</v>
      </c>
      <c r="G3078" s="1" t="s">
        <v>4242</v>
      </c>
      <c r="H3078" s="1" t="s">
        <v>141</v>
      </c>
      <c r="I3078" s="1" t="s">
        <v>65</v>
      </c>
      <c r="J3078" s="1">
        <v>3</v>
      </c>
      <c r="K3078" s="1" t="s">
        <v>142</v>
      </c>
      <c r="L3078" s="1" t="s">
        <v>153</v>
      </c>
      <c r="M3078" s="1" t="s">
        <v>1256</v>
      </c>
      <c r="N3078" s="1" t="str">
        <f>HYPERLINK("https://klocwork.india.ti.com:443/review/insight-review.html#issuedetails_goto:problemid=143248,project=MCU_PLUS_SDK_AM263X,searchquery=taxonomy:'C and C++' build:Build_Apr_13_2023_11_11_AM grouping:off ","KW Issue Link")</f>
        <v>KW Issue Link</v>
      </c>
      <c r="O3078" s="1" t="s">
        <v>1083</v>
      </c>
    </row>
    <row r="3079" spans="1:15" ht="75" x14ac:dyDescent="0.25">
      <c r="A3079" s="1" t="s">
        <v>1252</v>
      </c>
      <c r="B3079" s="1"/>
      <c r="C3079" s="1" t="s">
        <v>4238</v>
      </c>
      <c r="D3079" s="1">
        <v>143249</v>
      </c>
      <c r="E3079" s="1">
        <v>554</v>
      </c>
      <c r="F3079" s="1" t="s">
        <v>4243</v>
      </c>
      <c r="G3079" s="1" t="s">
        <v>4244</v>
      </c>
      <c r="H3079" s="1" t="s">
        <v>141</v>
      </c>
      <c r="I3079" s="1" t="s">
        <v>65</v>
      </c>
      <c r="J3079" s="1">
        <v>3</v>
      </c>
      <c r="K3079" s="1" t="s">
        <v>142</v>
      </c>
      <c r="L3079" s="1" t="s">
        <v>153</v>
      </c>
      <c r="M3079" s="1" t="s">
        <v>1256</v>
      </c>
      <c r="N3079" s="1" t="str">
        <f>HYPERLINK("https://klocwork.india.ti.com:443/review/insight-review.html#issuedetails_goto:problemid=143249,project=MCU_PLUS_SDK_AM263X,searchquery=taxonomy:'C and C++' build:Build_Apr_13_2023_11_11_AM grouping:off ","KW Issue Link")</f>
        <v>KW Issue Link</v>
      </c>
      <c r="O3079" s="1" t="s">
        <v>1083</v>
      </c>
    </row>
    <row r="3080" spans="1:15" ht="75" x14ac:dyDescent="0.25">
      <c r="A3080" s="1" t="s">
        <v>1252</v>
      </c>
      <c r="B3080" s="1"/>
      <c r="C3080" s="1" t="s">
        <v>4238</v>
      </c>
      <c r="D3080" s="1">
        <v>143250</v>
      </c>
      <c r="E3080" s="1">
        <v>565</v>
      </c>
      <c r="F3080" s="1" t="s">
        <v>4245</v>
      </c>
      <c r="G3080" s="1" t="s">
        <v>4246</v>
      </c>
      <c r="H3080" s="1" t="s">
        <v>141</v>
      </c>
      <c r="I3080" s="1" t="s">
        <v>65</v>
      </c>
      <c r="J3080" s="1">
        <v>3</v>
      </c>
      <c r="K3080" s="1" t="s">
        <v>142</v>
      </c>
      <c r="L3080" s="1" t="s">
        <v>153</v>
      </c>
      <c r="M3080" s="1" t="s">
        <v>1256</v>
      </c>
      <c r="N3080" s="1" t="str">
        <f>HYPERLINK("https://klocwork.india.ti.com:443/review/insight-review.html#issuedetails_goto:problemid=143250,project=MCU_PLUS_SDK_AM263X,searchquery=taxonomy:'C and C++' build:Build_Apr_13_2023_11_11_AM grouping:off ","KW Issue Link")</f>
        <v>KW Issue Link</v>
      </c>
      <c r="O3080" s="1" t="s">
        <v>1083</v>
      </c>
    </row>
    <row r="3081" spans="1:15" ht="75" x14ac:dyDescent="0.25">
      <c r="A3081" s="1" t="s">
        <v>1252</v>
      </c>
      <c r="B3081" s="1"/>
      <c r="C3081" s="1" t="s">
        <v>4238</v>
      </c>
      <c r="D3081" s="1">
        <v>143251</v>
      </c>
      <c r="E3081" s="1">
        <v>3843</v>
      </c>
      <c r="F3081" s="1" t="s">
        <v>4247</v>
      </c>
      <c r="G3081" s="1" t="s">
        <v>4248</v>
      </c>
      <c r="H3081" s="1" t="s">
        <v>141</v>
      </c>
      <c r="I3081" s="1" t="s">
        <v>65</v>
      </c>
      <c r="J3081" s="1">
        <v>3</v>
      </c>
      <c r="K3081" s="1" t="s">
        <v>142</v>
      </c>
      <c r="L3081" s="1" t="s">
        <v>153</v>
      </c>
      <c r="M3081" s="1" t="s">
        <v>1256</v>
      </c>
      <c r="N3081" s="1" t="str">
        <f>HYPERLINK("https://klocwork.india.ti.com:443/review/insight-review.html#issuedetails_goto:problemid=143251,project=MCU_PLUS_SDK_AM263X,searchquery=taxonomy:'C and C++' build:Build_Apr_13_2023_11_11_AM grouping:off ","KW Issue Link")</f>
        <v>KW Issue Link</v>
      </c>
      <c r="O3081" s="1" t="s">
        <v>1083</v>
      </c>
    </row>
    <row r="3082" spans="1:15" ht="75" x14ac:dyDescent="0.25">
      <c r="A3082" s="1" t="s">
        <v>1252</v>
      </c>
      <c r="B3082" s="1"/>
      <c r="C3082" s="1" t="s">
        <v>4238</v>
      </c>
      <c r="D3082" s="1">
        <v>143252</v>
      </c>
      <c r="E3082" s="1">
        <v>9662</v>
      </c>
      <c r="F3082" s="1" t="s">
        <v>4249</v>
      </c>
      <c r="G3082" s="1" t="s">
        <v>4250</v>
      </c>
      <c r="H3082" s="1" t="s">
        <v>141</v>
      </c>
      <c r="I3082" s="1" t="s">
        <v>65</v>
      </c>
      <c r="J3082" s="1">
        <v>3</v>
      </c>
      <c r="K3082" s="1" t="s">
        <v>142</v>
      </c>
      <c r="L3082" s="1" t="s">
        <v>153</v>
      </c>
      <c r="M3082" s="1" t="s">
        <v>1256</v>
      </c>
      <c r="N3082" s="1" t="str">
        <f>HYPERLINK("https://klocwork.india.ti.com:443/review/insight-review.html#issuedetails_goto:problemid=143252,project=MCU_PLUS_SDK_AM263X,searchquery=taxonomy:'C and C++' build:Build_Apr_13_2023_11_11_AM grouping:off ","KW Issue Link")</f>
        <v>KW Issue Link</v>
      </c>
      <c r="O3082" s="1" t="s">
        <v>1083</v>
      </c>
    </row>
    <row r="3083" spans="1:15" ht="75" x14ac:dyDescent="0.25">
      <c r="A3083" s="1" t="s">
        <v>1266</v>
      </c>
      <c r="B3083" s="1"/>
      <c r="C3083" s="1" t="s">
        <v>4238</v>
      </c>
      <c r="D3083" s="1">
        <v>143253</v>
      </c>
      <c r="E3083" s="1">
        <v>392</v>
      </c>
      <c r="F3083" s="1" t="s">
        <v>4251</v>
      </c>
      <c r="G3083" s="1" t="s">
        <v>4240</v>
      </c>
      <c r="H3083" s="1" t="s">
        <v>141</v>
      </c>
      <c r="I3083" s="1" t="s">
        <v>65</v>
      </c>
      <c r="J3083" s="1">
        <v>3</v>
      </c>
      <c r="K3083" s="1" t="s">
        <v>142</v>
      </c>
      <c r="L3083" s="1" t="s">
        <v>153</v>
      </c>
      <c r="M3083" s="1" t="s">
        <v>1256</v>
      </c>
      <c r="N3083" s="1" t="str">
        <f>HYPERLINK("https://klocwork.india.ti.com:443/review/insight-review.html#issuedetails_goto:problemid=143253,project=MCU_PLUS_SDK_AM263X,searchquery=taxonomy:'C and C++' build:Build_Apr_13_2023_11_11_AM grouping:off ","KW Issue Link")</f>
        <v>KW Issue Link</v>
      </c>
      <c r="O3083" s="1" t="s">
        <v>1083</v>
      </c>
    </row>
    <row r="3084" spans="1:15" ht="75" x14ac:dyDescent="0.25">
      <c r="A3084" s="1" t="s">
        <v>1266</v>
      </c>
      <c r="B3084" s="1"/>
      <c r="C3084" s="1" t="s">
        <v>4238</v>
      </c>
      <c r="D3084" s="1">
        <v>143254</v>
      </c>
      <c r="E3084" s="1">
        <v>607</v>
      </c>
      <c r="F3084" s="1" t="s">
        <v>4252</v>
      </c>
      <c r="G3084" s="1" t="s">
        <v>4253</v>
      </c>
      <c r="H3084" s="1" t="s">
        <v>141</v>
      </c>
      <c r="I3084" s="1" t="s">
        <v>65</v>
      </c>
      <c r="J3084" s="1">
        <v>3</v>
      </c>
      <c r="K3084" s="1" t="s">
        <v>142</v>
      </c>
      <c r="L3084" s="1" t="s">
        <v>153</v>
      </c>
      <c r="M3084" s="1" t="s">
        <v>1256</v>
      </c>
      <c r="N3084" s="1" t="str">
        <f>HYPERLINK("https://klocwork.india.ti.com:443/review/insight-review.html#issuedetails_goto:problemid=143254,project=MCU_PLUS_SDK_AM263X,searchquery=taxonomy:'C and C++' build:Build_Apr_13_2023_11_11_AM grouping:off ","KW Issue Link")</f>
        <v>KW Issue Link</v>
      </c>
      <c r="O3084" s="1" t="s">
        <v>1083</v>
      </c>
    </row>
    <row r="3085" spans="1:15" ht="75" x14ac:dyDescent="0.25">
      <c r="A3085" s="1" t="s">
        <v>1266</v>
      </c>
      <c r="B3085" s="1"/>
      <c r="C3085" s="1" t="s">
        <v>4238</v>
      </c>
      <c r="D3085" s="1">
        <v>143255</v>
      </c>
      <c r="E3085" s="1">
        <v>1239</v>
      </c>
      <c r="F3085" s="1" t="s">
        <v>4254</v>
      </c>
      <c r="G3085" s="1" t="s">
        <v>4255</v>
      </c>
      <c r="H3085" s="1" t="s">
        <v>141</v>
      </c>
      <c r="I3085" s="1" t="s">
        <v>65</v>
      </c>
      <c r="J3085" s="1">
        <v>3</v>
      </c>
      <c r="K3085" s="1" t="s">
        <v>142</v>
      </c>
      <c r="L3085" s="1" t="s">
        <v>153</v>
      </c>
      <c r="M3085" s="1" t="s">
        <v>1256</v>
      </c>
      <c r="N3085" s="1" t="str">
        <f>HYPERLINK("https://klocwork.india.ti.com:443/review/insight-review.html#issuedetails_goto:problemid=143255,project=MCU_PLUS_SDK_AM263X,searchquery=taxonomy:'C and C++' build:Build_Apr_13_2023_11_11_AM grouping:off ","KW Issue Link")</f>
        <v>KW Issue Link</v>
      </c>
      <c r="O3085" s="1" t="s">
        <v>1083</v>
      </c>
    </row>
    <row r="3086" spans="1:15" ht="75" x14ac:dyDescent="0.25">
      <c r="A3086" s="1" t="s">
        <v>1266</v>
      </c>
      <c r="B3086" s="1"/>
      <c r="C3086" s="1" t="s">
        <v>4238</v>
      </c>
      <c r="D3086" s="1">
        <v>143256</v>
      </c>
      <c r="E3086" s="1">
        <v>1436</v>
      </c>
      <c r="F3086" s="1" t="s">
        <v>4256</v>
      </c>
      <c r="G3086" s="1" t="s">
        <v>4257</v>
      </c>
      <c r="H3086" s="1" t="s">
        <v>141</v>
      </c>
      <c r="I3086" s="1" t="s">
        <v>65</v>
      </c>
      <c r="J3086" s="1">
        <v>3</v>
      </c>
      <c r="K3086" s="1" t="s">
        <v>142</v>
      </c>
      <c r="L3086" s="1" t="s">
        <v>153</v>
      </c>
      <c r="M3086" s="1" t="s">
        <v>1256</v>
      </c>
      <c r="N3086" s="1" t="str">
        <f>HYPERLINK("https://klocwork.india.ti.com:443/review/insight-review.html#issuedetails_goto:problemid=143256,project=MCU_PLUS_SDK_AM263X,searchquery=taxonomy:'C and C++' build:Build_Apr_13_2023_11_11_AM grouping:off ","KW Issue Link")</f>
        <v>KW Issue Link</v>
      </c>
      <c r="O3086" s="1" t="s">
        <v>1083</v>
      </c>
    </row>
    <row r="3087" spans="1:15" ht="75" x14ac:dyDescent="0.25">
      <c r="A3087" s="1" t="s">
        <v>1266</v>
      </c>
      <c r="B3087" s="1"/>
      <c r="C3087" s="1" t="s">
        <v>4238</v>
      </c>
      <c r="D3087" s="1">
        <v>143257</v>
      </c>
      <c r="E3087" s="1">
        <v>1782</v>
      </c>
      <c r="F3087" s="1" t="s">
        <v>4258</v>
      </c>
      <c r="G3087" s="1" t="s">
        <v>4259</v>
      </c>
      <c r="H3087" s="1" t="s">
        <v>141</v>
      </c>
      <c r="I3087" s="1" t="s">
        <v>65</v>
      </c>
      <c r="J3087" s="1">
        <v>3</v>
      </c>
      <c r="K3087" s="1" t="s">
        <v>142</v>
      </c>
      <c r="L3087" s="1" t="s">
        <v>153</v>
      </c>
      <c r="M3087" s="1" t="s">
        <v>1256</v>
      </c>
      <c r="N3087" s="1" t="str">
        <f>HYPERLINK("https://klocwork.india.ti.com:443/review/insight-review.html#issuedetails_goto:problemid=143257,project=MCU_PLUS_SDK_AM263X,searchquery=taxonomy:'C and C++' build:Build_Apr_13_2023_11_11_AM grouping:off ","KW Issue Link")</f>
        <v>KW Issue Link</v>
      </c>
      <c r="O3087" s="1" t="s">
        <v>1083</v>
      </c>
    </row>
    <row r="3088" spans="1:15" ht="75" x14ac:dyDescent="0.25">
      <c r="A3088" s="1" t="s">
        <v>1266</v>
      </c>
      <c r="B3088" s="1"/>
      <c r="C3088" s="1" t="s">
        <v>4238</v>
      </c>
      <c r="D3088" s="1">
        <v>143258</v>
      </c>
      <c r="E3088" s="1">
        <v>2527</v>
      </c>
      <c r="F3088" s="1" t="s">
        <v>4260</v>
      </c>
      <c r="G3088" s="1" t="s">
        <v>4261</v>
      </c>
      <c r="H3088" s="1" t="s">
        <v>141</v>
      </c>
      <c r="I3088" s="1" t="s">
        <v>65</v>
      </c>
      <c r="J3088" s="1">
        <v>3</v>
      </c>
      <c r="K3088" s="1" t="s">
        <v>142</v>
      </c>
      <c r="L3088" s="1" t="s">
        <v>153</v>
      </c>
      <c r="M3088" s="1" t="s">
        <v>1256</v>
      </c>
      <c r="N3088" s="1" t="str">
        <f>HYPERLINK("https://klocwork.india.ti.com:443/review/insight-review.html#issuedetails_goto:problemid=143258,project=MCU_PLUS_SDK_AM263X,searchquery=taxonomy:'C and C++' build:Build_Apr_13_2023_11_11_AM grouping:off ","KW Issue Link")</f>
        <v>KW Issue Link</v>
      </c>
      <c r="O3088" s="1" t="s">
        <v>1083</v>
      </c>
    </row>
    <row r="3089" spans="1:15" ht="75" x14ac:dyDescent="0.25">
      <c r="A3089" s="1" t="s">
        <v>1266</v>
      </c>
      <c r="B3089" s="1"/>
      <c r="C3089" s="1" t="s">
        <v>4238</v>
      </c>
      <c r="D3089" s="1">
        <v>143259</v>
      </c>
      <c r="E3089" s="1">
        <v>2945</v>
      </c>
      <c r="F3089" s="1" t="s">
        <v>4262</v>
      </c>
      <c r="G3089" s="1" t="s">
        <v>4263</v>
      </c>
      <c r="H3089" s="1" t="s">
        <v>141</v>
      </c>
      <c r="I3089" s="1" t="s">
        <v>65</v>
      </c>
      <c r="J3089" s="1">
        <v>3</v>
      </c>
      <c r="K3089" s="1" t="s">
        <v>142</v>
      </c>
      <c r="L3089" s="1" t="s">
        <v>153</v>
      </c>
      <c r="M3089" s="1" t="s">
        <v>1256</v>
      </c>
      <c r="N3089" s="1" t="str">
        <f>HYPERLINK("https://klocwork.india.ti.com:443/review/insight-review.html#issuedetails_goto:problemid=143259,project=MCU_PLUS_SDK_AM263X,searchquery=taxonomy:'C and C++' build:Build_Apr_13_2023_11_11_AM grouping:off ","KW Issue Link")</f>
        <v>KW Issue Link</v>
      </c>
      <c r="O3089" s="1" t="s">
        <v>1083</v>
      </c>
    </row>
    <row r="3090" spans="1:15" ht="75" x14ac:dyDescent="0.25">
      <c r="A3090" s="1" t="s">
        <v>1266</v>
      </c>
      <c r="B3090" s="1"/>
      <c r="C3090" s="1" t="s">
        <v>4238</v>
      </c>
      <c r="D3090" s="1">
        <v>143260</v>
      </c>
      <c r="E3090" s="1">
        <v>3174</v>
      </c>
      <c r="F3090" s="1" t="s">
        <v>4264</v>
      </c>
      <c r="G3090" s="1" t="s">
        <v>4265</v>
      </c>
      <c r="H3090" s="1" t="s">
        <v>141</v>
      </c>
      <c r="I3090" s="1" t="s">
        <v>65</v>
      </c>
      <c r="J3090" s="1">
        <v>3</v>
      </c>
      <c r="K3090" s="1" t="s">
        <v>142</v>
      </c>
      <c r="L3090" s="1" t="s">
        <v>153</v>
      </c>
      <c r="M3090" s="1" t="s">
        <v>1256</v>
      </c>
      <c r="N3090" s="1" t="str">
        <f>HYPERLINK("https://klocwork.india.ti.com:443/review/insight-review.html#issuedetails_goto:problemid=143260,project=MCU_PLUS_SDK_AM263X,searchquery=taxonomy:'C and C++' build:Build_Apr_13_2023_11_11_AM grouping:off ","KW Issue Link")</f>
        <v>KW Issue Link</v>
      </c>
      <c r="O3090" s="1" t="s">
        <v>1083</v>
      </c>
    </row>
    <row r="3091" spans="1:15" ht="75" x14ac:dyDescent="0.25">
      <c r="A3091" s="1" t="s">
        <v>1266</v>
      </c>
      <c r="B3091" s="1"/>
      <c r="C3091" s="1" t="s">
        <v>4238</v>
      </c>
      <c r="D3091" s="1">
        <v>143261</v>
      </c>
      <c r="E3091" s="1">
        <v>3331</v>
      </c>
      <c r="F3091" s="1" t="s">
        <v>4266</v>
      </c>
      <c r="G3091" s="1" t="s">
        <v>4267</v>
      </c>
      <c r="H3091" s="1" t="s">
        <v>141</v>
      </c>
      <c r="I3091" s="1" t="s">
        <v>65</v>
      </c>
      <c r="J3091" s="1">
        <v>3</v>
      </c>
      <c r="K3091" s="1" t="s">
        <v>142</v>
      </c>
      <c r="L3091" s="1" t="s">
        <v>153</v>
      </c>
      <c r="M3091" s="1" t="s">
        <v>1256</v>
      </c>
      <c r="N3091" s="1" t="str">
        <f>HYPERLINK("https://klocwork.india.ti.com:443/review/insight-review.html#issuedetails_goto:problemid=143261,project=MCU_PLUS_SDK_AM263X,searchquery=taxonomy:'C and C++' build:Build_Apr_13_2023_11_11_AM grouping:off ","KW Issue Link")</f>
        <v>KW Issue Link</v>
      </c>
      <c r="O3091" s="1" t="s">
        <v>1083</v>
      </c>
    </row>
    <row r="3092" spans="1:15" ht="75" x14ac:dyDescent="0.25">
      <c r="A3092" s="1" t="s">
        <v>1266</v>
      </c>
      <c r="B3092" s="1"/>
      <c r="C3092" s="1" t="s">
        <v>4238</v>
      </c>
      <c r="D3092" s="1">
        <v>143262</v>
      </c>
      <c r="E3092" s="1">
        <v>4037</v>
      </c>
      <c r="F3092" s="1" t="s">
        <v>4268</v>
      </c>
      <c r="G3092" s="1" t="s">
        <v>4269</v>
      </c>
      <c r="H3092" s="1" t="s">
        <v>141</v>
      </c>
      <c r="I3092" s="1" t="s">
        <v>65</v>
      </c>
      <c r="J3092" s="1">
        <v>3</v>
      </c>
      <c r="K3092" s="1" t="s">
        <v>142</v>
      </c>
      <c r="L3092" s="1" t="s">
        <v>153</v>
      </c>
      <c r="M3092" s="1" t="s">
        <v>1256</v>
      </c>
      <c r="N3092" s="1" t="str">
        <f>HYPERLINK("https://klocwork.india.ti.com:443/review/insight-review.html#issuedetails_goto:problemid=143262,project=MCU_PLUS_SDK_AM263X,searchquery=taxonomy:'C and C++' build:Build_Apr_13_2023_11_11_AM grouping:off ","KW Issue Link")</f>
        <v>KW Issue Link</v>
      </c>
      <c r="O3092" s="1" t="s">
        <v>1083</v>
      </c>
    </row>
    <row r="3093" spans="1:15" ht="75" x14ac:dyDescent="0.25">
      <c r="A3093" s="1" t="s">
        <v>1266</v>
      </c>
      <c r="B3093" s="1"/>
      <c r="C3093" s="1" t="s">
        <v>4238</v>
      </c>
      <c r="D3093" s="1">
        <v>143263</v>
      </c>
      <c r="E3093" s="1">
        <v>4300</v>
      </c>
      <c r="F3093" s="1" t="s">
        <v>4270</v>
      </c>
      <c r="G3093" s="1" t="s">
        <v>4271</v>
      </c>
      <c r="H3093" s="1" t="s">
        <v>141</v>
      </c>
      <c r="I3093" s="1" t="s">
        <v>65</v>
      </c>
      <c r="J3093" s="1">
        <v>3</v>
      </c>
      <c r="K3093" s="1" t="s">
        <v>142</v>
      </c>
      <c r="L3093" s="1" t="s">
        <v>153</v>
      </c>
      <c r="M3093" s="1" t="s">
        <v>1256</v>
      </c>
      <c r="N3093" s="1" t="str">
        <f>HYPERLINK("https://klocwork.india.ti.com:443/review/insight-review.html#issuedetails_goto:problemid=143263,project=MCU_PLUS_SDK_AM263X,searchquery=taxonomy:'C and C++' build:Build_Apr_13_2023_11_11_AM grouping:off ","KW Issue Link")</f>
        <v>KW Issue Link</v>
      </c>
      <c r="O3093" s="1" t="s">
        <v>1083</v>
      </c>
    </row>
    <row r="3094" spans="1:15" ht="75" x14ac:dyDescent="0.25">
      <c r="A3094" s="1" t="s">
        <v>1266</v>
      </c>
      <c r="B3094" s="1"/>
      <c r="C3094" s="1" t="s">
        <v>4238</v>
      </c>
      <c r="D3094" s="1">
        <v>143264</v>
      </c>
      <c r="E3094" s="1">
        <v>4532</v>
      </c>
      <c r="F3094" s="1" t="s">
        <v>4272</v>
      </c>
      <c r="G3094" s="1" t="s">
        <v>4273</v>
      </c>
      <c r="H3094" s="1" t="s">
        <v>141</v>
      </c>
      <c r="I3094" s="1" t="s">
        <v>65</v>
      </c>
      <c r="J3094" s="1">
        <v>3</v>
      </c>
      <c r="K3094" s="1" t="s">
        <v>142</v>
      </c>
      <c r="L3094" s="1" t="s">
        <v>153</v>
      </c>
      <c r="M3094" s="1" t="s">
        <v>1256</v>
      </c>
      <c r="N3094" s="1" t="str">
        <f>HYPERLINK("https://klocwork.india.ti.com:443/review/insight-review.html#issuedetails_goto:problemid=143264,project=MCU_PLUS_SDK_AM263X,searchquery=taxonomy:'C and C++' build:Build_Apr_13_2023_11_11_AM grouping:off ","KW Issue Link")</f>
        <v>KW Issue Link</v>
      </c>
      <c r="O3094" s="1" t="s">
        <v>1083</v>
      </c>
    </row>
    <row r="3095" spans="1:15" ht="75" x14ac:dyDescent="0.25">
      <c r="A3095" s="1" t="s">
        <v>1266</v>
      </c>
      <c r="B3095" s="1"/>
      <c r="C3095" s="1" t="s">
        <v>4238</v>
      </c>
      <c r="D3095" s="1">
        <v>143265</v>
      </c>
      <c r="E3095" s="1">
        <v>4949</v>
      </c>
      <c r="F3095" s="1" t="s">
        <v>4274</v>
      </c>
      <c r="G3095" s="1" t="s">
        <v>4275</v>
      </c>
      <c r="H3095" s="1" t="s">
        <v>141</v>
      </c>
      <c r="I3095" s="1" t="s">
        <v>65</v>
      </c>
      <c r="J3095" s="1">
        <v>3</v>
      </c>
      <c r="K3095" s="1" t="s">
        <v>142</v>
      </c>
      <c r="L3095" s="1" t="s">
        <v>153</v>
      </c>
      <c r="M3095" s="1" t="s">
        <v>1256</v>
      </c>
      <c r="N3095" s="1" t="str">
        <f>HYPERLINK("https://klocwork.india.ti.com:443/review/insight-review.html#issuedetails_goto:problemid=143265,project=MCU_PLUS_SDK_AM263X,searchquery=taxonomy:'C and C++' build:Build_Apr_13_2023_11_11_AM grouping:off ","KW Issue Link")</f>
        <v>KW Issue Link</v>
      </c>
      <c r="O3095" s="1" t="s">
        <v>1083</v>
      </c>
    </row>
    <row r="3096" spans="1:15" ht="75" x14ac:dyDescent="0.25">
      <c r="A3096" s="1" t="s">
        <v>1266</v>
      </c>
      <c r="B3096" s="1"/>
      <c r="C3096" s="1" t="s">
        <v>4238</v>
      </c>
      <c r="D3096" s="1">
        <v>143266</v>
      </c>
      <c r="E3096" s="1">
        <v>5103</v>
      </c>
      <c r="F3096" s="1" t="s">
        <v>4276</v>
      </c>
      <c r="G3096" s="1" t="s">
        <v>4277</v>
      </c>
      <c r="H3096" s="1" t="s">
        <v>141</v>
      </c>
      <c r="I3096" s="1" t="s">
        <v>65</v>
      </c>
      <c r="J3096" s="1">
        <v>3</v>
      </c>
      <c r="K3096" s="1" t="s">
        <v>142</v>
      </c>
      <c r="L3096" s="1" t="s">
        <v>153</v>
      </c>
      <c r="M3096" s="1" t="s">
        <v>1256</v>
      </c>
      <c r="N3096" s="1" t="str">
        <f>HYPERLINK("https://klocwork.india.ti.com:443/review/insight-review.html#issuedetails_goto:problemid=143266,project=MCU_PLUS_SDK_AM263X,searchquery=taxonomy:'C and C++' build:Build_Apr_13_2023_11_11_AM grouping:off ","KW Issue Link")</f>
        <v>KW Issue Link</v>
      </c>
      <c r="O3096" s="1" t="s">
        <v>1083</v>
      </c>
    </row>
    <row r="3097" spans="1:15" ht="75" x14ac:dyDescent="0.25">
      <c r="A3097" s="1" t="s">
        <v>1266</v>
      </c>
      <c r="B3097" s="1"/>
      <c r="C3097" s="1" t="s">
        <v>4238</v>
      </c>
      <c r="D3097" s="1">
        <v>143267</v>
      </c>
      <c r="E3097" s="1">
        <v>5432</v>
      </c>
      <c r="F3097" s="1" t="s">
        <v>4278</v>
      </c>
      <c r="G3097" s="1" t="s">
        <v>4279</v>
      </c>
      <c r="H3097" s="1" t="s">
        <v>141</v>
      </c>
      <c r="I3097" s="1" t="s">
        <v>65</v>
      </c>
      <c r="J3097" s="1">
        <v>3</v>
      </c>
      <c r="K3097" s="1" t="s">
        <v>142</v>
      </c>
      <c r="L3097" s="1" t="s">
        <v>153</v>
      </c>
      <c r="M3097" s="1" t="s">
        <v>1256</v>
      </c>
      <c r="N3097" s="1" t="str">
        <f>HYPERLINK("https://klocwork.india.ti.com:443/review/insight-review.html#issuedetails_goto:problemid=143267,project=MCU_PLUS_SDK_AM263X,searchquery=taxonomy:'C and C++' build:Build_Apr_13_2023_11_11_AM grouping:off ","KW Issue Link")</f>
        <v>KW Issue Link</v>
      </c>
      <c r="O3097" s="1" t="s">
        <v>1083</v>
      </c>
    </row>
    <row r="3098" spans="1:15" ht="75" x14ac:dyDescent="0.25">
      <c r="A3098" s="1" t="s">
        <v>1266</v>
      </c>
      <c r="B3098" s="1"/>
      <c r="C3098" s="1" t="s">
        <v>4238</v>
      </c>
      <c r="D3098" s="1">
        <v>143268</v>
      </c>
      <c r="E3098" s="1">
        <v>6341</v>
      </c>
      <c r="F3098" s="1" t="s">
        <v>4280</v>
      </c>
      <c r="G3098" s="1" t="s">
        <v>4281</v>
      </c>
      <c r="H3098" s="1" t="s">
        <v>141</v>
      </c>
      <c r="I3098" s="1" t="s">
        <v>65</v>
      </c>
      <c r="J3098" s="1">
        <v>3</v>
      </c>
      <c r="K3098" s="1" t="s">
        <v>142</v>
      </c>
      <c r="L3098" s="1" t="s">
        <v>153</v>
      </c>
      <c r="M3098" s="1" t="s">
        <v>1256</v>
      </c>
      <c r="N3098" s="1" t="str">
        <f>HYPERLINK("https://klocwork.india.ti.com:443/review/insight-review.html#issuedetails_goto:problemid=143268,project=MCU_PLUS_SDK_AM263X,searchquery=taxonomy:'C and C++' build:Build_Apr_13_2023_11_11_AM grouping:off ","KW Issue Link")</f>
        <v>KW Issue Link</v>
      </c>
      <c r="O3098" s="1" t="s">
        <v>1083</v>
      </c>
    </row>
    <row r="3099" spans="1:15" ht="75" x14ac:dyDescent="0.25">
      <c r="A3099" s="1" t="s">
        <v>1266</v>
      </c>
      <c r="B3099" s="1"/>
      <c r="C3099" s="1" t="s">
        <v>4238</v>
      </c>
      <c r="D3099" s="1">
        <v>143269</v>
      </c>
      <c r="E3099" s="1">
        <v>8199</v>
      </c>
      <c r="F3099" s="1" t="s">
        <v>4282</v>
      </c>
      <c r="G3099" s="1" t="s">
        <v>4283</v>
      </c>
      <c r="H3099" s="1" t="s">
        <v>141</v>
      </c>
      <c r="I3099" s="1" t="s">
        <v>65</v>
      </c>
      <c r="J3099" s="1">
        <v>3</v>
      </c>
      <c r="K3099" s="1" t="s">
        <v>142</v>
      </c>
      <c r="L3099" s="1" t="s">
        <v>153</v>
      </c>
      <c r="M3099" s="1" t="s">
        <v>1256</v>
      </c>
      <c r="N3099" s="1" t="str">
        <f>HYPERLINK("https://klocwork.india.ti.com:443/review/insight-review.html#issuedetails_goto:problemid=143269,project=MCU_PLUS_SDK_AM263X,searchquery=taxonomy:'C and C++' build:Build_Apr_13_2023_11_11_AM grouping:off ","KW Issue Link")</f>
        <v>KW Issue Link</v>
      </c>
      <c r="O3099" s="1" t="s">
        <v>1083</v>
      </c>
    </row>
    <row r="3100" spans="1:15" ht="75" x14ac:dyDescent="0.25">
      <c r="A3100" s="1" t="s">
        <v>149</v>
      </c>
      <c r="B3100" s="1"/>
      <c r="C3100" s="1" t="s">
        <v>4238</v>
      </c>
      <c r="D3100" s="1">
        <v>143402</v>
      </c>
      <c r="E3100" s="1">
        <v>423</v>
      </c>
      <c r="F3100" s="1" t="s">
        <v>4284</v>
      </c>
      <c r="G3100" s="1" t="s">
        <v>4240</v>
      </c>
      <c r="H3100" s="1" t="s">
        <v>141</v>
      </c>
      <c r="I3100" s="1" t="s">
        <v>65</v>
      </c>
      <c r="J3100" s="1">
        <v>3</v>
      </c>
      <c r="K3100" s="1" t="s">
        <v>142</v>
      </c>
      <c r="L3100" s="1" t="s">
        <v>153</v>
      </c>
      <c r="M3100" s="1" t="s">
        <v>28</v>
      </c>
      <c r="N3100" s="1" t="str">
        <f>HYPERLINK("https://klocwork.india.ti.com:443/review/insight-review.html#issuedetails_goto:problemid=143402,project=MCU_PLUS_SDK_AM263X,searchquery=taxonomy:'C and C++' build:Build_Apr_13_2023_11_11_AM grouping:off ","KW Issue Link")</f>
        <v>KW Issue Link</v>
      </c>
      <c r="O3100" s="1" t="s">
        <v>1083</v>
      </c>
    </row>
    <row r="3101" spans="1:15" ht="75" x14ac:dyDescent="0.25">
      <c r="A3101" s="1" t="s">
        <v>149</v>
      </c>
      <c r="B3101" s="1"/>
      <c r="C3101" s="1" t="s">
        <v>4238</v>
      </c>
      <c r="D3101" s="1">
        <v>143403</v>
      </c>
      <c r="E3101" s="1">
        <v>454</v>
      </c>
      <c r="F3101" s="1" t="s">
        <v>4284</v>
      </c>
      <c r="G3101" s="1" t="s">
        <v>4240</v>
      </c>
      <c r="H3101" s="1" t="s">
        <v>141</v>
      </c>
      <c r="I3101" s="1" t="s">
        <v>65</v>
      </c>
      <c r="J3101" s="1">
        <v>3</v>
      </c>
      <c r="K3101" s="1" t="s">
        <v>142</v>
      </c>
      <c r="L3101" s="1" t="s">
        <v>153</v>
      </c>
      <c r="M3101" s="1" t="s">
        <v>28</v>
      </c>
      <c r="N3101" s="1" t="str">
        <f>HYPERLINK("https://klocwork.india.ti.com:443/review/insight-review.html#issuedetails_goto:problemid=143403,project=MCU_PLUS_SDK_AM263X,searchquery=taxonomy:'C and C++' build:Build_Apr_13_2023_11_11_AM grouping:off ","KW Issue Link")</f>
        <v>KW Issue Link</v>
      </c>
      <c r="O3101" s="1" t="s">
        <v>1083</v>
      </c>
    </row>
    <row r="3102" spans="1:15" ht="90" x14ac:dyDescent="0.25">
      <c r="A3102" s="1" t="s">
        <v>149</v>
      </c>
      <c r="B3102" s="1"/>
      <c r="C3102" s="1" t="s">
        <v>4238</v>
      </c>
      <c r="D3102" s="1">
        <v>143404</v>
      </c>
      <c r="E3102" s="1">
        <v>2189</v>
      </c>
      <c r="F3102" s="1" t="s">
        <v>4285</v>
      </c>
      <c r="G3102" s="1" t="s">
        <v>4259</v>
      </c>
      <c r="H3102" s="1" t="s">
        <v>141</v>
      </c>
      <c r="I3102" s="1" t="s">
        <v>65</v>
      </c>
      <c r="J3102" s="1">
        <v>3</v>
      </c>
      <c r="K3102" s="1" t="s">
        <v>142</v>
      </c>
      <c r="L3102" s="1" t="s">
        <v>153</v>
      </c>
      <c r="M3102" s="1" t="s">
        <v>28</v>
      </c>
      <c r="N3102" s="1" t="str">
        <f>HYPERLINK("https://klocwork.india.ti.com:443/review/insight-review.html#issuedetails_goto:problemid=143404,project=MCU_PLUS_SDK_AM263X,searchquery=taxonomy:'C and C++' build:Build_Apr_13_2023_11_11_AM grouping:off ","KW Issue Link")</f>
        <v>KW Issue Link</v>
      </c>
      <c r="O3102" s="1" t="s">
        <v>1083</v>
      </c>
    </row>
    <row r="3103" spans="1:15" ht="90" x14ac:dyDescent="0.25">
      <c r="A3103" s="1" t="s">
        <v>149</v>
      </c>
      <c r="B3103" s="1"/>
      <c r="C3103" s="1" t="s">
        <v>4238</v>
      </c>
      <c r="D3103" s="1">
        <v>143405</v>
      </c>
      <c r="E3103" s="1">
        <v>2317</v>
      </c>
      <c r="F3103" s="1" t="s">
        <v>4286</v>
      </c>
      <c r="G3103" s="1" t="s">
        <v>4259</v>
      </c>
      <c r="H3103" s="1" t="s">
        <v>141</v>
      </c>
      <c r="I3103" s="1" t="s">
        <v>65</v>
      </c>
      <c r="J3103" s="1">
        <v>3</v>
      </c>
      <c r="K3103" s="1" t="s">
        <v>142</v>
      </c>
      <c r="L3103" s="1" t="s">
        <v>153</v>
      </c>
      <c r="M3103" s="1" t="s">
        <v>28</v>
      </c>
      <c r="N3103" s="1" t="str">
        <f>HYPERLINK("https://klocwork.india.ti.com:443/review/insight-review.html#issuedetails_goto:problemid=143405,project=MCU_PLUS_SDK_AM263X,searchquery=taxonomy:'C and C++' build:Build_Apr_13_2023_11_11_AM grouping:off ","KW Issue Link")</f>
        <v>KW Issue Link</v>
      </c>
      <c r="O3103" s="1" t="s">
        <v>1083</v>
      </c>
    </row>
    <row r="3104" spans="1:15" ht="90" x14ac:dyDescent="0.25">
      <c r="A3104" s="1" t="s">
        <v>149</v>
      </c>
      <c r="B3104" s="1"/>
      <c r="C3104" s="1" t="s">
        <v>4238</v>
      </c>
      <c r="D3104" s="1">
        <v>143406</v>
      </c>
      <c r="E3104" s="1">
        <v>2990</v>
      </c>
      <c r="F3104" s="1" t="s">
        <v>4287</v>
      </c>
      <c r="G3104" s="1" t="s">
        <v>4263</v>
      </c>
      <c r="H3104" s="1" t="s">
        <v>141</v>
      </c>
      <c r="I3104" s="1" t="s">
        <v>65</v>
      </c>
      <c r="J3104" s="1">
        <v>3</v>
      </c>
      <c r="K3104" s="1" t="s">
        <v>142</v>
      </c>
      <c r="L3104" s="1" t="s">
        <v>153</v>
      </c>
      <c r="M3104" s="1" t="s">
        <v>28</v>
      </c>
      <c r="N3104" s="1" t="str">
        <f>HYPERLINK("https://klocwork.india.ti.com:443/review/insight-review.html#issuedetails_goto:problemid=143406,project=MCU_PLUS_SDK_AM263X,searchquery=taxonomy:'C and C++' build:Build_Apr_13_2023_11_11_AM grouping:off ","KW Issue Link")</f>
        <v>KW Issue Link</v>
      </c>
      <c r="O3104" s="1" t="s">
        <v>1083</v>
      </c>
    </row>
    <row r="3105" spans="1:15" ht="90" x14ac:dyDescent="0.25">
      <c r="A3105" s="1" t="s">
        <v>149</v>
      </c>
      <c r="B3105" s="1"/>
      <c r="C3105" s="1" t="s">
        <v>4238</v>
      </c>
      <c r="D3105" s="1">
        <v>143407</v>
      </c>
      <c r="E3105" s="1">
        <v>3013</v>
      </c>
      <c r="F3105" s="1" t="s">
        <v>4288</v>
      </c>
      <c r="G3105" s="1" t="s">
        <v>4263</v>
      </c>
      <c r="H3105" s="1" t="s">
        <v>141</v>
      </c>
      <c r="I3105" s="1" t="s">
        <v>65</v>
      </c>
      <c r="J3105" s="1">
        <v>3</v>
      </c>
      <c r="K3105" s="1" t="s">
        <v>142</v>
      </c>
      <c r="L3105" s="1" t="s">
        <v>153</v>
      </c>
      <c r="M3105" s="1" t="s">
        <v>28</v>
      </c>
      <c r="N3105" s="1" t="str">
        <f>HYPERLINK("https://klocwork.india.ti.com:443/review/insight-review.html#issuedetails_goto:problemid=143407,project=MCU_PLUS_SDK_AM263X,searchquery=taxonomy:'C and C++' build:Build_Apr_13_2023_11_11_AM grouping:off ","KW Issue Link")</f>
        <v>KW Issue Link</v>
      </c>
      <c r="O3105" s="1" t="s">
        <v>1083</v>
      </c>
    </row>
    <row r="3106" spans="1:15" ht="75" x14ac:dyDescent="0.25">
      <c r="A3106" s="1" t="s">
        <v>149</v>
      </c>
      <c r="B3106" s="1"/>
      <c r="C3106" s="1" t="s">
        <v>4238</v>
      </c>
      <c r="D3106" s="1">
        <v>143408</v>
      </c>
      <c r="E3106" s="1">
        <v>3452</v>
      </c>
      <c r="F3106" s="1" t="s">
        <v>4289</v>
      </c>
      <c r="G3106" s="1" t="s">
        <v>4267</v>
      </c>
      <c r="H3106" s="1" t="s">
        <v>141</v>
      </c>
      <c r="I3106" s="1" t="s">
        <v>65</v>
      </c>
      <c r="J3106" s="1">
        <v>3</v>
      </c>
      <c r="K3106" s="1" t="s">
        <v>142</v>
      </c>
      <c r="L3106" s="1" t="s">
        <v>153</v>
      </c>
      <c r="M3106" s="1" t="s">
        <v>28</v>
      </c>
      <c r="N3106" s="1" t="str">
        <f>HYPERLINK("https://klocwork.india.ti.com:443/review/insight-review.html#issuedetails_goto:problemid=143408,project=MCU_PLUS_SDK_AM263X,searchquery=taxonomy:'C and C++' build:Build_Apr_13_2023_11_11_AM grouping:off ","KW Issue Link")</f>
        <v>KW Issue Link</v>
      </c>
      <c r="O3106" s="1" t="s">
        <v>1083</v>
      </c>
    </row>
    <row r="3107" spans="1:15" ht="75" x14ac:dyDescent="0.25">
      <c r="A3107" s="1" t="s">
        <v>149</v>
      </c>
      <c r="B3107" s="1"/>
      <c r="C3107" s="1" t="s">
        <v>4238</v>
      </c>
      <c r="D3107" s="1">
        <v>143409</v>
      </c>
      <c r="E3107" s="1">
        <v>4980</v>
      </c>
      <c r="F3107" s="1" t="s">
        <v>3620</v>
      </c>
      <c r="G3107" s="1" t="s">
        <v>4275</v>
      </c>
      <c r="H3107" s="1" t="s">
        <v>141</v>
      </c>
      <c r="I3107" s="1" t="s">
        <v>65</v>
      </c>
      <c r="J3107" s="1">
        <v>3</v>
      </c>
      <c r="K3107" s="1" t="s">
        <v>142</v>
      </c>
      <c r="L3107" s="1" t="s">
        <v>153</v>
      </c>
      <c r="M3107" s="1" t="s">
        <v>28</v>
      </c>
      <c r="N3107" s="1" t="str">
        <f>HYPERLINK("https://klocwork.india.ti.com:443/review/insight-review.html#issuedetails_goto:problemid=143409,project=MCU_PLUS_SDK_AM263X,searchquery=taxonomy:'C and C++' build:Build_Apr_13_2023_11_11_AM grouping:off ","KW Issue Link")</f>
        <v>KW Issue Link</v>
      </c>
      <c r="O3107" s="1" t="s">
        <v>1083</v>
      </c>
    </row>
    <row r="3108" spans="1:15" ht="105" x14ac:dyDescent="0.25">
      <c r="A3108" s="1" t="s">
        <v>149</v>
      </c>
      <c r="B3108" s="1"/>
      <c r="C3108" s="1" t="s">
        <v>4238</v>
      </c>
      <c r="D3108" s="1">
        <v>143410</v>
      </c>
      <c r="E3108" s="1">
        <v>5834</v>
      </c>
      <c r="F3108" s="1" t="s">
        <v>4290</v>
      </c>
      <c r="G3108" s="1" t="s">
        <v>4291</v>
      </c>
      <c r="H3108" s="1" t="s">
        <v>141</v>
      </c>
      <c r="I3108" s="1" t="s">
        <v>65</v>
      </c>
      <c r="J3108" s="1">
        <v>3</v>
      </c>
      <c r="K3108" s="1" t="s">
        <v>142</v>
      </c>
      <c r="L3108" s="1" t="s">
        <v>153</v>
      </c>
      <c r="M3108" s="1" t="s">
        <v>28</v>
      </c>
      <c r="N3108" s="1" t="str">
        <f>HYPERLINK("https://klocwork.india.ti.com:443/review/insight-review.html#issuedetails_goto:problemid=143410,project=MCU_PLUS_SDK_AM263X,searchquery=taxonomy:'C and C++' build:Build_Apr_13_2023_11_11_AM grouping:off ","KW Issue Link")</f>
        <v>KW Issue Link</v>
      </c>
      <c r="O3108" s="1" t="s">
        <v>1083</v>
      </c>
    </row>
    <row r="3109" spans="1:15" ht="90" x14ac:dyDescent="0.25">
      <c r="A3109" s="1" t="s">
        <v>149</v>
      </c>
      <c r="B3109" s="1"/>
      <c r="C3109" s="1" t="s">
        <v>4238</v>
      </c>
      <c r="D3109" s="1">
        <v>143411</v>
      </c>
      <c r="E3109" s="1">
        <v>5884</v>
      </c>
      <c r="F3109" s="1" t="s">
        <v>4292</v>
      </c>
      <c r="G3109" s="1" t="s">
        <v>4293</v>
      </c>
      <c r="H3109" s="1" t="s">
        <v>141</v>
      </c>
      <c r="I3109" s="1" t="s">
        <v>65</v>
      </c>
      <c r="J3109" s="1">
        <v>3</v>
      </c>
      <c r="K3109" s="1" t="s">
        <v>142</v>
      </c>
      <c r="L3109" s="1" t="s">
        <v>153</v>
      </c>
      <c r="M3109" s="1" t="s">
        <v>28</v>
      </c>
      <c r="N3109" s="1" t="str">
        <f>HYPERLINK("https://klocwork.india.ti.com:443/review/insight-review.html#issuedetails_goto:problemid=143411,project=MCU_PLUS_SDK_AM263X,searchquery=taxonomy:'C and C++' build:Build_Apr_13_2023_11_11_AM grouping:off ","KW Issue Link")</f>
        <v>KW Issue Link</v>
      </c>
      <c r="O3109" s="1" t="s">
        <v>1083</v>
      </c>
    </row>
    <row r="3110" spans="1:15" ht="105" x14ac:dyDescent="0.25">
      <c r="A3110" s="1" t="s">
        <v>149</v>
      </c>
      <c r="B3110" s="1"/>
      <c r="C3110" s="1" t="s">
        <v>4238</v>
      </c>
      <c r="D3110" s="1">
        <v>143412</v>
      </c>
      <c r="E3110" s="1">
        <v>5936</v>
      </c>
      <c r="F3110" s="1" t="s">
        <v>4294</v>
      </c>
      <c r="G3110" s="1" t="s">
        <v>4295</v>
      </c>
      <c r="H3110" s="1" t="s">
        <v>141</v>
      </c>
      <c r="I3110" s="1" t="s">
        <v>65</v>
      </c>
      <c r="J3110" s="1">
        <v>3</v>
      </c>
      <c r="K3110" s="1" t="s">
        <v>142</v>
      </c>
      <c r="L3110" s="1" t="s">
        <v>153</v>
      </c>
      <c r="M3110" s="1" t="s">
        <v>28</v>
      </c>
      <c r="N3110" s="1" t="str">
        <f>HYPERLINK("https://klocwork.india.ti.com:443/review/insight-review.html#issuedetails_goto:problemid=143412,project=MCU_PLUS_SDK_AM263X,searchquery=taxonomy:'C and C++' build:Build_Apr_13_2023_11_11_AM grouping:off ","KW Issue Link")</f>
        <v>KW Issue Link</v>
      </c>
      <c r="O3110" s="1" t="s">
        <v>1083</v>
      </c>
    </row>
    <row r="3111" spans="1:15" ht="105" x14ac:dyDescent="0.25">
      <c r="A3111" s="1" t="s">
        <v>149</v>
      </c>
      <c r="B3111" s="1"/>
      <c r="C3111" s="1" t="s">
        <v>4238</v>
      </c>
      <c r="D3111" s="1">
        <v>143413</v>
      </c>
      <c r="E3111" s="1">
        <v>9600</v>
      </c>
      <c r="F3111" s="1" t="s">
        <v>4296</v>
      </c>
      <c r="G3111" s="1" t="s">
        <v>4297</v>
      </c>
      <c r="H3111" s="1" t="s">
        <v>141</v>
      </c>
      <c r="I3111" s="1" t="s">
        <v>65</v>
      </c>
      <c r="J3111" s="1">
        <v>3</v>
      </c>
      <c r="K3111" s="1" t="s">
        <v>142</v>
      </c>
      <c r="L3111" s="1" t="s">
        <v>153</v>
      </c>
      <c r="M3111" s="1" t="s">
        <v>28</v>
      </c>
      <c r="N3111" s="1" t="str">
        <f>HYPERLINK("https://klocwork.india.ti.com:443/review/insight-review.html#issuedetails_goto:problemid=143413,project=MCU_PLUS_SDK_AM263X,searchquery=taxonomy:'C and C++' build:Build_Apr_13_2023_11_11_AM grouping:off ","KW Issue Link")</f>
        <v>KW Issue Link</v>
      </c>
      <c r="O3111" s="1" t="s">
        <v>1083</v>
      </c>
    </row>
    <row r="3112" spans="1:15" ht="105" x14ac:dyDescent="0.25">
      <c r="A3112" s="1" t="s">
        <v>149</v>
      </c>
      <c r="B3112" s="1"/>
      <c r="C3112" s="1" t="s">
        <v>4238</v>
      </c>
      <c r="D3112" s="1">
        <v>143414</v>
      </c>
      <c r="E3112" s="1">
        <v>9605</v>
      </c>
      <c r="F3112" s="1" t="s">
        <v>4298</v>
      </c>
      <c r="G3112" s="1" t="s">
        <v>4297</v>
      </c>
      <c r="H3112" s="1" t="s">
        <v>141</v>
      </c>
      <c r="I3112" s="1" t="s">
        <v>65</v>
      </c>
      <c r="J3112" s="1">
        <v>3</v>
      </c>
      <c r="K3112" s="1" t="s">
        <v>142</v>
      </c>
      <c r="L3112" s="1" t="s">
        <v>153</v>
      </c>
      <c r="M3112" s="1" t="s">
        <v>28</v>
      </c>
      <c r="N3112" s="1" t="str">
        <f>HYPERLINK("https://klocwork.india.ti.com:443/review/insight-review.html#issuedetails_goto:problemid=143414,project=MCU_PLUS_SDK_AM263X,searchquery=taxonomy:'C and C++' build:Build_Apr_13_2023_11_11_AM grouping:off ","KW Issue Link")</f>
        <v>KW Issue Link</v>
      </c>
      <c r="O3112" s="1" t="s">
        <v>1083</v>
      </c>
    </row>
    <row r="3113" spans="1:15" ht="105" x14ac:dyDescent="0.25">
      <c r="A3113" s="1" t="s">
        <v>149</v>
      </c>
      <c r="B3113" s="1"/>
      <c r="C3113" s="1" t="s">
        <v>4238</v>
      </c>
      <c r="D3113" s="1">
        <v>143415</v>
      </c>
      <c r="E3113" s="1">
        <v>9611</v>
      </c>
      <c r="F3113" s="1" t="s">
        <v>4298</v>
      </c>
      <c r="G3113" s="1" t="s">
        <v>4297</v>
      </c>
      <c r="H3113" s="1" t="s">
        <v>141</v>
      </c>
      <c r="I3113" s="1" t="s">
        <v>65</v>
      </c>
      <c r="J3113" s="1">
        <v>3</v>
      </c>
      <c r="K3113" s="1" t="s">
        <v>142</v>
      </c>
      <c r="L3113" s="1" t="s">
        <v>153</v>
      </c>
      <c r="M3113" s="1" t="s">
        <v>28</v>
      </c>
      <c r="N3113" s="1" t="str">
        <f>HYPERLINK("https://klocwork.india.ti.com:443/review/insight-review.html#issuedetails_goto:problemid=143415,project=MCU_PLUS_SDK_AM263X,searchquery=taxonomy:'C and C++' build:Build_Apr_13_2023_11_11_AM grouping:off ","KW Issue Link")</f>
        <v>KW Issue Link</v>
      </c>
      <c r="O3113" s="1" t="s">
        <v>1083</v>
      </c>
    </row>
    <row r="3114" spans="1:15" ht="105" x14ac:dyDescent="0.25">
      <c r="A3114" s="1" t="s">
        <v>149</v>
      </c>
      <c r="B3114" s="1"/>
      <c r="C3114" s="1" t="s">
        <v>4238</v>
      </c>
      <c r="D3114" s="1">
        <v>143416</v>
      </c>
      <c r="E3114" s="1">
        <v>9616</v>
      </c>
      <c r="F3114" s="1" t="s">
        <v>4299</v>
      </c>
      <c r="G3114" s="1" t="s">
        <v>4297</v>
      </c>
      <c r="H3114" s="1" t="s">
        <v>141</v>
      </c>
      <c r="I3114" s="1" t="s">
        <v>65</v>
      </c>
      <c r="J3114" s="1">
        <v>3</v>
      </c>
      <c r="K3114" s="1" t="s">
        <v>142</v>
      </c>
      <c r="L3114" s="1" t="s">
        <v>153</v>
      </c>
      <c r="M3114" s="1" t="s">
        <v>28</v>
      </c>
      <c r="N3114" s="1" t="str">
        <f>HYPERLINK("https://klocwork.india.ti.com:443/review/insight-review.html#issuedetails_goto:problemid=143416,project=MCU_PLUS_SDK_AM263X,searchquery=taxonomy:'C and C++' build:Build_Apr_13_2023_11_11_AM grouping:off ","KW Issue Link")</f>
        <v>KW Issue Link</v>
      </c>
      <c r="O3114" s="1" t="s">
        <v>1083</v>
      </c>
    </row>
    <row r="3115" spans="1:15" ht="105" x14ac:dyDescent="0.25">
      <c r="A3115" s="1" t="s">
        <v>149</v>
      </c>
      <c r="B3115" s="1"/>
      <c r="C3115" s="1" t="s">
        <v>4238</v>
      </c>
      <c r="D3115" s="1">
        <v>143417</v>
      </c>
      <c r="E3115" s="1">
        <v>9622</v>
      </c>
      <c r="F3115" s="1" t="s">
        <v>4300</v>
      </c>
      <c r="G3115" s="1" t="s">
        <v>4297</v>
      </c>
      <c r="H3115" s="1" t="s">
        <v>141</v>
      </c>
      <c r="I3115" s="1" t="s">
        <v>65</v>
      </c>
      <c r="J3115" s="1">
        <v>3</v>
      </c>
      <c r="K3115" s="1" t="s">
        <v>142</v>
      </c>
      <c r="L3115" s="1" t="s">
        <v>153</v>
      </c>
      <c r="M3115" s="1" t="s">
        <v>28</v>
      </c>
      <c r="N3115" s="1" t="str">
        <f>HYPERLINK("https://klocwork.india.ti.com:443/review/insight-review.html#issuedetails_goto:problemid=143417,project=MCU_PLUS_SDK_AM263X,searchquery=taxonomy:'C and C++' build:Build_Apr_13_2023_11_11_AM grouping:off ","KW Issue Link")</f>
        <v>KW Issue Link</v>
      </c>
      <c r="O3115" s="1" t="s">
        <v>1083</v>
      </c>
    </row>
    <row r="3116" spans="1:15" ht="75" x14ac:dyDescent="0.25">
      <c r="A3116" s="1" t="s">
        <v>1257</v>
      </c>
      <c r="B3116" s="1"/>
      <c r="C3116" s="1" t="s">
        <v>4238</v>
      </c>
      <c r="D3116" s="1">
        <v>143454</v>
      </c>
      <c r="E3116" s="1">
        <v>607</v>
      </c>
      <c r="F3116" s="1" t="s">
        <v>4301</v>
      </c>
      <c r="G3116" s="1" t="s">
        <v>4253</v>
      </c>
      <c r="H3116" s="1" t="s">
        <v>141</v>
      </c>
      <c r="I3116" s="1" t="s">
        <v>65</v>
      </c>
      <c r="J3116" s="1">
        <v>3</v>
      </c>
      <c r="K3116" s="1" t="s">
        <v>142</v>
      </c>
      <c r="L3116" s="1" t="s">
        <v>153</v>
      </c>
      <c r="M3116" s="1" t="s">
        <v>1256</v>
      </c>
      <c r="N3116" s="1" t="str">
        <f>HYPERLINK("https://klocwork.india.ti.com:443/review/insight-review.html#issuedetails_goto:problemid=143454,project=MCU_PLUS_SDK_AM263X,searchquery=taxonomy:'C and C++' build:Build_Apr_13_2023_11_11_AM grouping:off ","KW Issue Link")</f>
        <v>KW Issue Link</v>
      </c>
      <c r="O3116" s="1" t="s">
        <v>1083</v>
      </c>
    </row>
    <row r="3117" spans="1:15" ht="75" x14ac:dyDescent="0.25">
      <c r="A3117" s="1" t="s">
        <v>1257</v>
      </c>
      <c r="B3117" s="1"/>
      <c r="C3117" s="1" t="s">
        <v>4238</v>
      </c>
      <c r="D3117" s="1">
        <v>143455</v>
      </c>
      <c r="E3117" s="1">
        <v>1239</v>
      </c>
      <c r="F3117" s="1" t="s">
        <v>4302</v>
      </c>
      <c r="G3117" s="1" t="s">
        <v>4255</v>
      </c>
      <c r="H3117" s="1" t="s">
        <v>141</v>
      </c>
      <c r="I3117" s="1" t="s">
        <v>65</v>
      </c>
      <c r="J3117" s="1">
        <v>3</v>
      </c>
      <c r="K3117" s="1" t="s">
        <v>142</v>
      </c>
      <c r="L3117" s="1" t="s">
        <v>153</v>
      </c>
      <c r="M3117" s="1" t="s">
        <v>1256</v>
      </c>
      <c r="N3117" s="1" t="str">
        <f>HYPERLINK("https://klocwork.india.ti.com:443/review/insight-review.html#issuedetails_goto:problemid=143455,project=MCU_PLUS_SDK_AM263X,searchquery=taxonomy:'C and C++' build:Build_Apr_13_2023_11_11_AM grouping:off ","KW Issue Link")</f>
        <v>KW Issue Link</v>
      </c>
      <c r="O3117" s="1" t="s">
        <v>1083</v>
      </c>
    </row>
    <row r="3118" spans="1:15" ht="75" x14ac:dyDescent="0.25">
      <c r="A3118" s="1" t="s">
        <v>1257</v>
      </c>
      <c r="B3118" s="1"/>
      <c r="C3118" s="1" t="s">
        <v>4238</v>
      </c>
      <c r="D3118" s="1">
        <v>143456</v>
      </c>
      <c r="E3118" s="1">
        <v>1436</v>
      </c>
      <c r="F3118" s="1" t="s">
        <v>4303</v>
      </c>
      <c r="G3118" s="1" t="s">
        <v>4257</v>
      </c>
      <c r="H3118" s="1" t="s">
        <v>141</v>
      </c>
      <c r="I3118" s="1" t="s">
        <v>65</v>
      </c>
      <c r="J3118" s="1">
        <v>3</v>
      </c>
      <c r="K3118" s="1" t="s">
        <v>142</v>
      </c>
      <c r="L3118" s="1" t="s">
        <v>153</v>
      </c>
      <c r="M3118" s="1" t="s">
        <v>1256</v>
      </c>
      <c r="N3118" s="1" t="str">
        <f>HYPERLINK("https://klocwork.india.ti.com:443/review/insight-review.html#issuedetails_goto:problemid=143456,project=MCU_PLUS_SDK_AM263X,searchquery=taxonomy:'C and C++' build:Build_Apr_13_2023_11_11_AM grouping:off ","KW Issue Link")</f>
        <v>KW Issue Link</v>
      </c>
      <c r="O3118" s="1" t="s">
        <v>1083</v>
      </c>
    </row>
    <row r="3119" spans="1:15" ht="75" x14ac:dyDescent="0.25">
      <c r="A3119" s="1" t="s">
        <v>1257</v>
      </c>
      <c r="B3119" s="1"/>
      <c r="C3119" s="1" t="s">
        <v>4238</v>
      </c>
      <c r="D3119" s="1">
        <v>143457</v>
      </c>
      <c r="E3119" s="1">
        <v>1782</v>
      </c>
      <c r="F3119" s="1" t="s">
        <v>4304</v>
      </c>
      <c r="G3119" s="1" t="s">
        <v>4259</v>
      </c>
      <c r="H3119" s="1" t="s">
        <v>141</v>
      </c>
      <c r="I3119" s="1" t="s">
        <v>65</v>
      </c>
      <c r="J3119" s="1">
        <v>3</v>
      </c>
      <c r="K3119" s="1" t="s">
        <v>142</v>
      </c>
      <c r="L3119" s="1" t="s">
        <v>153</v>
      </c>
      <c r="M3119" s="1" t="s">
        <v>1256</v>
      </c>
      <c r="N3119" s="1" t="str">
        <f>HYPERLINK("https://klocwork.india.ti.com:443/review/insight-review.html#issuedetails_goto:problemid=143457,project=MCU_PLUS_SDK_AM263X,searchquery=taxonomy:'C and C++' build:Build_Apr_13_2023_11_11_AM grouping:off ","KW Issue Link")</f>
        <v>KW Issue Link</v>
      </c>
      <c r="O3119" s="1" t="s">
        <v>1083</v>
      </c>
    </row>
    <row r="3120" spans="1:15" ht="75" x14ac:dyDescent="0.25">
      <c r="A3120" s="1" t="s">
        <v>1257</v>
      </c>
      <c r="B3120" s="1"/>
      <c r="C3120" s="1" t="s">
        <v>4238</v>
      </c>
      <c r="D3120" s="1">
        <v>143458</v>
      </c>
      <c r="E3120" s="1">
        <v>2527</v>
      </c>
      <c r="F3120" s="1" t="s">
        <v>4305</v>
      </c>
      <c r="G3120" s="1" t="s">
        <v>4261</v>
      </c>
      <c r="H3120" s="1" t="s">
        <v>141</v>
      </c>
      <c r="I3120" s="1" t="s">
        <v>65</v>
      </c>
      <c r="J3120" s="1">
        <v>3</v>
      </c>
      <c r="K3120" s="1" t="s">
        <v>142</v>
      </c>
      <c r="L3120" s="1" t="s">
        <v>153</v>
      </c>
      <c r="M3120" s="1" t="s">
        <v>1256</v>
      </c>
      <c r="N3120" s="1" t="str">
        <f>HYPERLINK("https://klocwork.india.ti.com:443/review/insight-review.html#issuedetails_goto:problemid=143458,project=MCU_PLUS_SDK_AM263X,searchquery=taxonomy:'C and C++' build:Build_Apr_13_2023_11_11_AM grouping:off ","KW Issue Link")</f>
        <v>KW Issue Link</v>
      </c>
      <c r="O3120" s="1" t="s">
        <v>1083</v>
      </c>
    </row>
    <row r="3121" spans="1:15" ht="75" x14ac:dyDescent="0.25">
      <c r="A3121" s="1" t="s">
        <v>1257</v>
      </c>
      <c r="B3121" s="1"/>
      <c r="C3121" s="1" t="s">
        <v>4238</v>
      </c>
      <c r="D3121" s="1">
        <v>143459</v>
      </c>
      <c r="E3121" s="1">
        <v>2945</v>
      </c>
      <c r="F3121" s="1" t="s">
        <v>4306</v>
      </c>
      <c r="G3121" s="1" t="s">
        <v>4263</v>
      </c>
      <c r="H3121" s="1" t="s">
        <v>141</v>
      </c>
      <c r="I3121" s="1" t="s">
        <v>65</v>
      </c>
      <c r="J3121" s="1">
        <v>3</v>
      </c>
      <c r="K3121" s="1" t="s">
        <v>142</v>
      </c>
      <c r="L3121" s="1" t="s">
        <v>153</v>
      </c>
      <c r="M3121" s="1" t="s">
        <v>1256</v>
      </c>
      <c r="N3121" s="1" t="str">
        <f>HYPERLINK("https://klocwork.india.ti.com:443/review/insight-review.html#issuedetails_goto:problemid=143459,project=MCU_PLUS_SDK_AM263X,searchquery=taxonomy:'C and C++' build:Build_Apr_13_2023_11_11_AM grouping:off ","KW Issue Link")</f>
        <v>KW Issue Link</v>
      </c>
      <c r="O3121" s="1" t="s">
        <v>1083</v>
      </c>
    </row>
    <row r="3122" spans="1:15" ht="75" x14ac:dyDescent="0.25">
      <c r="A3122" s="1" t="s">
        <v>1257</v>
      </c>
      <c r="B3122" s="1"/>
      <c r="C3122" s="1" t="s">
        <v>4238</v>
      </c>
      <c r="D3122" s="1">
        <v>143460</v>
      </c>
      <c r="E3122" s="1">
        <v>3607</v>
      </c>
      <c r="F3122" s="1" t="s">
        <v>4307</v>
      </c>
      <c r="G3122" s="1" t="s">
        <v>4308</v>
      </c>
      <c r="H3122" s="1" t="s">
        <v>141</v>
      </c>
      <c r="I3122" s="1" t="s">
        <v>65</v>
      </c>
      <c r="J3122" s="1">
        <v>3</v>
      </c>
      <c r="K3122" s="1" t="s">
        <v>142</v>
      </c>
      <c r="L3122" s="1" t="s">
        <v>153</v>
      </c>
      <c r="M3122" s="1" t="s">
        <v>1256</v>
      </c>
      <c r="N3122" s="1" t="str">
        <f>HYPERLINK("https://klocwork.india.ti.com:443/review/insight-review.html#issuedetails_goto:problemid=143460,project=MCU_PLUS_SDK_AM263X,searchquery=taxonomy:'C and C++' build:Build_Apr_13_2023_11_11_AM grouping:off ","KW Issue Link")</f>
        <v>KW Issue Link</v>
      </c>
      <c r="O3122" s="1" t="s">
        <v>1083</v>
      </c>
    </row>
    <row r="3123" spans="1:15" ht="75" x14ac:dyDescent="0.25">
      <c r="A3123" s="1" t="s">
        <v>1257</v>
      </c>
      <c r="B3123" s="1"/>
      <c r="C3123" s="1" t="s">
        <v>4238</v>
      </c>
      <c r="D3123" s="1">
        <v>143461</v>
      </c>
      <c r="E3123" s="1">
        <v>4037</v>
      </c>
      <c r="F3123" s="1" t="s">
        <v>4309</v>
      </c>
      <c r="G3123" s="1" t="s">
        <v>4269</v>
      </c>
      <c r="H3123" s="1" t="s">
        <v>141</v>
      </c>
      <c r="I3123" s="1" t="s">
        <v>65</v>
      </c>
      <c r="J3123" s="1">
        <v>3</v>
      </c>
      <c r="K3123" s="1" t="s">
        <v>142</v>
      </c>
      <c r="L3123" s="1" t="s">
        <v>153</v>
      </c>
      <c r="M3123" s="1" t="s">
        <v>1256</v>
      </c>
      <c r="N3123" s="1" t="str">
        <f>HYPERLINK("https://klocwork.india.ti.com:443/review/insight-review.html#issuedetails_goto:problemid=143461,project=MCU_PLUS_SDK_AM263X,searchquery=taxonomy:'C and C++' build:Build_Apr_13_2023_11_11_AM grouping:off ","KW Issue Link")</f>
        <v>KW Issue Link</v>
      </c>
      <c r="O3123" s="1" t="s">
        <v>1083</v>
      </c>
    </row>
    <row r="3124" spans="1:15" ht="75" x14ac:dyDescent="0.25">
      <c r="A3124" s="1" t="s">
        <v>1257</v>
      </c>
      <c r="B3124" s="1"/>
      <c r="C3124" s="1" t="s">
        <v>4238</v>
      </c>
      <c r="D3124" s="1">
        <v>143462</v>
      </c>
      <c r="E3124" s="1">
        <v>4300</v>
      </c>
      <c r="F3124" s="1" t="s">
        <v>4310</v>
      </c>
      <c r="G3124" s="1" t="s">
        <v>4271</v>
      </c>
      <c r="H3124" s="1" t="s">
        <v>141</v>
      </c>
      <c r="I3124" s="1" t="s">
        <v>65</v>
      </c>
      <c r="J3124" s="1">
        <v>3</v>
      </c>
      <c r="K3124" s="1" t="s">
        <v>142</v>
      </c>
      <c r="L3124" s="1" t="s">
        <v>153</v>
      </c>
      <c r="M3124" s="1" t="s">
        <v>1256</v>
      </c>
      <c r="N3124" s="1" t="str">
        <f>HYPERLINK("https://klocwork.india.ti.com:443/review/insight-review.html#issuedetails_goto:problemid=143462,project=MCU_PLUS_SDK_AM263X,searchquery=taxonomy:'C and C++' build:Build_Apr_13_2023_11_11_AM grouping:off ","KW Issue Link")</f>
        <v>KW Issue Link</v>
      </c>
      <c r="O3124" s="1" t="s">
        <v>1083</v>
      </c>
    </row>
    <row r="3125" spans="1:15" ht="75" x14ac:dyDescent="0.25">
      <c r="A3125" s="1" t="s">
        <v>1257</v>
      </c>
      <c r="B3125" s="1"/>
      <c r="C3125" s="1" t="s">
        <v>4238</v>
      </c>
      <c r="D3125" s="1">
        <v>143463</v>
      </c>
      <c r="E3125" s="1">
        <v>4532</v>
      </c>
      <c r="F3125" s="1" t="s">
        <v>4311</v>
      </c>
      <c r="G3125" s="1" t="s">
        <v>4273</v>
      </c>
      <c r="H3125" s="1" t="s">
        <v>141</v>
      </c>
      <c r="I3125" s="1" t="s">
        <v>65</v>
      </c>
      <c r="J3125" s="1">
        <v>3</v>
      </c>
      <c r="K3125" s="1" t="s">
        <v>142</v>
      </c>
      <c r="L3125" s="1" t="s">
        <v>153</v>
      </c>
      <c r="M3125" s="1" t="s">
        <v>1256</v>
      </c>
      <c r="N3125" s="1" t="str">
        <f>HYPERLINK("https://klocwork.india.ti.com:443/review/insight-review.html#issuedetails_goto:problemid=143463,project=MCU_PLUS_SDK_AM263X,searchquery=taxonomy:'C and C++' build:Build_Apr_13_2023_11_11_AM grouping:off ","KW Issue Link")</f>
        <v>KW Issue Link</v>
      </c>
      <c r="O3125" s="1" t="s">
        <v>1083</v>
      </c>
    </row>
    <row r="3126" spans="1:15" ht="75" x14ac:dyDescent="0.25">
      <c r="A3126" s="1" t="s">
        <v>1257</v>
      </c>
      <c r="B3126" s="1"/>
      <c r="C3126" s="1" t="s">
        <v>4238</v>
      </c>
      <c r="D3126" s="1">
        <v>143464</v>
      </c>
      <c r="E3126" s="1">
        <v>4949</v>
      </c>
      <c r="F3126" s="1" t="s">
        <v>4312</v>
      </c>
      <c r="G3126" s="1" t="s">
        <v>4275</v>
      </c>
      <c r="H3126" s="1" t="s">
        <v>141</v>
      </c>
      <c r="I3126" s="1" t="s">
        <v>65</v>
      </c>
      <c r="J3126" s="1">
        <v>3</v>
      </c>
      <c r="K3126" s="1" t="s">
        <v>142</v>
      </c>
      <c r="L3126" s="1" t="s">
        <v>153</v>
      </c>
      <c r="M3126" s="1" t="s">
        <v>1256</v>
      </c>
      <c r="N3126" s="1" t="str">
        <f>HYPERLINK("https://klocwork.india.ti.com:443/review/insight-review.html#issuedetails_goto:problemid=143464,project=MCU_PLUS_SDK_AM263X,searchquery=taxonomy:'C and C++' build:Build_Apr_13_2023_11_11_AM grouping:off ","KW Issue Link")</f>
        <v>KW Issue Link</v>
      </c>
      <c r="O3126" s="1" t="s">
        <v>1083</v>
      </c>
    </row>
    <row r="3127" spans="1:15" ht="75" x14ac:dyDescent="0.25">
      <c r="A3127" s="1" t="s">
        <v>1257</v>
      </c>
      <c r="B3127" s="1"/>
      <c r="C3127" s="1" t="s">
        <v>4238</v>
      </c>
      <c r="D3127" s="1">
        <v>143465</v>
      </c>
      <c r="E3127" s="1">
        <v>5432</v>
      </c>
      <c r="F3127" s="1" t="s">
        <v>4313</v>
      </c>
      <c r="G3127" s="1" t="s">
        <v>4279</v>
      </c>
      <c r="H3127" s="1" t="s">
        <v>141</v>
      </c>
      <c r="I3127" s="1" t="s">
        <v>65</v>
      </c>
      <c r="J3127" s="1">
        <v>3</v>
      </c>
      <c r="K3127" s="1" t="s">
        <v>142</v>
      </c>
      <c r="L3127" s="1" t="s">
        <v>153</v>
      </c>
      <c r="M3127" s="1" t="s">
        <v>1256</v>
      </c>
      <c r="N3127" s="1" t="str">
        <f>HYPERLINK("https://klocwork.india.ti.com:443/review/insight-review.html#issuedetails_goto:problemid=143465,project=MCU_PLUS_SDK_AM263X,searchquery=taxonomy:'C and C++' build:Build_Apr_13_2023_11_11_AM grouping:off ","KW Issue Link")</f>
        <v>KW Issue Link</v>
      </c>
      <c r="O3127" s="1" t="s">
        <v>1083</v>
      </c>
    </row>
    <row r="3128" spans="1:15" ht="75" x14ac:dyDescent="0.25">
      <c r="A3128" s="1" t="s">
        <v>1257</v>
      </c>
      <c r="B3128" s="1"/>
      <c r="C3128" s="1" t="s">
        <v>4238</v>
      </c>
      <c r="D3128" s="1">
        <v>143466</v>
      </c>
      <c r="E3128" s="1">
        <v>8199</v>
      </c>
      <c r="F3128" s="1" t="s">
        <v>4314</v>
      </c>
      <c r="G3128" s="1" t="s">
        <v>4283</v>
      </c>
      <c r="H3128" s="1" t="s">
        <v>141</v>
      </c>
      <c r="I3128" s="1" t="s">
        <v>65</v>
      </c>
      <c r="J3128" s="1">
        <v>3</v>
      </c>
      <c r="K3128" s="1" t="s">
        <v>142</v>
      </c>
      <c r="L3128" s="1" t="s">
        <v>153</v>
      </c>
      <c r="M3128" s="1" t="s">
        <v>1256</v>
      </c>
      <c r="N3128" s="1" t="str">
        <f>HYPERLINK("https://klocwork.india.ti.com:443/review/insight-review.html#issuedetails_goto:problemid=143466,project=MCU_PLUS_SDK_AM263X,searchquery=taxonomy:'C and C++' build:Build_Apr_13_2023_11_11_AM grouping:off ","KW Issue Link")</f>
        <v>KW Issue Link</v>
      </c>
      <c r="O3128" s="1" t="s">
        <v>1083</v>
      </c>
    </row>
    <row r="3129" spans="1:15" ht="75" x14ac:dyDescent="0.25">
      <c r="A3129" s="1" t="s">
        <v>1268</v>
      </c>
      <c r="B3129" s="1"/>
      <c r="C3129" s="1" t="s">
        <v>4238</v>
      </c>
      <c r="D3129" s="1">
        <v>143467</v>
      </c>
      <c r="E3129" s="1">
        <v>607</v>
      </c>
      <c r="F3129" s="1" t="s">
        <v>4315</v>
      </c>
      <c r="G3129" s="1" t="s">
        <v>4253</v>
      </c>
      <c r="H3129" s="1" t="s">
        <v>141</v>
      </c>
      <c r="I3129" s="1" t="s">
        <v>65</v>
      </c>
      <c r="J3129" s="1">
        <v>3</v>
      </c>
      <c r="K3129" s="1" t="s">
        <v>142</v>
      </c>
      <c r="L3129" s="1" t="s">
        <v>153</v>
      </c>
      <c r="M3129" s="1" t="s">
        <v>1256</v>
      </c>
      <c r="N3129" s="1" t="str">
        <f>HYPERLINK("https://klocwork.india.ti.com:443/review/insight-review.html#issuedetails_goto:problemid=143467,project=MCU_PLUS_SDK_AM263X,searchquery=taxonomy:'C and C++' build:Build_Apr_13_2023_11_11_AM grouping:off ","KW Issue Link")</f>
        <v>KW Issue Link</v>
      </c>
      <c r="O3129" s="1" t="s">
        <v>1083</v>
      </c>
    </row>
    <row r="3130" spans="1:15" ht="75" x14ac:dyDescent="0.25">
      <c r="A3130" s="1" t="s">
        <v>1268</v>
      </c>
      <c r="B3130" s="1"/>
      <c r="C3130" s="1" t="s">
        <v>4238</v>
      </c>
      <c r="D3130" s="1">
        <v>143468</v>
      </c>
      <c r="E3130" s="1">
        <v>1436</v>
      </c>
      <c r="F3130" s="1" t="s">
        <v>4316</v>
      </c>
      <c r="G3130" s="1" t="s">
        <v>4257</v>
      </c>
      <c r="H3130" s="1" t="s">
        <v>141</v>
      </c>
      <c r="I3130" s="1" t="s">
        <v>65</v>
      </c>
      <c r="J3130" s="1">
        <v>3</v>
      </c>
      <c r="K3130" s="1" t="s">
        <v>142</v>
      </c>
      <c r="L3130" s="1" t="s">
        <v>153</v>
      </c>
      <c r="M3130" s="1" t="s">
        <v>1256</v>
      </c>
      <c r="N3130" s="1" t="str">
        <f>HYPERLINK("https://klocwork.india.ti.com:443/review/insight-review.html#issuedetails_goto:problemid=143468,project=MCU_PLUS_SDK_AM263X,searchquery=taxonomy:'C and C++' build:Build_Apr_13_2023_11_11_AM grouping:off ","KW Issue Link")</f>
        <v>KW Issue Link</v>
      </c>
      <c r="O3130" s="1" t="s">
        <v>1083</v>
      </c>
    </row>
    <row r="3131" spans="1:15" ht="75" x14ac:dyDescent="0.25">
      <c r="A3131" s="1" t="s">
        <v>1268</v>
      </c>
      <c r="B3131" s="1"/>
      <c r="C3131" s="1" t="s">
        <v>4238</v>
      </c>
      <c r="D3131" s="1">
        <v>143469</v>
      </c>
      <c r="E3131" s="1">
        <v>1782</v>
      </c>
      <c r="F3131" s="1" t="s">
        <v>4317</v>
      </c>
      <c r="G3131" s="1" t="s">
        <v>4259</v>
      </c>
      <c r="H3131" s="1" t="s">
        <v>141</v>
      </c>
      <c r="I3131" s="1" t="s">
        <v>65</v>
      </c>
      <c r="J3131" s="1">
        <v>3</v>
      </c>
      <c r="K3131" s="1" t="s">
        <v>142</v>
      </c>
      <c r="L3131" s="1" t="s">
        <v>153</v>
      </c>
      <c r="M3131" s="1" t="s">
        <v>1256</v>
      </c>
      <c r="N3131" s="1" t="str">
        <f>HYPERLINK("https://klocwork.india.ti.com:443/review/insight-review.html#issuedetails_goto:problemid=143469,project=MCU_PLUS_SDK_AM263X,searchquery=taxonomy:'C and C++' build:Build_Apr_13_2023_11_11_AM grouping:off ","KW Issue Link")</f>
        <v>KW Issue Link</v>
      </c>
      <c r="O3131" s="1" t="s">
        <v>1083</v>
      </c>
    </row>
    <row r="3132" spans="1:15" ht="75" x14ac:dyDescent="0.25">
      <c r="A3132" s="1" t="s">
        <v>1268</v>
      </c>
      <c r="B3132" s="1"/>
      <c r="C3132" s="1" t="s">
        <v>4238</v>
      </c>
      <c r="D3132" s="1">
        <v>143470</v>
      </c>
      <c r="E3132" s="1">
        <v>2527</v>
      </c>
      <c r="F3132" s="1" t="s">
        <v>4318</v>
      </c>
      <c r="G3132" s="1" t="s">
        <v>4261</v>
      </c>
      <c r="H3132" s="1" t="s">
        <v>141</v>
      </c>
      <c r="I3132" s="1" t="s">
        <v>65</v>
      </c>
      <c r="J3132" s="1">
        <v>3</v>
      </c>
      <c r="K3132" s="1" t="s">
        <v>142</v>
      </c>
      <c r="L3132" s="1" t="s">
        <v>153</v>
      </c>
      <c r="M3132" s="1" t="s">
        <v>1256</v>
      </c>
      <c r="N3132" s="1" t="str">
        <f>HYPERLINK("https://klocwork.india.ti.com:443/review/insight-review.html#issuedetails_goto:problemid=143470,project=MCU_PLUS_SDK_AM263X,searchquery=taxonomy:'C and C++' build:Build_Apr_13_2023_11_11_AM grouping:off ","KW Issue Link")</f>
        <v>KW Issue Link</v>
      </c>
      <c r="O3132" s="1" t="s">
        <v>1083</v>
      </c>
    </row>
    <row r="3133" spans="1:15" ht="75" x14ac:dyDescent="0.25">
      <c r="A3133" s="1" t="s">
        <v>1268</v>
      </c>
      <c r="B3133" s="1"/>
      <c r="C3133" s="1" t="s">
        <v>4238</v>
      </c>
      <c r="D3133" s="1">
        <v>143471</v>
      </c>
      <c r="E3133" s="1">
        <v>2945</v>
      </c>
      <c r="F3133" s="1" t="s">
        <v>4319</v>
      </c>
      <c r="G3133" s="1" t="s">
        <v>4263</v>
      </c>
      <c r="H3133" s="1" t="s">
        <v>141</v>
      </c>
      <c r="I3133" s="1" t="s">
        <v>65</v>
      </c>
      <c r="J3133" s="1">
        <v>3</v>
      </c>
      <c r="K3133" s="1" t="s">
        <v>142</v>
      </c>
      <c r="L3133" s="1" t="s">
        <v>153</v>
      </c>
      <c r="M3133" s="1" t="s">
        <v>1256</v>
      </c>
      <c r="N3133" s="1" t="str">
        <f>HYPERLINK("https://klocwork.india.ti.com:443/review/insight-review.html#issuedetails_goto:problemid=143471,project=MCU_PLUS_SDK_AM263X,searchquery=taxonomy:'C and C++' build:Build_Apr_13_2023_11_11_AM grouping:off ","KW Issue Link")</f>
        <v>KW Issue Link</v>
      </c>
      <c r="O3133" s="1" t="s">
        <v>1083</v>
      </c>
    </row>
    <row r="3134" spans="1:15" ht="75" x14ac:dyDescent="0.25">
      <c r="A3134" s="1" t="s">
        <v>1268</v>
      </c>
      <c r="B3134" s="1"/>
      <c r="C3134" s="1" t="s">
        <v>4238</v>
      </c>
      <c r="D3134" s="1">
        <v>143472</v>
      </c>
      <c r="E3134" s="1">
        <v>3331</v>
      </c>
      <c r="F3134" s="1" t="s">
        <v>4320</v>
      </c>
      <c r="G3134" s="1" t="s">
        <v>4267</v>
      </c>
      <c r="H3134" s="1" t="s">
        <v>141</v>
      </c>
      <c r="I3134" s="1" t="s">
        <v>65</v>
      </c>
      <c r="J3134" s="1">
        <v>3</v>
      </c>
      <c r="K3134" s="1" t="s">
        <v>142</v>
      </c>
      <c r="L3134" s="1" t="s">
        <v>153</v>
      </c>
      <c r="M3134" s="1" t="s">
        <v>1256</v>
      </c>
      <c r="N3134" s="1" t="str">
        <f>HYPERLINK("https://klocwork.india.ti.com:443/review/insight-review.html#issuedetails_goto:problemid=143472,project=MCU_PLUS_SDK_AM263X,searchquery=taxonomy:'C and C++' build:Build_Apr_13_2023_11_11_AM grouping:off ","KW Issue Link")</f>
        <v>KW Issue Link</v>
      </c>
      <c r="O3134" s="1" t="s">
        <v>1083</v>
      </c>
    </row>
    <row r="3135" spans="1:15" ht="75" x14ac:dyDescent="0.25">
      <c r="A3135" s="1" t="s">
        <v>1268</v>
      </c>
      <c r="B3135" s="1"/>
      <c r="C3135" s="1" t="s">
        <v>4238</v>
      </c>
      <c r="D3135" s="1">
        <v>143473</v>
      </c>
      <c r="E3135" s="1">
        <v>4532</v>
      </c>
      <c r="F3135" s="1" t="s">
        <v>4321</v>
      </c>
      <c r="G3135" s="1" t="s">
        <v>4273</v>
      </c>
      <c r="H3135" s="1" t="s">
        <v>141</v>
      </c>
      <c r="I3135" s="1" t="s">
        <v>65</v>
      </c>
      <c r="J3135" s="1">
        <v>3</v>
      </c>
      <c r="K3135" s="1" t="s">
        <v>142</v>
      </c>
      <c r="L3135" s="1" t="s">
        <v>153</v>
      </c>
      <c r="M3135" s="1" t="s">
        <v>1256</v>
      </c>
      <c r="N3135" s="1" t="str">
        <f>HYPERLINK("https://klocwork.india.ti.com:443/review/insight-review.html#issuedetails_goto:problemid=143473,project=MCU_PLUS_SDK_AM263X,searchquery=taxonomy:'C and C++' build:Build_Apr_13_2023_11_11_AM grouping:off ","KW Issue Link")</f>
        <v>KW Issue Link</v>
      </c>
      <c r="O3135" s="1" t="s">
        <v>1083</v>
      </c>
    </row>
    <row r="3136" spans="1:15" ht="75" x14ac:dyDescent="0.25">
      <c r="A3136" s="1" t="s">
        <v>1268</v>
      </c>
      <c r="B3136" s="1"/>
      <c r="C3136" s="1" t="s">
        <v>4238</v>
      </c>
      <c r="D3136" s="1">
        <v>143474</v>
      </c>
      <c r="E3136" s="1">
        <v>5432</v>
      </c>
      <c r="F3136" s="1" t="s">
        <v>4322</v>
      </c>
      <c r="G3136" s="1" t="s">
        <v>4279</v>
      </c>
      <c r="H3136" s="1" t="s">
        <v>141</v>
      </c>
      <c r="I3136" s="1" t="s">
        <v>65</v>
      </c>
      <c r="J3136" s="1">
        <v>3</v>
      </c>
      <c r="K3136" s="1" t="s">
        <v>142</v>
      </c>
      <c r="L3136" s="1" t="s">
        <v>153</v>
      </c>
      <c r="M3136" s="1" t="s">
        <v>1256</v>
      </c>
      <c r="N3136" s="1" t="str">
        <f>HYPERLINK("https://klocwork.india.ti.com:443/review/insight-review.html#issuedetails_goto:problemid=143474,project=MCU_PLUS_SDK_AM263X,searchquery=taxonomy:'C and C++' build:Build_Apr_13_2023_11_11_AM grouping:off ","KW Issue Link")</f>
        <v>KW Issue Link</v>
      </c>
      <c r="O3136" s="1" t="s">
        <v>1083</v>
      </c>
    </row>
    <row r="3137" spans="1:15" ht="75" x14ac:dyDescent="0.25">
      <c r="A3137" s="1" t="s">
        <v>1268</v>
      </c>
      <c r="B3137" s="1"/>
      <c r="C3137" s="1" t="s">
        <v>4238</v>
      </c>
      <c r="D3137" s="1">
        <v>143475</v>
      </c>
      <c r="E3137" s="1">
        <v>6341</v>
      </c>
      <c r="F3137" s="1" t="s">
        <v>4323</v>
      </c>
      <c r="G3137" s="1" t="s">
        <v>4281</v>
      </c>
      <c r="H3137" s="1" t="s">
        <v>141</v>
      </c>
      <c r="I3137" s="1" t="s">
        <v>65</v>
      </c>
      <c r="J3137" s="1">
        <v>3</v>
      </c>
      <c r="K3137" s="1" t="s">
        <v>142</v>
      </c>
      <c r="L3137" s="1" t="s">
        <v>153</v>
      </c>
      <c r="M3137" s="1" t="s">
        <v>1256</v>
      </c>
      <c r="N3137" s="1" t="str">
        <f>HYPERLINK("https://klocwork.india.ti.com:443/review/insight-review.html#issuedetails_goto:problemid=143475,project=MCU_PLUS_SDK_AM263X,searchquery=taxonomy:'C and C++' build:Build_Apr_13_2023_11_11_AM grouping:off ","KW Issue Link")</f>
        <v>KW Issue Link</v>
      </c>
      <c r="O3137" s="1" t="s">
        <v>1083</v>
      </c>
    </row>
    <row r="3138" spans="1:15" ht="75" x14ac:dyDescent="0.25">
      <c r="A3138" s="1" t="s">
        <v>1268</v>
      </c>
      <c r="B3138" s="1"/>
      <c r="C3138" s="1" t="s">
        <v>4238</v>
      </c>
      <c r="D3138" s="1">
        <v>143476</v>
      </c>
      <c r="E3138" s="1">
        <v>6608</v>
      </c>
      <c r="F3138" s="1" t="s">
        <v>4324</v>
      </c>
      <c r="G3138" s="1" t="s">
        <v>4325</v>
      </c>
      <c r="H3138" s="1" t="s">
        <v>141</v>
      </c>
      <c r="I3138" s="1" t="s">
        <v>65</v>
      </c>
      <c r="J3138" s="1">
        <v>3</v>
      </c>
      <c r="K3138" s="1" t="s">
        <v>142</v>
      </c>
      <c r="L3138" s="1" t="s">
        <v>153</v>
      </c>
      <c r="M3138" s="1" t="s">
        <v>1256</v>
      </c>
      <c r="N3138" s="1" t="str">
        <f>HYPERLINK("https://klocwork.india.ti.com:443/review/insight-review.html#issuedetails_goto:problemid=143476,project=MCU_PLUS_SDK_AM263X,searchquery=taxonomy:'C and C++' build:Build_Apr_13_2023_11_11_AM grouping:off ","KW Issue Link")</f>
        <v>KW Issue Link</v>
      </c>
      <c r="O3138" s="1" t="s">
        <v>1083</v>
      </c>
    </row>
    <row r="3139" spans="1:15" ht="75" x14ac:dyDescent="0.25">
      <c r="A3139" s="1" t="s">
        <v>1268</v>
      </c>
      <c r="B3139" s="1"/>
      <c r="C3139" s="1" t="s">
        <v>4238</v>
      </c>
      <c r="D3139" s="1">
        <v>143477</v>
      </c>
      <c r="E3139" s="1">
        <v>8199</v>
      </c>
      <c r="F3139" s="1" t="s">
        <v>4326</v>
      </c>
      <c r="G3139" s="1" t="s">
        <v>4283</v>
      </c>
      <c r="H3139" s="1" t="s">
        <v>141</v>
      </c>
      <c r="I3139" s="1" t="s">
        <v>65</v>
      </c>
      <c r="J3139" s="1">
        <v>3</v>
      </c>
      <c r="K3139" s="1" t="s">
        <v>142</v>
      </c>
      <c r="L3139" s="1" t="s">
        <v>153</v>
      </c>
      <c r="M3139" s="1" t="s">
        <v>1256</v>
      </c>
      <c r="N3139" s="1" t="str">
        <f>HYPERLINK("https://klocwork.india.ti.com:443/review/insight-review.html#issuedetails_goto:problemid=143477,project=MCU_PLUS_SDK_AM263X,searchquery=taxonomy:'C and C++' build:Build_Apr_13_2023_11_11_AM grouping:off ","KW Issue Link")</f>
        <v>KW Issue Link</v>
      </c>
      <c r="O3139" s="1" t="s">
        <v>1083</v>
      </c>
    </row>
    <row r="3140" spans="1:15" ht="75" x14ac:dyDescent="0.25">
      <c r="A3140" s="1" t="s">
        <v>1268</v>
      </c>
      <c r="B3140" s="1"/>
      <c r="C3140" s="1" t="s">
        <v>4238</v>
      </c>
      <c r="D3140" s="1">
        <v>143478</v>
      </c>
      <c r="E3140" s="1">
        <v>9576</v>
      </c>
      <c r="F3140" s="1" t="s">
        <v>4327</v>
      </c>
      <c r="G3140" s="1" t="s">
        <v>4297</v>
      </c>
      <c r="H3140" s="1" t="s">
        <v>141</v>
      </c>
      <c r="I3140" s="1" t="s">
        <v>65</v>
      </c>
      <c r="J3140" s="1">
        <v>3</v>
      </c>
      <c r="K3140" s="1" t="s">
        <v>142</v>
      </c>
      <c r="L3140" s="1" t="s">
        <v>153</v>
      </c>
      <c r="M3140" s="1" t="s">
        <v>1256</v>
      </c>
      <c r="N3140" s="1" t="str">
        <f>HYPERLINK("https://klocwork.india.ti.com:443/review/insight-review.html#issuedetails_goto:problemid=143478,project=MCU_PLUS_SDK_AM263X,searchquery=taxonomy:'C and C++' build:Build_Apr_13_2023_11_11_AM grouping:off ","KW Issue Link")</f>
        <v>KW Issue Link</v>
      </c>
      <c r="O3140" s="1" t="s">
        <v>1083</v>
      </c>
    </row>
    <row r="3141" spans="1:15" ht="75" x14ac:dyDescent="0.25">
      <c r="A3141" s="1" t="s">
        <v>155</v>
      </c>
      <c r="B3141" s="1"/>
      <c r="C3141" s="1" t="s">
        <v>4238</v>
      </c>
      <c r="D3141" s="1">
        <v>143674</v>
      </c>
      <c r="E3141" s="1">
        <v>2288</v>
      </c>
      <c r="F3141" s="1" t="s">
        <v>156</v>
      </c>
      <c r="G3141" s="1" t="s">
        <v>4259</v>
      </c>
      <c r="H3141" s="1" t="s">
        <v>141</v>
      </c>
      <c r="I3141" s="1" t="s">
        <v>65</v>
      </c>
      <c r="J3141" s="1">
        <v>3</v>
      </c>
      <c r="K3141" s="1" t="s">
        <v>142</v>
      </c>
      <c r="L3141" s="1" t="s">
        <v>153</v>
      </c>
      <c r="M3141" s="1" t="s">
        <v>28</v>
      </c>
      <c r="N3141" s="1" t="str">
        <f>HYPERLINK("https://klocwork.india.ti.com:443/review/insight-review.html#issuedetails_goto:problemid=143674,project=MCU_PLUS_SDK_AM263X,searchquery=taxonomy:'C and C++' build:Build_Apr_13_2023_11_11_AM grouping:off ","KW Issue Link")</f>
        <v>KW Issue Link</v>
      </c>
      <c r="O3141" s="1" t="s">
        <v>1083</v>
      </c>
    </row>
    <row r="3142" spans="1:15" ht="75" x14ac:dyDescent="0.25">
      <c r="A3142" s="1" t="s">
        <v>155</v>
      </c>
      <c r="B3142" s="1"/>
      <c r="C3142" s="1" t="s">
        <v>4238</v>
      </c>
      <c r="D3142" s="1">
        <v>143675</v>
      </c>
      <c r="E3142" s="1">
        <v>2319</v>
      </c>
      <c r="F3142" s="1" t="s">
        <v>156</v>
      </c>
      <c r="G3142" s="1" t="s">
        <v>4259</v>
      </c>
      <c r="H3142" s="1" t="s">
        <v>141</v>
      </c>
      <c r="I3142" s="1" t="s">
        <v>65</v>
      </c>
      <c r="J3142" s="1">
        <v>3</v>
      </c>
      <c r="K3142" s="1" t="s">
        <v>142</v>
      </c>
      <c r="L3142" s="1" t="s">
        <v>153</v>
      </c>
      <c r="M3142" s="1" t="s">
        <v>28</v>
      </c>
      <c r="N3142" s="1" t="str">
        <f>HYPERLINK("https://klocwork.india.ti.com:443/review/insight-review.html#issuedetails_goto:problemid=143675,project=MCU_PLUS_SDK_AM263X,searchquery=taxonomy:'C and C++' build:Build_Apr_13_2023_11_11_AM grouping:off ","KW Issue Link")</f>
        <v>KW Issue Link</v>
      </c>
      <c r="O3142" s="1" t="s">
        <v>1083</v>
      </c>
    </row>
    <row r="3143" spans="1:15" ht="75" x14ac:dyDescent="0.25">
      <c r="A3143" s="1" t="s">
        <v>155</v>
      </c>
      <c r="B3143" s="1"/>
      <c r="C3143" s="1" t="s">
        <v>4238</v>
      </c>
      <c r="D3143" s="1">
        <v>143676</v>
      </c>
      <c r="E3143" s="1">
        <v>2998</v>
      </c>
      <c r="F3143" s="1" t="s">
        <v>156</v>
      </c>
      <c r="G3143" s="1" t="s">
        <v>4263</v>
      </c>
      <c r="H3143" s="1" t="s">
        <v>141</v>
      </c>
      <c r="I3143" s="1" t="s">
        <v>65</v>
      </c>
      <c r="J3143" s="1">
        <v>3</v>
      </c>
      <c r="K3143" s="1" t="s">
        <v>142</v>
      </c>
      <c r="L3143" s="1" t="s">
        <v>153</v>
      </c>
      <c r="M3143" s="1" t="s">
        <v>28</v>
      </c>
      <c r="N3143" s="1" t="str">
        <f>HYPERLINK("https://klocwork.india.ti.com:443/review/insight-review.html#issuedetails_goto:problemid=143676,project=MCU_PLUS_SDK_AM263X,searchquery=taxonomy:'C and C++' build:Build_Apr_13_2023_11_11_AM grouping:off ","KW Issue Link")</f>
        <v>KW Issue Link</v>
      </c>
      <c r="O3143" s="1" t="s">
        <v>1083</v>
      </c>
    </row>
    <row r="3144" spans="1:15" ht="75" x14ac:dyDescent="0.25">
      <c r="A3144" s="1" t="s">
        <v>155</v>
      </c>
      <c r="B3144" s="1"/>
      <c r="C3144" s="1" t="s">
        <v>4238</v>
      </c>
      <c r="D3144" s="1">
        <v>143677</v>
      </c>
      <c r="E3144" s="1">
        <v>3023</v>
      </c>
      <c r="F3144" s="1" t="s">
        <v>156</v>
      </c>
      <c r="G3144" s="1" t="s">
        <v>4263</v>
      </c>
      <c r="H3144" s="1" t="s">
        <v>141</v>
      </c>
      <c r="I3144" s="1" t="s">
        <v>65</v>
      </c>
      <c r="J3144" s="1">
        <v>3</v>
      </c>
      <c r="K3144" s="1" t="s">
        <v>142</v>
      </c>
      <c r="L3144" s="1" t="s">
        <v>153</v>
      </c>
      <c r="M3144" s="1" t="s">
        <v>28</v>
      </c>
      <c r="N3144" s="1" t="str">
        <f>HYPERLINK("https://klocwork.india.ti.com:443/review/insight-review.html#issuedetails_goto:problemid=143677,project=MCU_PLUS_SDK_AM263X,searchquery=taxonomy:'C and C++' build:Build_Apr_13_2023_11_11_AM grouping:off ","KW Issue Link")</f>
        <v>KW Issue Link</v>
      </c>
      <c r="O3144" s="1" t="s">
        <v>1083</v>
      </c>
    </row>
    <row r="3145" spans="1:15" ht="75" x14ac:dyDescent="0.25">
      <c r="A3145" s="1" t="s">
        <v>155</v>
      </c>
      <c r="B3145" s="1"/>
      <c r="C3145" s="1" t="s">
        <v>4238</v>
      </c>
      <c r="D3145" s="1">
        <v>143678</v>
      </c>
      <c r="E3145" s="1">
        <v>3458</v>
      </c>
      <c r="F3145" s="1" t="s">
        <v>156</v>
      </c>
      <c r="G3145" s="1" t="s">
        <v>4267</v>
      </c>
      <c r="H3145" s="1" t="s">
        <v>141</v>
      </c>
      <c r="I3145" s="1" t="s">
        <v>65</v>
      </c>
      <c r="J3145" s="1">
        <v>3</v>
      </c>
      <c r="K3145" s="1" t="s">
        <v>142</v>
      </c>
      <c r="L3145" s="1" t="s">
        <v>153</v>
      </c>
      <c r="M3145" s="1" t="s">
        <v>28</v>
      </c>
      <c r="N3145" s="1" t="str">
        <f>HYPERLINK("https://klocwork.india.ti.com:443/review/insight-review.html#issuedetails_goto:problemid=143678,project=MCU_PLUS_SDK_AM263X,searchquery=taxonomy:'C and C++' build:Build_Apr_13_2023_11_11_AM grouping:off ","KW Issue Link")</f>
        <v>KW Issue Link</v>
      </c>
      <c r="O3145" s="1" t="s">
        <v>1083</v>
      </c>
    </row>
    <row r="3146" spans="1:15" ht="75" x14ac:dyDescent="0.25">
      <c r="A3146" s="1" t="s">
        <v>155</v>
      </c>
      <c r="B3146" s="1"/>
      <c r="C3146" s="1" t="s">
        <v>4238</v>
      </c>
      <c r="D3146" s="1">
        <v>143679</v>
      </c>
      <c r="E3146" s="1">
        <v>5840</v>
      </c>
      <c r="F3146" s="1" t="s">
        <v>156</v>
      </c>
      <c r="G3146" s="1" t="s">
        <v>4291</v>
      </c>
      <c r="H3146" s="1" t="s">
        <v>141</v>
      </c>
      <c r="I3146" s="1" t="s">
        <v>65</v>
      </c>
      <c r="J3146" s="1">
        <v>3</v>
      </c>
      <c r="K3146" s="1" t="s">
        <v>142</v>
      </c>
      <c r="L3146" s="1" t="s">
        <v>153</v>
      </c>
      <c r="M3146" s="1" t="s">
        <v>28</v>
      </c>
      <c r="N3146" s="1" t="str">
        <f>HYPERLINK("https://klocwork.india.ti.com:443/review/insight-review.html#issuedetails_goto:problemid=143679,project=MCU_PLUS_SDK_AM263X,searchquery=taxonomy:'C and C++' build:Build_Apr_13_2023_11_11_AM grouping:off ","KW Issue Link")</f>
        <v>KW Issue Link</v>
      </c>
      <c r="O3146" s="1" t="s">
        <v>1083</v>
      </c>
    </row>
    <row r="3147" spans="1:15" ht="75" x14ac:dyDescent="0.25">
      <c r="A3147" s="1" t="s">
        <v>155</v>
      </c>
      <c r="B3147" s="1"/>
      <c r="C3147" s="1" t="s">
        <v>4238</v>
      </c>
      <c r="D3147" s="1">
        <v>143680</v>
      </c>
      <c r="E3147" s="1">
        <v>5886</v>
      </c>
      <c r="F3147" s="1" t="s">
        <v>156</v>
      </c>
      <c r="G3147" s="1" t="s">
        <v>4293</v>
      </c>
      <c r="H3147" s="1" t="s">
        <v>141</v>
      </c>
      <c r="I3147" s="1" t="s">
        <v>65</v>
      </c>
      <c r="J3147" s="1">
        <v>3</v>
      </c>
      <c r="K3147" s="1" t="s">
        <v>142</v>
      </c>
      <c r="L3147" s="1" t="s">
        <v>153</v>
      </c>
      <c r="M3147" s="1" t="s">
        <v>28</v>
      </c>
      <c r="N3147" s="1" t="str">
        <f>HYPERLINK("https://klocwork.india.ti.com:443/review/insight-review.html#issuedetails_goto:problemid=143680,project=MCU_PLUS_SDK_AM263X,searchquery=taxonomy:'C and C++' build:Build_Apr_13_2023_11_11_AM grouping:off ","KW Issue Link")</f>
        <v>KW Issue Link</v>
      </c>
      <c r="O3147" s="1" t="s">
        <v>1083</v>
      </c>
    </row>
    <row r="3148" spans="1:15" ht="75" x14ac:dyDescent="0.25">
      <c r="A3148" s="1" t="s">
        <v>155</v>
      </c>
      <c r="B3148" s="1"/>
      <c r="C3148" s="1" t="s">
        <v>4238</v>
      </c>
      <c r="D3148" s="1">
        <v>143681</v>
      </c>
      <c r="E3148" s="1">
        <v>5942</v>
      </c>
      <c r="F3148" s="1" t="s">
        <v>156</v>
      </c>
      <c r="G3148" s="1" t="s">
        <v>4295</v>
      </c>
      <c r="H3148" s="1" t="s">
        <v>141</v>
      </c>
      <c r="I3148" s="1" t="s">
        <v>65</v>
      </c>
      <c r="J3148" s="1">
        <v>3</v>
      </c>
      <c r="K3148" s="1" t="s">
        <v>142</v>
      </c>
      <c r="L3148" s="1" t="s">
        <v>153</v>
      </c>
      <c r="M3148" s="1" t="s">
        <v>28</v>
      </c>
      <c r="N3148" s="1" t="str">
        <f>HYPERLINK("https://klocwork.india.ti.com:443/review/insight-review.html#issuedetails_goto:problemid=143681,project=MCU_PLUS_SDK_AM263X,searchquery=taxonomy:'C and C++' build:Build_Apr_13_2023_11_11_AM grouping:off ","KW Issue Link")</f>
        <v>KW Issue Link</v>
      </c>
      <c r="O3148" s="1" t="s">
        <v>1083</v>
      </c>
    </row>
    <row r="3149" spans="1:15" ht="75" x14ac:dyDescent="0.25">
      <c r="A3149" s="1" t="s">
        <v>155</v>
      </c>
      <c r="B3149" s="1"/>
      <c r="C3149" s="1" t="s">
        <v>4238</v>
      </c>
      <c r="D3149" s="1">
        <v>143682</v>
      </c>
      <c r="E3149" s="1">
        <v>9602</v>
      </c>
      <c r="F3149" s="1" t="s">
        <v>156</v>
      </c>
      <c r="G3149" s="1" t="s">
        <v>4297</v>
      </c>
      <c r="H3149" s="1" t="s">
        <v>141</v>
      </c>
      <c r="I3149" s="1" t="s">
        <v>65</v>
      </c>
      <c r="J3149" s="1">
        <v>3</v>
      </c>
      <c r="K3149" s="1" t="s">
        <v>142</v>
      </c>
      <c r="L3149" s="1" t="s">
        <v>153</v>
      </c>
      <c r="M3149" s="1" t="s">
        <v>28</v>
      </c>
      <c r="N3149" s="1" t="str">
        <f>HYPERLINK("https://klocwork.india.ti.com:443/review/insight-review.html#issuedetails_goto:problemid=143682,project=MCU_PLUS_SDK_AM263X,searchquery=taxonomy:'C and C++' build:Build_Apr_13_2023_11_11_AM grouping:off ","KW Issue Link")</f>
        <v>KW Issue Link</v>
      </c>
      <c r="O3149" s="1" t="s">
        <v>1083</v>
      </c>
    </row>
    <row r="3150" spans="1:15" ht="75" x14ac:dyDescent="0.25">
      <c r="A3150" s="1" t="s">
        <v>155</v>
      </c>
      <c r="B3150" s="1"/>
      <c r="C3150" s="1" t="s">
        <v>4238</v>
      </c>
      <c r="D3150" s="1">
        <v>143683</v>
      </c>
      <c r="E3150" s="1">
        <v>9608</v>
      </c>
      <c r="F3150" s="1" t="s">
        <v>156</v>
      </c>
      <c r="G3150" s="1" t="s">
        <v>4297</v>
      </c>
      <c r="H3150" s="1" t="s">
        <v>141</v>
      </c>
      <c r="I3150" s="1" t="s">
        <v>65</v>
      </c>
      <c r="J3150" s="1">
        <v>3</v>
      </c>
      <c r="K3150" s="1" t="s">
        <v>142</v>
      </c>
      <c r="L3150" s="1" t="s">
        <v>153</v>
      </c>
      <c r="M3150" s="1" t="s">
        <v>28</v>
      </c>
      <c r="N3150" s="1" t="str">
        <f>HYPERLINK("https://klocwork.india.ti.com:443/review/insight-review.html#issuedetails_goto:problemid=143683,project=MCU_PLUS_SDK_AM263X,searchquery=taxonomy:'C and C++' build:Build_Apr_13_2023_11_11_AM grouping:off ","KW Issue Link")</f>
        <v>KW Issue Link</v>
      </c>
      <c r="O3150" s="1" t="s">
        <v>1083</v>
      </c>
    </row>
    <row r="3151" spans="1:15" ht="75" x14ac:dyDescent="0.25">
      <c r="A3151" s="1" t="s">
        <v>155</v>
      </c>
      <c r="B3151" s="1"/>
      <c r="C3151" s="1" t="s">
        <v>4238</v>
      </c>
      <c r="D3151" s="1">
        <v>143684</v>
      </c>
      <c r="E3151" s="1">
        <v>9613</v>
      </c>
      <c r="F3151" s="1" t="s">
        <v>156</v>
      </c>
      <c r="G3151" s="1" t="s">
        <v>4297</v>
      </c>
      <c r="H3151" s="1" t="s">
        <v>141</v>
      </c>
      <c r="I3151" s="1" t="s">
        <v>65</v>
      </c>
      <c r="J3151" s="1">
        <v>3</v>
      </c>
      <c r="K3151" s="1" t="s">
        <v>142</v>
      </c>
      <c r="L3151" s="1" t="s">
        <v>153</v>
      </c>
      <c r="M3151" s="1" t="s">
        <v>28</v>
      </c>
      <c r="N3151" s="1" t="str">
        <f>HYPERLINK("https://klocwork.india.ti.com:443/review/insight-review.html#issuedetails_goto:problemid=143684,project=MCU_PLUS_SDK_AM263X,searchquery=taxonomy:'C and C++' build:Build_Apr_13_2023_11_11_AM grouping:off ","KW Issue Link")</f>
        <v>KW Issue Link</v>
      </c>
      <c r="O3151" s="1" t="s">
        <v>1083</v>
      </c>
    </row>
    <row r="3152" spans="1:15" ht="75" x14ac:dyDescent="0.25">
      <c r="A3152" s="1" t="s">
        <v>155</v>
      </c>
      <c r="B3152" s="1"/>
      <c r="C3152" s="1" t="s">
        <v>4238</v>
      </c>
      <c r="D3152" s="1">
        <v>143685</v>
      </c>
      <c r="E3152" s="1">
        <v>9618</v>
      </c>
      <c r="F3152" s="1" t="s">
        <v>156</v>
      </c>
      <c r="G3152" s="1" t="s">
        <v>4297</v>
      </c>
      <c r="H3152" s="1" t="s">
        <v>141</v>
      </c>
      <c r="I3152" s="1" t="s">
        <v>65</v>
      </c>
      <c r="J3152" s="1">
        <v>3</v>
      </c>
      <c r="K3152" s="1" t="s">
        <v>142</v>
      </c>
      <c r="L3152" s="1" t="s">
        <v>153</v>
      </c>
      <c r="M3152" s="1" t="s">
        <v>28</v>
      </c>
      <c r="N3152" s="1" t="str">
        <f>HYPERLINK("https://klocwork.india.ti.com:443/review/insight-review.html#issuedetails_goto:problemid=143685,project=MCU_PLUS_SDK_AM263X,searchquery=taxonomy:'C and C++' build:Build_Apr_13_2023_11_11_AM grouping:off ","KW Issue Link")</f>
        <v>KW Issue Link</v>
      </c>
      <c r="O3152" s="1" t="s">
        <v>1083</v>
      </c>
    </row>
    <row r="3153" spans="1:15" ht="75" x14ac:dyDescent="0.25">
      <c r="A3153" s="1" t="s">
        <v>155</v>
      </c>
      <c r="B3153" s="1"/>
      <c r="C3153" s="1" t="s">
        <v>4238</v>
      </c>
      <c r="D3153" s="1">
        <v>143686</v>
      </c>
      <c r="E3153" s="1">
        <v>9624</v>
      </c>
      <c r="F3153" s="1" t="s">
        <v>156</v>
      </c>
      <c r="G3153" s="1" t="s">
        <v>4297</v>
      </c>
      <c r="H3153" s="1" t="s">
        <v>141</v>
      </c>
      <c r="I3153" s="1" t="s">
        <v>65</v>
      </c>
      <c r="J3153" s="1">
        <v>3</v>
      </c>
      <c r="K3153" s="1" t="s">
        <v>142</v>
      </c>
      <c r="L3153" s="1" t="s">
        <v>153</v>
      </c>
      <c r="M3153" s="1" t="s">
        <v>28</v>
      </c>
      <c r="N3153" s="1" t="str">
        <f>HYPERLINK("https://klocwork.india.ti.com:443/review/insight-review.html#issuedetails_goto:problemid=143686,project=MCU_PLUS_SDK_AM263X,searchquery=taxonomy:'C and C++' build:Build_Apr_13_2023_11_11_AM grouping:off ","KW Issue Link")</f>
        <v>KW Issue Link</v>
      </c>
      <c r="O3153" s="1" t="s">
        <v>1083</v>
      </c>
    </row>
    <row r="3154" spans="1:15" ht="75" x14ac:dyDescent="0.25">
      <c r="A3154" s="1" t="s">
        <v>157</v>
      </c>
      <c r="B3154" s="1"/>
      <c r="C3154" s="1" t="s">
        <v>4238</v>
      </c>
      <c r="D3154" s="1">
        <v>143693</v>
      </c>
      <c r="E3154" s="1">
        <v>2726</v>
      </c>
      <c r="F3154" s="1" t="s">
        <v>4328</v>
      </c>
      <c r="G3154" s="1" t="s">
        <v>4261</v>
      </c>
      <c r="H3154" s="1" t="s">
        <v>141</v>
      </c>
      <c r="I3154" s="1" t="s">
        <v>65</v>
      </c>
      <c r="J3154" s="1">
        <v>3</v>
      </c>
      <c r="K3154" s="1" t="s">
        <v>142</v>
      </c>
      <c r="L3154" s="1" t="s">
        <v>153</v>
      </c>
      <c r="M3154" s="1" t="s">
        <v>28</v>
      </c>
      <c r="N3154" s="1" t="str">
        <f>HYPERLINK("https://klocwork.india.ti.com:443/review/insight-review.html#issuedetails_goto:problemid=143693,project=MCU_PLUS_SDK_AM263X,searchquery=taxonomy:'C and C++' build:Build_Apr_13_2023_11_11_AM grouping:off ","KW Issue Link")</f>
        <v>KW Issue Link</v>
      </c>
      <c r="O3154" s="1" t="s">
        <v>1083</v>
      </c>
    </row>
    <row r="3155" spans="1:15" ht="75" x14ac:dyDescent="0.25">
      <c r="A3155" s="1" t="s">
        <v>157</v>
      </c>
      <c r="B3155" s="1"/>
      <c r="C3155" s="1" t="s">
        <v>4238</v>
      </c>
      <c r="D3155" s="1">
        <v>143694</v>
      </c>
      <c r="E3155" s="1">
        <v>2780</v>
      </c>
      <c r="F3155" s="1" t="s">
        <v>4329</v>
      </c>
      <c r="G3155" s="1" t="s">
        <v>4330</v>
      </c>
      <c r="H3155" s="1" t="s">
        <v>141</v>
      </c>
      <c r="I3155" s="1" t="s">
        <v>65</v>
      </c>
      <c r="J3155" s="1">
        <v>3</v>
      </c>
      <c r="K3155" s="1" t="s">
        <v>142</v>
      </c>
      <c r="L3155" s="1" t="s">
        <v>153</v>
      </c>
      <c r="M3155" s="1" t="s">
        <v>28</v>
      </c>
      <c r="N3155" s="1" t="str">
        <f>HYPERLINK("https://klocwork.india.ti.com:443/review/insight-review.html#issuedetails_goto:problemid=143694,project=MCU_PLUS_SDK_AM263X,searchquery=taxonomy:'C and C++' build:Build_Apr_13_2023_11_11_AM grouping:off ","KW Issue Link")</f>
        <v>KW Issue Link</v>
      </c>
      <c r="O3155" s="1" t="s">
        <v>1083</v>
      </c>
    </row>
    <row r="3156" spans="1:15" ht="75" x14ac:dyDescent="0.25">
      <c r="A3156" s="1" t="s">
        <v>157</v>
      </c>
      <c r="B3156" s="1"/>
      <c r="C3156" s="1" t="s">
        <v>4238</v>
      </c>
      <c r="D3156" s="1">
        <v>143695</v>
      </c>
      <c r="E3156" s="1">
        <v>3369</v>
      </c>
      <c r="F3156" s="1" t="s">
        <v>4331</v>
      </c>
      <c r="G3156" s="1" t="s">
        <v>4267</v>
      </c>
      <c r="H3156" s="1" t="s">
        <v>141</v>
      </c>
      <c r="I3156" s="1" t="s">
        <v>65</v>
      </c>
      <c r="J3156" s="1">
        <v>3</v>
      </c>
      <c r="K3156" s="1" t="s">
        <v>142</v>
      </c>
      <c r="L3156" s="1" t="s">
        <v>153</v>
      </c>
      <c r="M3156" s="1" t="s">
        <v>28</v>
      </c>
      <c r="N3156" s="1" t="str">
        <f>HYPERLINK("https://klocwork.india.ti.com:443/review/insight-review.html#issuedetails_goto:problemid=143695,project=MCU_PLUS_SDK_AM263X,searchquery=taxonomy:'C and C++' build:Build_Apr_13_2023_11_11_AM grouping:off ","KW Issue Link")</f>
        <v>KW Issue Link</v>
      </c>
      <c r="O3156" s="1" t="s">
        <v>1083</v>
      </c>
    </row>
    <row r="3157" spans="1:15" ht="75" x14ac:dyDescent="0.25">
      <c r="A3157" s="1" t="s">
        <v>157</v>
      </c>
      <c r="B3157" s="1"/>
      <c r="C3157" s="1" t="s">
        <v>4238</v>
      </c>
      <c r="D3157" s="1">
        <v>143696</v>
      </c>
      <c r="E3157" s="1">
        <v>4245</v>
      </c>
      <c r="F3157" s="1" t="s">
        <v>4331</v>
      </c>
      <c r="G3157" s="1" t="s">
        <v>4332</v>
      </c>
      <c r="H3157" s="1" t="s">
        <v>141</v>
      </c>
      <c r="I3157" s="1" t="s">
        <v>65</v>
      </c>
      <c r="J3157" s="1">
        <v>3</v>
      </c>
      <c r="K3157" s="1" t="s">
        <v>142</v>
      </c>
      <c r="L3157" s="1" t="s">
        <v>153</v>
      </c>
      <c r="M3157" s="1" t="s">
        <v>28</v>
      </c>
      <c r="N3157" s="1" t="str">
        <f>HYPERLINK("https://klocwork.india.ti.com:443/review/insight-review.html#issuedetails_goto:problemid=143696,project=MCU_PLUS_SDK_AM263X,searchquery=taxonomy:'C and C++' build:Build_Apr_13_2023_11_11_AM grouping:off ","KW Issue Link")</f>
        <v>KW Issue Link</v>
      </c>
      <c r="O3157" s="1" t="s">
        <v>1083</v>
      </c>
    </row>
    <row r="3158" spans="1:15" ht="75" x14ac:dyDescent="0.25">
      <c r="A3158" s="1" t="s">
        <v>157</v>
      </c>
      <c r="B3158" s="1"/>
      <c r="C3158" s="1" t="s">
        <v>4238</v>
      </c>
      <c r="D3158" s="1">
        <v>143697</v>
      </c>
      <c r="E3158" s="1">
        <v>7588</v>
      </c>
      <c r="F3158" s="1" t="s">
        <v>4333</v>
      </c>
      <c r="G3158" s="1" t="s">
        <v>4334</v>
      </c>
      <c r="H3158" s="1" t="s">
        <v>141</v>
      </c>
      <c r="I3158" s="1" t="s">
        <v>65</v>
      </c>
      <c r="J3158" s="1">
        <v>3</v>
      </c>
      <c r="K3158" s="1" t="s">
        <v>142</v>
      </c>
      <c r="L3158" s="1" t="s">
        <v>153</v>
      </c>
      <c r="M3158" s="1" t="s">
        <v>28</v>
      </c>
      <c r="N3158" s="1" t="str">
        <f>HYPERLINK("https://klocwork.india.ti.com:443/review/insight-review.html#issuedetails_goto:problemid=143697,project=MCU_PLUS_SDK_AM263X,searchquery=taxonomy:'C and C++' build:Build_Apr_13_2023_11_11_AM grouping:off ","KW Issue Link")</f>
        <v>KW Issue Link</v>
      </c>
      <c r="O3158" s="1" t="s">
        <v>1083</v>
      </c>
    </row>
    <row r="3159" spans="1:15" ht="75" x14ac:dyDescent="0.25">
      <c r="A3159" s="1" t="s">
        <v>4335</v>
      </c>
      <c r="B3159" s="1"/>
      <c r="C3159" s="1" t="s">
        <v>4238</v>
      </c>
      <c r="D3159" s="1">
        <v>143703</v>
      </c>
      <c r="E3159" s="1">
        <v>2970</v>
      </c>
      <c r="F3159" s="1" t="s">
        <v>4336</v>
      </c>
      <c r="G3159" s="1" t="s">
        <v>4263</v>
      </c>
      <c r="H3159" s="1" t="s">
        <v>141</v>
      </c>
      <c r="I3159" s="1" t="s">
        <v>66</v>
      </c>
      <c r="J3159" s="1">
        <v>4</v>
      </c>
      <c r="K3159" s="1" t="s">
        <v>142</v>
      </c>
      <c r="L3159" s="1" t="s">
        <v>153</v>
      </c>
      <c r="M3159" s="1" t="s">
        <v>28</v>
      </c>
      <c r="N3159" s="1" t="str">
        <f>HYPERLINK("https://klocwork.india.ti.com:443/review/insight-review.html#issuedetails_goto:problemid=143703,project=MCU_PLUS_SDK_AM263X,searchquery=taxonomy:'C and C++' build:Build_Apr_13_2023_11_11_AM grouping:off ","KW Issue Link")</f>
        <v>KW Issue Link</v>
      </c>
      <c r="O3159" s="1" t="s">
        <v>1083</v>
      </c>
    </row>
    <row r="3160" spans="1:15" ht="75" x14ac:dyDescent="0.25">
      <c r="A3160" s="1" t="s">
        <v>4335</v>
      </c>
      <c r="B3160" s="1"/>
      <c r="C3160" s="1" t="s">
        <v>4238</v>
      </c>
      <c r="D3160" s="1">
        <v>143704</v>
      </c>
      <c r="E3160" s="1">
        <v>3010</v>
      </c>
      <c r="F3160" s="1" t="s">
        <v>4337</v>
      </c>
      <c r="G3160" s="1" t="s">
        <v>4263</v>
      </c>
      <c r="H3160" s="1" t="s">
        <v>141</v>
      </c>
      <c r="I3160" s="1" t="s">
        <v>66</v>
      </c>
      <c r="J3160" s="1">
        <v>4</v>
      </c>
      <c r="K3160" s="1" t="s">
        <v>142</v>
      </c>
      <c r="L3160" s="1" t="s">
        <v>153</v>
      </c>
      <c r="M3160" s="1" t="s">
        <v>28</v>
      </c>
      <c r="N3160" s="1" t="str">
        <f>HYPERLINK("https://klocwork.india.ti.com:443/review/insight-review.html#issuedetails_goto:problemid=143704,project=MCU_PLUS_SDK_AM263X,searchquery=taxonomy:'C and C++' build:Build_Apr_13_2023_11_11_AM grouping:off ","KW Issue Link")</f>
        <v>KW Issue Link</v>
      </c>
      <c r="O3160" s="1" t="s">
        <v>1083</v>
      </c>
    </row>
    <row r="3161" spans="1:15" ht="90" x14ac:dyDescent="0.25">
      <c r="A3161" s="1" t="s">
        <v>163</v>
      </c>
      <c r="B3161" s="1"/>
      <c r="C3161" s="1" t="s">
        <v>4238</v>
      </c>
      <c r="D3161" s="1">
        <v>143759</v>
      </c>
      <c r="E3161" s="1">
        <v>4005</v>
      </c>
      <c r="F3161" s="1" t="s">
        <v>4338</v>
      </c>
      <c r="G3161" s="1" t="s">
        <v>4339</v>
      </c>
      <c r="H3161" s="1" t="s">
        <v>141</v>
      </c>
      <c r="I3161" s="1" t="s">
        <v>65</v>
      </c>
      <c r="J3161" s="1">
        <v>3</v>
      </c>
      <c r="K3161" s="1" t="s">
        <v>142</v>
      </c>
      <c r="L3161" s="1" t="s">
        <v>153</v>
      </c>
      <c r="M3161" s="1" t="s">
        <v>28</v>
      </c>
      <c r="N3161" s="1" t="str">
        <f>HYPERLINK("https://klocwork.india.ti.com:443/review/insight-review.html#issuedetails_goto:problemid=143759,project=MCU_PLUS_SDK_AM263X,searchquery=taxonomy:'C and C++' build:Build_Apr_13_2023_11_11_AM grouping:off ","KW Issue Link")</f>
        <v>KW Issue Link</v>
      </c>
      <c r="O3161" s="1" t="s">
        <v>1083</v>
      </c>
    </row>
    <row r="3162" spans="1:15" ht="90" x14ac:dyDescent="0.25">
      <c r="A3162" s="1" t="s">
        <v>163</v>
      </c>
      <c r="B3162" s="1"/>
      <c r="C3162" s="1" t="s">
        <v>4238</v>
      </c>
      <c r="D3162" s="1">
        <v>143760</v>
      </c>
      <c r="E3162" s="1">
        <v>4005</v>
      </c>
      <c r="F3162" s="1" t="s">
        <v>4340</v>
      </c>
      <c r="G3162" s="1" t="s">
        <v>4339</v>
      </c>
      <c r="H3162" s="1" t="s">
        <v>141</v>
      </c>
      <c r="I3162" s="1" t="s">
        <v>65</v>
      </c>
      <c r="J3162" s="1">
        <v>3</v>
      </c>
      <c r="K3162" s="1" t="s">
        <v>142</v>
      </c>
      <c r="L3162" s="1" t="s">
        <v>153</v>
      </c>
      <c r="M3162" s="1" t="s">
        <v>28</v>
      </c>
      <c r="N3162" s="1" t="str">
        <f>HYPERLINK("https://klocwork.india.ti.com:443/review/insight-review.html#issuedetails_goto:problemid=143760,project=MCU_PLUS_SDK_AM263X,searchquery=taxonomy:'C and C++' build:Build_Apr_13_2023_11_11_AM grouping:off ","KW Issue Link")</f>
        <v>KW Issue Link</v>
      </c>
      <c r="O3162" s="1" t="s">
        <v>1083</v>
      </c>
    </row>
    <row r="3163" spans="1:15" ht="105" x14ac:dyDescent="0.25">
      <c r="A3163" s="1" t="s">
        <v>163</v>
      </c>
      <c r="B3163" s="1"/>
      <c r="C3163" s="1" t="s">
        <v>4238</v>
      </c>
      <c r="D3163" s="1">
        <v>143761</v>
      </c>
      <c r="E3163" s="1">
        <v>4005</v>
      </c>
      <c r="F3163" s="1" t="s">
        <v>4341</v>
      </c>
      <c r="G3163" s="1" t="s">
        <v>4339</v>
      </c>
      <c r="H3163" s="1" t="s">
        <v>141</v>
      </c>
      <c r="I3163" s="1" t="s">
        <v>65</v>
      </c>
      <c r="J3163" s="1">
        <v>3</v>
      </c>
      <c r="K3163" s="1" t="s">
        <v>142</v>
      </c>
      <c r="L3163" s="1" t="s">
        <v>153</v>
      </c>
      <c r="M3163" s="1" t="s">
        <v>28</v>
      </c>
      <c r="N3163" s="1" t="str">
        <f>HYPERLINK("https://klocwork.india.ti.com:443/review/insight-review.html#issuedetails_goto:problemid=143761,project=MCU_PLUS_SDK_AM263X,searchquery=taxonomy:'C and C++' build:Build_Apr_13_2023_11_11_AM grouping:off ","KW Issue Link")</f>
        <v>KW Issue Link</v>
      </c>
      <c r="O3163" s="1" t="s">
        <v>1083</v>
      </c>
    </row>
    <row r="3164" spans="1:15" ht="105" x14ac:dyDescent="0.25">
      <c r="A3164" s="1" t="s">
        <v>163</v>
      </c>
      <c r="B3164" s="1"/>
      <c r="C3164" s="1" t="s">
        <v>4238</v>
      </c>
      <c r="D3164" s="1">
        <v>143762</v>
      </c>
      <c r="E3164" s="1">
        <v>4005</v>
      </c>
      <c r="F3164" s="1" t="s">
        <v>4342</v>
      </c>
      <c r="G3164" s="1" t="s">
        <v>4339</v>
      </c>
      <c r="H3164" s="1" t="s">
        <v>141</v>
      </c>
      <c r="I3164" s="1" t="s">
        <v>65</v>
      </c>
      <c r="J3164" s="1">
        <v>3</v>
      </c>
      <c r="K3164" s="1" t="s">
        <v>142</v>
      </c>
      <c r="L3164" s="1" t="s">
        <v>153</v>
      </c>
      <c r="M3164" s="1" t="s">
        <v>28</v>
      </c>
      <c r="N3164" s="1" t="str">
        <f>HYPERLINK("https://klocwork.india.ti.com:443/review/insight-review.html#issuedetails_goto:problemid=143762,project=MCU_PLUS_SDK_AM263X,searchquery=taxonomy:'C and C++' build:Build_Apr_13_2023_11_11_AM grouping:off ","KW Issue Link")</f>
        <v>KW Issue Link</v>
      </c>
      <c r="O3164" s="1" t="s">
        <v>1083</v>
      </c>
    </row>
    <row r="3165" spans="1:15" ht="105" x14ac:dyDescent="0.25">
      <c r="A3165" s="1" t="s">
        <v>163</v>
      </c>
      <c r="B3165" s="1"/>
      <c r="C3165" s="1" t="s">
        <v>4238</v>
      </c>
      <c r="D3165" s="1">
        <v>143763</v>
      </c>
      <c r="E3165" s="1">
        <v>4005</v>
      </c>
      <c r="F3165" s="1" t="s">
        <v>4343</v>
      </c>
      <c r="G3165" s="1" t="s">
        <v>4339</v>
      </c>
      <c r="H3165" s="1" t="s">
        <v>141</v>
      </c>
      <c r="I3165" s="1" t="s">
        <v>65</v>
      </c>
      <c r="J3165" s="1">
        <v>3</v>
      </c>
      <c r="K3165" s="1" t="s">
        <v>142</v>
      </c>
      <c r="L3165" s="1" t="s">
        <v>153</v>
      </c>
      <c r="M3165" s="1" t="s">
        <v>28</v>
      </c>
      <c r="N3165" s="1" t="str">
        <f>HYPERLINK("https://klocwork.india.ti.com:443/review/insight-review.html#issuedetails_goto:problemid=143763,project=MCU_PLUS_SDK_AM263X,searchquery=taxonomy:'C and C++' build:Build_Apr_13_2023_11_11_AM grouping:off ","KW Issue Link")</f>
        <v>KW Issue Link</v>
      </c>
      <c r="O3165" s="1" t="s">
        <v>1083</v>
      </c>
    </row>
    <row r="3166" spans="1:15" ht="105" x14ac:dyDescent="0.25">
      <c r="A3166" s="1" t="s">
        <v>163</v>
      </c>
      <c r="B3166" s="1"/>
      <c r="C3166" s="1" t="s">
        <v>4238</v>
      </c>
      <c r="D3166" s="1">
        <v>143764</v>
      </c>
      <c r="E3166" s="1">
        <v>4005</v>
      </c>
      <c r="F3166" s="1" t="s">
        <v>4344</v>
      </c>
      <c r="G3166" s="1" t="s">
        <v>4339</v>
      </c>
      <c r="H3166" s="1" t="s">
        <v>141</v>
      </c>
      <c r="I3166" s="1" t="s">
        <v>65</v>
      </c>
      <c r="J3166" s="1">
        <v>3</v>
      </c>
      <c r="K3166" s="1" t="s">
        <v>142</v>
      </c>
      <c r="L3166" s="1" t="s">
        <v>153</v>
      </c>
      <c r="M3166" s="1" t="s">
        <v>28</v>
      </c>
      <c r="N3166" s="1" t="str">
        <f>HYPERLINK("https://klocwork.india.ti.com:443/review/insight-review.html#issuedetails_goto:problemid=143764,project=MCU_PLUS_SDK_AM263X,searchquery=taxonomy:'C and C++' build:Build_Apr_13_2023_11_11_AM grouping:off ","KW Issue Link")</f>
        <v>KW Issue Link</v>
      </c>
      <c r="O3166" s="1" t="s">
        <v>1083</v>
      </c>
    </row>
    <row r="3167" spans="1:15" ht="105" x14ac:dyDescent="0.25">
      <c r="A3167" s="1" t="s">
        <v>163</v>
      </c>
      <c r="B3167" s="1"/>
      <c r="C3167" s="1" t="s">
        <v>4238</v>
      </c>
      <c r="D3167" s="1">
        <v>143765</v>
      </c>
      <c r="E3167" s="1">
        <v>4005</v>
      </c>
      <c r="F3167" s="1" t="s">
        <v>4345</v>
      </c>
      <c r="G3167" s="1" t="s">
        <v>4339</v>
      </c>
      <c r="H3167" s="1" t="s">
        <v>141</v>
      </c>
      <c r="I3167" s="1" t="s">
        <v>65</v>
      </c>
      <c r="J3167" s="1">
        <v>3</v>
      </c>
      <c r="K3167" s="1" t="s">
        <v>142</v>
      </c>
      <c r="L3167" s="1" t="s">
        <v>153</v>
      </c>
      <c r="M3167" s="1" t="s">
        <v>28</v>
      </c>
      <c r="N3167" s="1" t="str">
        <f>HYPERLINK("https://klocwork.india.ti.com:443/review/insight-review.html#issuedetails_goto:problemid=143765,project=MCU_PLUS_SDK_AM263X,searchquery=taxonomy:'C and C++' build:Build_Apr_13_2023_11_11_AM grouping:off ","KW Issue Link")</f>
        <v>KW Issue Link</v>
      </c>
      <c r="O3167" s="1" t="s">
        <v>1083</v>
      </c>
    </row>
    <row r="3168" spans="1:15" ht="105" x14ac:dyDescent="0.25">
      <c r="A3168" s="1" t="s">
        <v>163</v>
      </c>
      <c r="B3168" s="1"/>
      <c r="C3168" s="1" t="s">
        <v>4238</v>
      </c>
      <c r="D3168" s="1">
        <v>143766</v>
      </c>
      <c r="E3168" s="1">
        <v>4005</v>
      </c>
      <c r="F3168" s="1" t="s">
        <v>4346</v>
      </c>
      <c r="G3168" s="1" t="s">
        <v>4339</v>
      </c>
      <c r="H3168" s="1" t="s">
        <v>141</v>
      </c>
      <c r="I3168" s="1" t="s">
        <v>65</v>
      </c>
      <c r="J3168" s="1">
        <v>3</v>
      </c>
      <c r="K3168" s="1" t="s">
        <v>142</v>
      </c>
      <c r="L3168" s="1" t="s">
        <v>153</v>
      </c>
      <c r="M3168" s="1" t="s">
        <v>28</v>
      </c>
      <c r="N3168" s="1" t="str">
        <f>HYPERLINK("https://klocwork.india.ti.com:443/review/insight-review.html#issuedetails_goto:problemid=143766,project=MCU_PLUS_SDK_AM263X,searchquery=taxonomy:'C and C++' build:Build_Apr_13_2023_11_11_AM grouping:off ","KW Issue Link")</f>
        <v>KW Issue Link</v>
      </c>
      <c r="O3168" s="1" t="s">
        <v>1083</v>
      </c>
    </row>
    <row r="3169" spans="1:15" ht="105" x14ac:dyDescent="0.25">
      <c r="A3169" s="1" t="s">
        <v>163</v>
      </c>
      <c r="B3169" s="1"/>
      <c r="C3169" s="1" t="s">
        <v>4238</v>
      </c>
      <c r="D3169" s="1">
        <v>143767</v>
      </c>
      <c r="E3169" s="1">
        <v>4005</v>
      </c>
      <c r="F3169" s="1" t="s">
        <v>4347</v>
      </c>
      <c r="G3169" s="1" t="s">
        <v>4339</v>
      </c>
      <c r="H3169" s="1" t="s">
        <v>141</v>
      </c>
      <c r="I3169" s="1" t="s">
        <v>65</v>
      </c>
      <c r="J3169" s="1">
        <v>3</v>
      </c>
      <c r="K3169" s="1" t="s">
        <v>142</v>
      </c>
      <c r="L3169" s="1" t="s">
        <v>153</v>
      </c>
      <c r="M3169" s="1" t="s">
        <v>28</v>
      </c>
      <c r="N3169" s="1" t="str">
        <f>HYPERLINK("https://klocwork.india.ti.com:443/review/insight-review.html#issuedetails_goto:problemid=143767,project=MCU_PLUS_SDK_AM263X,searchquery=taxonomy:'C and C++' build:Build_Apr_13_2023_11_11_AM grouping:off ","KW Issue Link")</f>
        <v>KW Issue Link</v>
      </c>
      <c r="O3169" s="1" t="s">
        <v>1083</v>
      </c>
    </row>
    <row r="3170" spans="1:15" ht="120" x14ac:dyDescent="0.25">
      <c r="A3170" s="1" t="s">
        <v>163</v>
      </c>
      <c r="B3170" s="1"/>
      <c r="C3170" s="1" t="s">
        <v>4238</v>
      </c>
      <c r="D3170" s="1">
        <v>143768</v>
      </c>
      <c r="E3170" s="1">
        <v>5214</v>
      </c>
      <c r="F3170" s="1" t="s">
        <v>4348</v>
      </c>
      <c r="G3170" s="1" t="s">
        <v>4277</v>
      </c>
      <c r="H3170" s="1" t="s">
        <v>141</v>
      </c>
      <c r="I3170" s="1" t="s">
        <v>65</v>
      </c>
      <c r="J3170" s="1">
        <v>3</v>
      </c>
      <c r="K3170" s="1" t="s">
        <v>142</v>
      </c>
      <c r="L3170" s="1" t="s">
        <v>153</v>
      </c>
      <c r="M3170" s="1" t="s">
        <v>28</v>
      </c>
      <c r="N3170" s="1" t="str">
        <f>HYPERLINK("https://klocwork.india.ti.com:443/review/insight-review.html#issuedetails_goto:problemid=143768,project=MCU_PLUS_SDK_AM263X,searchquery=taxonomy:'C and C++' build:Build_Apr_13_2023_11_11_AM grouping:off ","KW Issue Link")</f>
        <v>KW Issue Link</v>
      </c>
      <c r="O3170" s="1" t="s">
        <v>1083</v>
      </c>
    </row>
    <row r="3171" spans="1:15" ht="135" x14ac:dyDescent="0.25">
      <c r="A3171" s="1" t="s">
        <v>163</v>
      </c>
      <c r="B3171" s="1"/>
      <c r="C3171" s="1" t="s">
        <v>4238</v>
      </c>
      <c r="D3171" s="1">
        <v>143769</v>
      </c>
      <c r="E3171" s="1">
        <v>5214</v>
      </c>
      <c r="F3171" s="1" t="s">
        <v>4349</v>
      </c>
      <c r="G3171" s="1" t="s">
        <v>4277</v>
      </c>
      <c r="H3171" s="1" t="s">
        <v>141</v>
      </c>
      <c r="I3171" s="1" t="s">
        <v>65</v>
      </c>
      <c r="J3171" s="1">
        <v>3</v>
      </c>
      <c r="K3171" s="1" t="s">
        <v>142</v>
      </c>
      <c r="L3171" s="1" t="s">
        <v>153</v>
      </c>
      <c r="M3171" s="1" t="s">
        <v>28</v>
      </c>
      <c r="N3171" s="1" t="str">
        <f>HYPERLINK("https://klocwork.india.ti.com:443/review/insight-review.html#issuedetails_goto:problemid=143769,project=MCU_PLUS_SDK_AM263X,searchquery=taxonomy:'C and C++' build:Build_Apr_13_2023_11_11_AM grouping:off ","KW Issue Link")</f>
        <v>KW Issue Link</v>
      </c>
      <c r="O3171" s="1" t="s">
        <v>1083</v>
      </c>
    </row>
    <row r="3172" spans="1:15" ht="120" x14ac:dyDescent="0.25">
      <c r="A3172" s="1" t="s">
        <v>163</v>
      </c>
      <c r="B3172" s="1"/>
      <c r="C3172" s="1" t="s">
        <v>4238</v>
      </c>
      <c r="D3172" s="1">
        <v>143770</v>
      </c>
      <c r="E3172" s="1">
        <v>5214</v>
      </c>
      <c r="F3172" s="1" t="s">
        <v>4350</v>
      </c>
      <c r="G3172" s="1" t="s">
        <v>4277</v>
      </c>
      <c r="H3172" s="1" t="s">
        <v>141</v>
      </c>
      <c r="I3172" s="1" t="s">
        <v>65</v>
      </c>
      <c r="J3172" s="1">
        <v>3</v>
      </c>
      <c r="K3172" s="1" t="s">
        <v>142</v>
      </c>
      <c r="L3172" s="1" t="s">
        <v>153</v>
      </c>
      <c r="M3172" s="1" t="s">
        <v>28</v>
      </c>
      <c r="N3172" s="1" t="str">
        <f>HYPERLINK("https://klocwork.india.ti.com:443/review/insight-review.html#issuedetails_goto:problemid=143770,project=MCU_PLUS_SDK_AM263X,searchquery=taxonomy:'C and C++' build:Build_Apr_13_2023_11_11_AM grouping:off ","KW Issue Link")</f>
        <v>KW Issue Link</v>
      </c>
      <c r="O3172" s="1" t="s">
        <v>1083</v>
      </c>
    </row>
    <row r="3173" spans="1:15" ht="135" x14ac:dyDescent="0.25">
      <c r="A3173" s="1" t="s">
        <v>163</v>
      </c>
      <c r="B3173" s="1"/>
      <c r="C3173" s="1" t="s">
        <v>4238</v>
      </c>
      <c r="D3173" s="1">
        <v>143771</v>
      </c>
      <c r="E3173" s="1">
        <v>5214</v>
      </c>
      <c r="F3173" s="1" t="s">
        <v>4351</v>
      </c>
      <c r="G3173" s="1" t="s">
        <v>4277</v>
      </c>
      <c r="H3173" s="1" t="s">
        <v>141</v>
      </c>
      <c r="I3173" s="1" t="s">
        <v>65</v>
      </c>
      <c r="J3173" s="1">
        <v>3</v>
      </c>
      <c r="K3173" s="1" t="s">
        <v>142</v>
      </c>
      <c r="L3173" s="1" t="s">
        <v>153</v>
      </c>
      <c r="M3173" s="1" t="s">
        <v>28</v>
      </c>
      <c r="N3173" s="1" t="str">
        <f>HYPERLINK("https://klocwork.india.ti.com:443/review/insight-review.html#issuedetails_goto:problemid=143771,project=MCU_PLUS_SDK_AM263X,searchquery=taxonomy:'C and C++' build:Build_Apr_13_2023_11_11_AM grouping:off ","KW Issue Link")</f>
        <v>KW Issue Link</v>
      </c>
      <c r="O3173" s="1" t="s">
        <v>1083</v>
      </c>
    </row>
    <row r="3174" spans="1:15" ht="135" x14ac:dyDescent="0.25">
      <c r="A3174" s="1" t="s">
        <v>163</v>
      </c>
      <c r="B3174" s="1"/>
      <c r="C3174" s="1" t="s">
        <v>4238</v>
      </c>
      <c r="D3174" s="1">
        <v>143772</v>
      </c>
      <c r="E3174" s="1">
        <v>5214</v>
      </c>
      <c r="F3174" s="1" t="s">
        <v>4352</v>
      </c>
      <c r="G3174" s="1" t="s">
        <v>4277</v>
      </c>
      <c r="H3174" s="1" t="s">
        <v>141</v>
      </c>
      <c r="I3174" s="1" t="s">
        <v>65</v>
      </c>
      <c r="J3174" s="1">
        <v>3</v>
      </c>
      <c r="K3174" s="1" t="s">
        <v>142</v>
      </c>
      <c r="L3174" s="1" t="s">
        <v>153</v>
      </c>
      <c r="M3174" s="1" t="s">
        <v>28</v>
      </c>
      <c r="N3174" s="1" t="str">
        <f>HYPERLINK("https://klocwork.india.ti.com:443/review/insight-review.html#issuedetails_goto:problemid=143772,project=MCU_PLUS_SDK_AM263X,searchquery=taxonomy:'C and C++' build:Build_Apr_13_2023_11_11_AM grouping:off ","KW Issue Link")</f>
        <v>KW Issue Link</v>
      </c>
      <c r="O3174" s="1" t="s">
        <v>1083</v>
      </c>
    </row>
    <row r="3175" spans="1:15" ht="90" x14ac:dyDescent="0.25">
      <c r="A3175" s="1" t="s">
        <v>163</v>
      </c>
      <c r="B3175" s="1"/>
      <c r="C3175" s="1" t="s">
        <v>4238</v>
      </c>
      <c r="D3175" s="1">
        <v>143773</v>
      </c>
      <c r="E3175" s="1">
        <v>6334</v>
      </c>
      <c r="F3175" s="1" t="s">
        <v>4353</v>
      </c>
      <c r="G3175" s="1" t="s">
        <v>4354</v>
      </c>
      <c r="H3175" s="1" t="s">
        <v>141</v>
      </c>
      <c r="I3175" s="1" t="s">
        <v>65</v>
      </c>
      <c r="J3175" s="1">
        <v>3</v>
      </c>
      <c r="K3175" s="1" t="s">
        <v>142</v>
      </c>
      <c r="L3175" s="1" t="s">
        <v>153</v>
      </c>
      <c r="M3175" s="1" t="s">
        <v>28</v>
      </c>
      <c r="N3175" s="1" t="str">
        <f>HYPERLINK("https://klocwork.india.ti.com:443/review/insight-review.html#issuedetails_goto:problemid=143773,project=MCU_PLUS_SDK_AM263X,searchquery=taxonomy:'C and C++' build:Build_Apr_13_2023_11_11_AM grouping:off ","KW Issue Link")</f>
        <v>KW Issue Link</v>
      </c>
      <c r="O3175" s="1" t="s">
        <v>1083</v>
      </c>
    </row>
    <row r="3176" spans="1:15" ht="90" x14ac:dyDescent="0.25">
      <c r="A3176" s="1" t="s">
        <v>163</v>
      </c>
      <c r="B3176" s="1"/>
      <c r="C3176" s="1" t="s">
        <v>4238</v>
      </c>
      <c r="D3176" s="1">
        <v>143774</v>
      </c>
      <c r="E3176" s="1">
        <v>6334</v>
      </c>
      <c r="F3176" s="1" t="s">
        <v>4355</v>
      </c>
      <c r="G3176" s="1" t="s">
        <v>4354</v>
      </c>
      <c r="H3176" s="1" t="s">
        <v>141</v>
      </c>
      <c r="I3176" s="1" t="s">
        <v>65</v>
      </c>
      <c r="J3176" s="1">
        <v>3</v>
      </c>
      <c r="K3176" s="1" t="s">
        <v>142</v>
      </c>
      <c r="L3176" s="1" t="s">
        <v>153</v>
      </c>
      <c r="M3176" s="1" t="s">
        <v>28</v>
      </c>
      <c r="N3176" s="1" t="str">
        <f>HYPERLINK("https://klocwork.india.ti.com:443/review/insight-review.html#issuedetails_goto:problemid=143774,project=MCU_PLUS_SDK_AM263X,searchquery=taxonomy:'C and C++' build:Build_Apr_13_2023_11_11_AM grouping:off ","KW Issue Link")</f>
        <v>KW Issue Link</v>
      </c>
      <c r="O3176" s="1" t="s">
        <v>1083</v>
      </c>
    </row>
    <row r="3177" spans="1:15" ht="90" x14ac:dyDescent="0.25">
      <c r="A3177" s="1" t="s">
        <v>163</v>
      </c>
      <c r="B3177" s="1"/>
      <c r="C3177" s="1" t="s">
        <v>4238</v>
      </c>
      <c r="D3177" s="1">
        <v>143775</v>
      </c>
      <c r="E3177" s="1">
        <v>6334</v>
      </c>
      <c r="F3177" s="1" t="s">
        <v>4356</v>
      </c>
      <c r="G3177" s="1" t="s">
        <v>4354</v>
      </c>
      <c r="H3177" s="1" t="s">
        <v>141</v>
      </c>
      <c r="I3177" s="1" t="s">
        <v>65</v>
      </c>
      <c r="J3177" s="1">
        <v>3</v>
      </c>
      <c r="K3177" s="1" t="s">
        <v>142</v>
      </c>
      <c r="L3177" s="1" t="s">
        <v>153</v>
      </c>
      <c r="M3177" s="1" t="s">
        <v>28</v>
      </c>
      <c r="N3177" s="1" t="str">
        <f>HYPERLINK("https://klocwork.india.ti.com:443/review/insight-review.html#issuedetails_goto:problemid=143775,project=MCU_PLUS_SDK_AM263X,searchquery=taxonomy:'C and C++' build:Build_Apr_13_2023_11_11_AM grouping:off ","KW Issue Link")</f>
        <v>KW Issue Link</v>
      </c>
      <c r="O3177" s="1" t="s">
        <v>1083</v>
      </c>
    </row>
    <row r="3178" spans="1:15" ht="90" x14ac:dyDescent="0.25">
      <c r="A3178" s="1" t="s">
        <v>163</v>
      </c>
      <c r="B3178" s="1"/>
      <c r="C3178" s="1" t="s">
        <v>4238</v>
      </c>
      <c r="D3178" s="1">
        <v>143776</v>
      </c>
      <c r="E3178" s="1">
        <v>6334</v>
      </c>
      <c r="F3178" s="1" t="s">
        <v>4357</v>
      </c>
      <c r="G3178" s="1" t="s">
        <v>4354</v>
      </c>
      <c r="H3178" s="1" t="s">
        <v>141</v>
      </c>
      <c r="I3178" s="1" t="s">
        <v>65</v>
      </c>
      <c r="J3178" s="1">
        <v>3</v>
      </c>
      <c r="K3178" s="1" t="s">
        <v>142</v>
      </c>
      <c r="L3178" s="1" t="s">
        <v>153</v>
      </c>
      <c r="M3178" s="1" t="s">
        <v>28</v>
      </c>
      <c r="N3178" s="1" t="str">
        <f>HYPERLINK("https://klocwork.india.ti.com:443/review/insight-review.html#issuedetails_goto:problemid=143776,project=MCU_PLUS_SDK_AM263X,searchquery=taxonomy:'C and C++' build:Build_Apr_13_2023_11_11_AM grouping:off ","KW Issue Link")</f>
        <v>KW Issue Link</v>
      </c>
      <c r="O3178" s="1" t="s">
        <v>1083</v>
      </c>
    </row>
    <row r="3179" spans="1:15" ht="105" x14ac:dyDescent="0.25">
      <c r="A3179" s="1" t="s">
        <v>163</v>
      </c>
      <c r="B3179" s="1"/>
      <c r="C3179" s="1" t="s">
        <v>4238</v>
      </c>
      <c r="D3179" s="1">
        <v>143777</v>
      </c>
      <c r="E3179" s="1">
        <v>6334</v>
      </c>
      <c r="F3179" s="1" t="s">
        <v>4358</v>
      </c>
      <c r="G3179" s="1" t="s">
        <v>4354</v>
      </c>
      <c r="H3179" s="1" t="s">
        <v>141</v>
      </c>
      <c r="I3179" s="1" t="s">
        <v>65</v>
      </c>
      <c r="J3179" s="1">
        <v>3</v>
      </c>
      <c r="K3179" s="1" t="s">
        <v>142</v>
      </c>
      <c r="L3179" s="1" t="s">
        <v>153</v>
      </c>
      <c r="M3179" s="1" t="s">
        <v>28</v>
      </c>
      <c r="N3179" s="1" t="str">
        <f>HYPERLINK("https://klocwork.india.ti.com:443/review/insight-review.html#issuedetails_goto:problemid=143777,project=MCU_PLUS_SDK_AM263X,searchquery=taxonomy:'C and C++' build:Build_Apr_13_2023_11_11_AM grouping:off ","KW Issue Link")</f>
        <v>KW Issue Link</v>
      </c>
      <c r="O3179" s="1" t="s">
        <v>1083</v>
      </c>
    </row>
    <row r="3180" spans="1:15" ht="105" x14ac:dyDescent="0.25">
      <c r="A3180" s="1" t="s">
        <v>163</v>
      </c>
      <c r="B3180" s="1"/>
      <c r="C3180" s="1" t="s">
        <v>4238</v>
      </c>
      <c r="D3180" s="1">
        <v>143778</v>
      </c>
      <c r="E3180" s="1">
        <v>6843</v>
      </c>
      <c r="F3180" s="1" t="s">
        <v>4359</v>
      </c>
      <c r="G3180" s="1" t="s">
        <v>4360</v>
      </c>
      <c r="H3180" s="1" t="s">
        <v>141</v>
      </c>
      <c r="I3180" s="1" t="s">
        <v>65</v>
      </c>
      <c r="J3180" s="1">
        <v>3</v>
      </c>
      <c r="K3180" s="1" t="s">
        <v>142</v>
      </c>
      <c r="L3180" s="1" t="s">
        <v>153</v>
      </c>
      <c r="M3180" s="1" t="s">
        <v>28</v>
      </c>
      <c r="N3180" s="1" t="str">
        <f>HYPERLINK("https://klocwork.india.ti.com:443/review/insight-review.html#issuedetails_goto:problemid=143778,project=MCU_PLUS_SDK_AM263X,searchquery=taxonomy:'C and C++' build:Build_Apr_13_2023_11_11_AM grouping:off ","KW Issue Link")</f>
        <v>KW Issue Link</v>
      </c>
      <c r="O3180" s="1" t="s">
        <v>1083</v>
      </c>
    </row>
    <row r="3181" spans="1:15" ht="105" x14ac:dyDescent="0.25">
      <c r="A3181" s="1" t="s">
        <v>163</v>
      </c>
      <c r="B3181" s="1"/>
      <c r="C3181" s="1" t="s">
        <v>4238</v>
      </c>
      <c r="D3181" s="1">
        <v>143779</v>
      </c>
      <c r="E3181" s="1">
        <v>6843</v>
      </c>
      <c r="F3181" s="1" t="s">
        <v>4361</v>
      </c>
      <c r="G3181" s="1" t="s">
        <v>4360</v>
      </c>
      <c r="H3181" s="1" t="s">
        <v>141</v>
      </c>
      <c r="I3181" s="1" t="s">
        <v>65</v>
      </c>
      <c r="J3181" s="1">
        <v>3</v>
      </c>
      <c r="K3181" s="1" t="s">
        <v>142</v>
      </c>
      <c r="L3181" s="1" t="s">
        <v>153</v>
      </c>
      <c r="M3181" s="1" t="s">
        <v>28</v>
      </c>
      <c r="N3181" s="1" t="str">
        <f>HYPERLINK("https://klocwork.india.ti.com:443/review/insight-review.html#issuedetails_goto:problemid=143779,project=MCU_PLUS_SDK_AM263X,searchquery=taxonomy:'C and C++' build:Build_Apr_13_2023_11_11_AM grouping:off ","KW Issue Link")</f>
        <v>KW Issue Link</v>
      </c>
      <c r="O3181" s="1" t="s">
        <v>1083</v>
      </c>
    </row>
    <row r="3182" spans="1:15" ht="90" x14ac:dyDescent="0.25">
      <c r="A3182" s="1" t="s">
        <v>163</v>
      </c>
      <c r="B3182" s="1"/>
      <c r="C3182" s="1" t="s">
        <v>4238</v>
      </c>
      <c r="D3182" s="1">
        <v>143780</v>
      </c>
      <c r="E3182" s="1">
        <v>6843</v>
      </c>
      <c r="F3182" s="1" t="s">
        <v>4362</v>
      </c>
      <c r="G3182" s="1" t="s">
        <v>4360</v>
      </c>
      <c r="H3182" s="1" t="s">
        <v>141</v>
      </c>
      <c r="I3182" s="1" t="s">
        <v>65</v>
      </c>
      <c r="J3182" s="1">
        <v>3</v>
      </c>
      <c r="K3182" s="1" t="s">
        <v>142</v>
      </c>
      <c r="L3182" s="1" t="s">
        <v>153</v>
      </c>
      <c r="M3182" s="1" t="s">
        <v>28</v>
      </c>
      <c r="N3182" s="1" t="str">
        <f>HYPERLINK("https://klocwork.india.ti.com:443/review/insight-review.html#issuedetails_goto:problemid=143780,project=MCU_PLUS_SDK_AM263X,searchquery=taxonomy:'C and C++' build:Build_Apr_13_2023_11_11_AM grouping:off ","KW Issue Link")</f>
        <v>KW Issue Link</v>
      </c>
      <c r="O3182" s="1" t="s">
        <v>1083</v>
      </c>
    </row>
    <row r="3183" spans="1:15" ht="90" x14ac:dyDescent="0.25">
      <c r="A3183" s="1" t="s">
        <v>163</v>
      </c>
      <c r="B3183" s="1"/>
      <c r="C3183" s="1" t="s">
        <v>4238</v>
      </c>
      <c r="D3183" s="1">
        <v>143781</v>
      </c>
      <c r="E3183" s="1">
        <v>6843</v>
      </c>
      <c r="F3183" s="1" t="s">
        <v>4363</v>
      </c>
      <c r="G3183" s="1" t="s">
        <v>4360</v>
      </c>
      <c r="H3183" s="1" t="s">
        <v>141</v>
      </c>
      <c r="I3183" s="1" t="s">
        <v>65</v>
      </c>
      <c r="J3183" s="1">
        <v>3</v>
      </c>
      <c r="K3183" s="1" t="s">
        <v>142</v>
      </c>
      <c r="L3183" s="1" t="s">
        <v>153</v>
      </c>
      <c r="M3183" s="1" t="s">
        <v>28</v>
      </c>
      <c r="N3183" s="1" t="str">
        <f>HYPERLINK("https://klocwork.india.ti.com:443/review/insight-review.html#issuedetails_goto:problemid=143781,project=MCU_PLUS_SDK_AM263X,searchquery=taxonomy:'C and C++' build:Build_Apr_13_2023_11_11_AM grouping:off ","KW Issue Link")</f>
        <v>KW Issue Link</v>
      </c>
      <c r="O3183" s="1" t="s">
        <v>1083</v>
      </c>
    </row>
    <row r="3184" spans="1:15" ht="105" x14ac:dyDescent="0.25">
      <c r="A3184" s="1" t="s">
        <v>163</v>
      </c>
      <c r="B3184" s="1"/>
      <c r="C3184" s="1" t="s">
        <v>4238</v>
      </c>
      <c r="D3184" s="1">
        <v>143782</v>
      </c>
      <c r="E3184" s="1">
        <v>6843</v>
      </c>
      <c r="F3184" s="1" t="s">
        <v>4364</v>
      </c>
      <c r="G3184" s="1" t="s">
        <v>4360</v>
      </c>
      <c r="H3184" s="1" t="s">
        <v>141</v>
      </c>
      <c r="I3184" s="1" t="s">
        <v>65</v>
      </c>
      <c r="J3184" s="1">
        <v>3</v>
      </c>
      <c r="K3184" s="1" t="s">
        <v>142</v>
      </c>
      <c r="L3184" s="1" t="s">
        <v>153</v>
      </c>
      <c r="M3184" s="1" t="s">
        <v>28</v>
      </c>
      <c r="N3184" s="1" t="str">
        <f>HYPERLINK("https://klocwork.india.ti.com:443/review/insight-review.html#issuedetails_goto:problemid=143782,project=MCU_PLUS_SDK_AM263X,searchquery=taxonomy:'C and C++' build:Build_Apr_13_2023_11_11_AM grouping:off ","KW Issue Link")</f>
        <v>KW Issue Link</v>
      </c>
      <c r="O3184" s="1" t="s">
        <v>1083</v>
      </c>
    </row>
    <row r="3185" spans="1:15" ht="90" x14ac:dyDescent="0.25">
      <c r="A3185" s="1" t="s">
        <v>163</v>
      </c>
      <c r="B3185" s="1"/>
      <c r="C3185" s="1" t="s">
        <v>4238</v>
      </c>
      <c r="D3185" s="1">
        <v>143783</v>
      </c>
      <c r="E3185" s="1">
        <v>6982</v>
      </c>
      <c r="F3185" s="1" t="s">
        <v>4365</v>
      </c>
      <c r="G3185" s="1" t="s">
        <v>4366</v>
      </c>
      <c r="H3185" s="1" t="s">
        <v>141</v>
      </c>
      <c r="I3185" s="1" t="s">
        <v>65</v>
      </c>
      <c r="J3185" s="1">
        <v>3</v>
      </c>
      <c r="K3185" s="1" t="s">
        <v>142</v>
      </c>
      <c r="L3185" s="1" t="s">
        <v>153</v>
      </c>
      <c r="M3185" s="1" t="s">
        <v>28</v>
      </c>
      <c r="N3185" s="1" t="str">
        <f>HYPERLINK("https://klocwork.india.ti.com:443/review/insight-review.html#issuedetails_goto:problemid=143783,project=MCU_PLUS_SDK_AM263X,searchquery=taxonomy:'C and C++' build:Build_Apr_13_2023_11_11_AM grouping:off ","KW Issue Link")</f>
        <v>KW Issue Link</v>
      </c>
      <c r="O3185" s="1" t="s">
        <v>1083</v>
      </c>
    </row>
    <row r="3186" spans="1:15" ht="105" x14ac:dyDescent="0.25">
      <c r="A3186" s="1" t="s">
        <v>163</v>
      </c>
      <c r="B3186" s="1"/>
      <c r="C3186" s="1" t="s">
        <v>4238</v>
      </c>
      <c r="D3186" s="1">
        <v>143784</v>
      </c>
      <c r="E3186" s="1">
        <v>7139</v>
      </c>
      <c r="F3186" s="1" t="s">
        <v>4367</v>
      </c>
      <c r="G3186" s="1" t="s">
        <v>4368</v>
      </c>
      <c r="H3186" s="1" t="s">
        <v>141</v>
      </c>
      <c r="I3186" s="1" t="s">
        <v>65</v>
      </c>
      <c r="J3186" s="1">
        <v>3</v>
      </c>
      <c r="K3186" s="1" t="s">
        <v>142</v>
      </c>
      <c r="L3186" s="1" t="s">
        <v>153</v>
      </c>
      <c r="M3186" s="1" t="s">
        <v>28</v>
      </c>
      <c r="N3186" s="1" t="str">
        <f>HYPERLINK("https://klocwork.india.ti.com:443/review/insight-review.html#issuedetails_goto:problemid=143784,project=MCU_PLUS_SDK_AM263X,searchquery=taxonomy:'C and C++' build:Build_Apr_13_2023_11_11_AM grouping:off ","KW Issue Link")</f>
        <v>KW Issue Link</v>
      </c>
      <c r="O3186" s="1" t="s">
        <v>1083</v>
      </c>
    </row>
    <row r="3187" spans="1:15" ht="105" x14ac:dyDescent="0.25">
      <c r="A3187" s="1" t="s">
        <v>163</v>
      </c>
      <c r="B3187" s="1"/>
      <c r="C3187" s="1" t="s">
        <v>4238</v>
      </c>
      <c r="D3187" s="1">
        <v>143785</v>
      </c>
      <c r="E3187" s="1">
        <v>7139</v>
      </c>
      <c r="F3187" s="1" t="s">
        <v>4369</v>
      </c>
      <c r="G3187" s="1" t="s">
        <v>4368</v>
      </c>
      <c r="H3187" s="1" t="s">
        <v>141</v>
      </c>
      <c r="I3187" s="1" t="s">
        <v>65</v>
      </c>
      <c r="J3187" s="1">
        <v>3</v>
      </c>
      <c r="K3187" s="1" t="s">
        <v>142</v>
      </c>
      <c r="L3187" s="1" t="s">
        <v>153</v>
      </c>
      <c r="M3187" s="1" t="s">
        <v>28</v>
      </c>
      <c r="N3187" s="1" t="str">
        <f>HYPERLINK("https://klocwork.india.ti.com:443/review/insight-review.html#issuedetails_goto:problemid=143785,project=MCU_PLUS_SDK_AM263X,searchquery=taxonomy:'C and C++' build:Build_Apr_13_2023_11_11_AM grouping:off ","KW Issue Link")</f>
        <v>KW Issue Link</v>
      </c>
      <c r="O3187" s="1" t="s">
        <v>1083</v>
      </c>
    </row>
    <row r="3188" spans="1:15" ht="90" x14ac:dyDescent="0.25">
      <c r="A3188" s="1" t="s">
        <v>163</v>
      </c>
      <c r="B3188" s="1"/>
      <c r="C3188" s="1" t="s">
        <v>4238</v>
      </c>
      <c r="D3188" s="1">
        <v>143786</v>
      </c>
      <c r="E3188" s="1">
        <v>7296</v>
      </c>
      <c r="F3188" s="1" t="s">
        <v>4370</v>
      </c>
      <c r="G3188" s="1" t="s">
        <v>4371</v>
      </c>
      <c r="H3188" s="1" t="s">
        <v>141</v>
      </c>
      <c r="I3188" s="1" t="s">
        <v>65</v>
      </c>
      <c r="J3188" s="1">
        <v>3</v>
      </c>
      <c r="K3188" s="1" t="s">
        <v>142</v>
      </c>
      <c r="L3188" s="1" t="s">
        <v>153</v>
      </c>
      <c r="M3188" s="1" t="s">
        <v>28</v>
      </c>
      <c r="N3188" s="1" t="str">
        <f>HYPERLINK("https://klocwork.india.ti.com:443/review/insight-review.html#issuedetails_goto:problemid=143786,project=MCU_PLUS_SDK_AM263X,searchquery=taxonomy:'C and C++' build:Build_Apr_13_2023_11_11_AM grouping:off ","KW Issue Link")</f>
        <v>KW Issue Link</v>
      </c>
      <c r="O3188" s="1" t="s">
        <v>1083</v>
      </c>
    </row>
    <row r="3189" spans="1:15" ht="105" x14ac:dyDescent="0.25">
      <c r="A3189" s="1" t="s">
        <v>163</v>
      </c>
      <c r="B3189" s="1"/>
      <c r="C3189" s="1" t="s">
        <v>4238</v>
      </c>
      <c r="D3189" s="1">
        <v>143787</v>
      </c>
      <c r="E3189" s="1">
        <v>7302</v>
      </c>
      <c r="F3189" s="1" t="s">
        <v>4372</v>
      </c>
      <c r="G3189" s="1" t="s">
        <v>4371</v>
      </c>
      <c r="H3189" s="1" t="s">
        <v>141</v>
      </c>
      <c r="I3189" s="1" t="s">
        <v>65</v>
      </c>
      <c r="J3189" s="1">
        <v>3</v>
      </c>
      <c r="K3189" s="1" t="s">
        <v>142</v>
      </c>
      <c r="L3189" s="1" t="s">
        <v>153</v>
      </c>
      <c r="M3189" s="1" t="s">
        <v>28</v>
      </c>
      <c r="N3189" s="1" t="str">
        <f>HYPERLINK("https://klocwork.india.ti.com:443/review/insight-review.html#issuedetails_goto:problemid=143787,project=MCU_PLUS_SDK_AM263X,searchquery=taxonomy:'C and C++' build:Build_Apr_13_2023_11_11_AM grouping:off ","KW Issue Link")</f>
        <v>KW Issue Link</v>
      </c>
      <c r="O3189" s="1" t="s">
        <v>1083</v>
      </c>
    </row>
    <row r="3190" spans="1:15" ht="105" x14ac:dyDescent="0.25">
      <c r="A3190" s="1" t="s">
        <v>163</v>
      </c>
      <c r="B3190" s="1"/>
      <c r="C3190" s="1" t="s">
        <v>4238</v>
      </c>
      <c r="D3190" s="1">
        <v>143788</v>
      </c>
      <c r="E3190" s="1">
        <v>7339</v>
      </c>
      <c r="F3190" s="1" t="s">
        <v>4373</v>
      </c>
      <c r="G3190" s="1" t="s">
        <v>4374</v>
      </c>
      <c r="H3190" s="1" t="s">
        <v>141</v>
      </c>
      <c r="I3190" s="1" t="s">
        <v>65</v>
      </c>
      <c r="J3190" s="1">
        <v>3</v>
      </c>
      <c r="K3190" s="1" t="s">
        <v>142</v>
      </c>
      <c r="L3190" s="1" t="s">
        <v>153</v>
      </c>
      <c r="M3190" s="1" t="s">
        <v>28</v>
      </c>
      <c r="N3190" s="1" t="str">
        <f>HYPERLINK("https://klocwork.india.ti.com:443/review/insight-review.html#issuedetails_goto:problemid=143788,project=MCU_PLUS_SDK_AM263X,searchquery=taxonomy:'C and C++' build:Build_Apr_13_2023_11_11_AM grouping:off ","KW Issue Link")</f>
        <v>KW Issue Link</v>
      </c>
      <c r="O3190" s="1" t="s">
        <v>1083</v>
      </c>
    </row>
    <row r="3191" spans="1:15" ht="90" x14ac:dyDescent="0.25">
      <c r="A3191" s="1" t="s">
        <v>163</v>
      </c>
      <c r="B3191" s="1"/>
      <c r="C3191" s="1" t="s">
        <v>4238</v>
      </c>
      <c r="D3191" s="1">
        <v>143789</v>
      </c>
      <c r="E3191" s="1">
        <v>7469</v>
      </c>
      <c r="F3191" s="1" t="s">
        <v>4375</v>
      </c>
      <c r="G3191" s="1" t="s">
        <v>4376</v>
      </c>
      <c r="H3191" s="1" t="s">
        <v>141</v>
      </c>
      <c r="I3191" s="1" t="s">
        <v>65</v>
      </c>
      <c r="J3191" s="1">
        <v>3</v>
      </c>
      <c r="K3191" s="1" t="s">
        <v>142</v>
      </c>
      <c r="L3191" s="1" t="s">
        <v>153</v>
      </c>
      <c r="M3191" s="1" t="s">
        <v>28</v>
      </c>
      <c r="N3191" s="1" t="str">
        <f>HYPERLINK("https://klocwork.india.ti.com:443/review/insight-review.html#issuedetails_goto:problemid=143789,project=MCU_PLUS_SDK_AM263X,searchquery=taxonomy:'C and C++' build:Build_Apr_13_2023_11_11_AM grouping:off ","KW Issue Link")</f>
        <v>KW Issue Link</v>
      </c>
      <c r="O3191" s="1" t="s">
        <v>1083</v>
      </c>
    </row>
    <row r="3192" spans="1:15" ht="90" x14ac:dyDescent="0.25">
      <c r="A3192" s="1" t="s">
        <v>163</v>
      </c>
      <c r="B3192" s="1"/>
      <c r="C3192" s="1" t="s">
        <v>4238</v>
      </c>
      <c r="D3192" s="1">
        <v>143790</v>
      </c>
      <c r="E3192" s="1">
        <v>7985</v>
      </c>
      <c r="F3192" s="1" t="s">
        <v>4377</v>
      </c>
      <c r="G3192" s="1" t="s">
        <v>4378</v>
      </c>
      <c r="H3192" s="1" t="s">
        <v>141</v>
      </c>
      <c r="I3192" s="1" t="s">
        <v>65</v>
      </c>
      <c r="J3192" s="1">
        <v>3</v>
      </c>
      <c r="K3192" s="1" t="s">
        <v>142</v>
      </c>
      <c r="L3192" s="1" t="s">
        <v>153</v>
      </c>
      <c r="M3192" s="1" t="s">
        <v>28</v>
      </c>
      <c r="N3192" s="1" t="str">
        <f>HYPERLINK("https://klocwork.india.ti.com:443/review/insight-review.html#issuedetails_goto:problemid=143790,project=MCU_PLUS_SDK_AM263X,searchquery=taxonomy:'C and C++' build:Build_Apr_13_2023_11_11_AM grouping:off ","KW Issue Link")</f>
        <v>KW Issue Link</v>
      </c>
      <c r="O3192" s="1" t="s">
        <v>1083</v>
      </c>
    </row>
    <row r="3193" spans="1:15" ht="90" x14ac:dyDescent="0.25">
      <c r="A3193" s="1" t="s">
        <v>163</v>
      </c>
      <c r="B3193" s="1"/>
      <c r="C3193" s="1" t="s">
        <v>4238</v>
      </c>
      <c r="D3193" s="1">
        <v>143791</v>
      </c>
      <c r="E3193" s="1">
        <v>7985</v>
      </c>
      <c r="F3193" s="1" t="s">
        <v>4379</v>
      </c>
      <c r="G3193" s="1" t="s">
        <v>4378</v>
      </c>
      <c r="H3193" s="1" t="s">
        <v>141</v>
      </c>
      <c r="I3193" s="1" t="s">
        <v>65</v>
      </c>
      <c r="J3193" s="1">
        <v>3</v>
      </c>
      <c r="K3193" s="1" t="s">
        <v>142</v>
      </c>
      <c r="L3193" s="1" t="s">
        <v>153</v>
      </c>
      <c r="M3193" s="1" t="s">
        <v>28</v>
      </c>
      <c r="N3193" s="1" t="str">
        <f>HYPERLINK("https://klocwork.india.ti.com:443/review/insight-review.html#issuedetails_goto:problemid=143791,project=MCU_PLUS_SDK_AM263X,searchquery=taxonomy:'C and C++' build:Build_Apr_13_2023_11_11_AM grouping:off ","KW Issue Link")</f>
        <v>KW Issue Link</v>
      </c>
      <c r="O3193" s="1" t="s">
        <v>1083</v>
      </c>
    </row>
    <row r="3194" spans="1:15" ht="120" x14ac:dyDescent="0.25">
      <c r="A3194" s="1" t="s">
        <v>163</v>
      </c>
      <c r="B3194" s="1"/>
      <c r="C3194" s="1" t="s">
        <v>4238</v>
      </c>
      <c r="D3194" s="1">
        <v>143792</v>
      </c>
      <c r="E3194" s="1">
        <v>8146</v>
      </c>
      <c r="F3194" s="1" t="s">
        <v>4380</v>
      </c>
      <c r="G3194" s="1" t="s">
        <v>4381</v>
      </c>
      <c r="H3194" s="1" t="s">
        <v>141</v>
      </c>
      <c r="I3194" s="1" t="s">
        <v>65</v>
      </c>
      <c r="J3194" s="1">
        <v>3</v>
      </c>
      <c r="K3194" s="1" t="s">
        <v>142</v>
      </c>
      <c r="L3194" s="1" t="s">
        <v>153</v>
      </c>
      <c r="M3194" s="1" t="s">
        <v>28</v>
      </c>
      <c r="N3194" s="1" t="str">
        <f>HYPERLINK("https://klocwork.india.ti.com:443/review/insight-review.html#issuedetails_goto:problemid=143792,project=MCU_PLUS_SDK_AM263X,searchquery=taxonomy:'C and C++' build:Build_Apr_13_2023_11_11_AM grouping:off ","KW Issue Link")</f>
        <v>KW Issue Link</v>
      </c>
      <c r="O3194" s="1" t="s">
        <v>1083</v>
      </c>
    </row>
    <row r="3195" spans="1:15" ht="120" x14ac:dyDescent="0.25">
      <c r="A3195" s="1" t="s">
        <v>163</v>
      </c>
      <c r="B3195" s="1"/>
      <c r="C3195" s="1" t="s">
        <v>4238</v>
      </c>
      <c r="D3195" s="1">
        <v>143793</v>
      </c>
      <c r="E3195" s="1">
        <v>8146</v>
      </c>
      <c r="F3195" s="1" t="s">
        <v>4382</v>
      </c>
      <c r="G3195" s="1" t="s">
        <v>4381</v>
      </c>
      <c r="H3195" s="1" t="s">
        <v>141</v>
      </c>
      <c r="I3195" s="1" t="s">
        <v>65</v>
      </c>
      <c r="J3195" s="1">
        <v>3</v>
      </c>
      <c r="K3195" s="1" t="s">
        <v>142</v>
      </c>
      <c r="L3195" s="1" t="s">
        <v>153</v>
      </c>
      <c r="M3195" s="1" t="s">
        <v>28</v>
      </c>
      <c r="N3195" s="1" t="str">
        <f>HYPERLINK("https://klocwork.india.ti.com:443/review/insight-review.html#issuedetails_goto:problemid=143793,project=MCU_PLUS_SDK_AM263X,searchquery=taxonomy:'C and C++' build:Build_Apr_13_2023_11_11_AM grouping:off ","KW Issue Link")</f>
        <v>KW Issue Link</v>
      </c>
      <c r="O3195" s="1" t="s">
        <v>1083</v>
      </c>
    </row>
    <row r="3196" spans="1:15" ht="120" x14ac:dyDescent="0.25">
      <c r="A3196" s="1" t="s">
        <v>163</v>
      </c>
      <c r="B3196" s="1"/>
      <c r="C3196" s="1" t="s">
        <v>4238</v>
      </c>
      <c r="D3196" s="1">
        <v>143794</v>
      </c>
      <c r="E3196" s="1">
        <v>8146</v>
      </c>
      <c r="F3196" s="1" t="s">
        <v>4383</v>
      </c>
      <c r="G3196" s="1" t="s">
        <v>4381</v>
      </c>
      <c r="H3196" s="1" t="s">
        <v>141</v>
      </c>
      <c r="I3196" s="1" t="s">
        <v>65</v>
      </c>
      <c r="J3196" s="1">
        <v>3</v>
      </c>
      <c r="K3196" s="1" t="s">
        <v>142</v>
      </c>
      <c r="L3196" s="1" t="s">
        <v>153</v>
      </c>
      <c r="M3196" s="1" t="s">
        <v>28</v>
      </c>
      <c r="N3196" s="1" t="str">
        <f>HYPERLINK("https://klocwork.india.ti.com:443/review/insight-review.html#issuedetails_goto:problemid=143794,project=MCU_PLUS_SDK_AM263X,searchquery=taxonomy:'C and C++' build:Build_Apr_13_2023_11_11_AM grouping:off ","KW Issue Link")</f>
        <v>KW Issue Link</v>
      </c>
      <c r="O3196" s="1" t="s">
        <v>1083</v>
      </c>
    </row>
    <row r="3197" spans="1:15" ht="105" x14ac:dyDescent="0.25">
      <c r="A3197" s="1" t="s">
        <v>163</v>
      </c>
      <c r="B3197" s="1"/>
      <c r="C3197" s="1" t="s">
        <v>4238</v>
      </c>
      <c r="D3197" s="1">
        <v>143795</v>
      </c>
      <c r="E3197" s="1">
        <v>8146</v>
      </c>
      <c r="F3197" s="1" t="s">
        <v>4384</v>
      </c>
      <c r="G3197" s="1" t="s">
        <v>4381</v>
      </c>
      <c r="H3197" s="1" t="s">
        <v>141</v>
      </c>
      <c r="I3197" s="1" t="s">
        <v>65</v>
      </c>
      <c r="J3197" s="1">
        <v>3</v>
      </c>
      <c r="K3197" s="1" t="s">
        <v>142</v>
      </c>
      <c r="L3197" s="1" t="s">
        <v>153</v>
      </c>
      <c r="M3197" s="1" t="s">
        <v>28</v>
      </c>
      <c r="N3197" s="1" t="str">
        <f>HYPERLINK("https://klocwork.india.ti.com:443/review/insight-review.html#issuedetails_goto:problemid=143795,project=MCU_PLUS_SDK_AM263X,searchquery=taxonomy:'C and C++' build:Build_Apr_13_2023_11_11_AM grouping:off ","KW Issue Link")</f>
        <v>KW Issue Link</v>
      </c>
      <c r="O3197" s="1" t="s">
        <v>1083</v>
      </c>
    </row>
    <row r="3198" spans="1:15" ht="105" x14ac:dyDescent="0.25">
      <c r="A3198" s="1" t="s">
        <v>163</v>
      </c>
      <c r="B3198" s="1"/>
      <c r="C3198" s="1" t="s">
        <v>4238</v>
      </c>
      <c r="D3198" s="1">
        <v>143796</v>
      </c>
      <c r="E3198" s="1">
        <v>8146</v>
      </c>
      <c r="F3198" s="1" t="s">
        <v>4385</v>
      </c>
      <c r="G3198" s="1" t="s">
        <v>4381</v>
      </c>
      <c r="H3198" s="1" t="s">
        <v>141</v>
      </c>
      <c r="I3198" s="1" t="s">
        <v>65</v>
      </c>
      <c r="J3198" s="1">
        <v>3</v>
      </c>
      <c r="K3198" s="1" t="s">
        <v>142</v>
      </c>
      <c r="L3198" s="1" t="s">
        <v>153</v>
      </c>
      <c r="M3198" s="1" t="s">
        <v>28</v>
      </c>
      <c r="N3198" s="1" t="str">
        <f>HYPERLINK("https://klocwork.india.ti.com:443/review/insight-review.html#issuedetails_goto:problemid=143796,project=MCU_PLUS_SDK_AM263X,searchquery=taxonomy:'C and C++' build:Build_Apr_13_2023_11_11_AM grouping:off ","KW Issue Link")</f>
        <v>KW Issue Link</v>
      </c>
      <c r="O3198" s="1" t="s">
        <v>1083</v>
      </c>
    </row>
    <row r="3199" spans="1:15" ht="105" x14ac:dyDescent="0.25">
      <c r="A3199" s="1" t="s">
        <v>163</v>
      </c>
      <c r="B3199" s="1"/>
      <c r="C3199" s="1" t="s">
        <v>4238</v>
      </c>
      <c r="D3199" s="1">
        <v>143797</v>
      </c>
      <c r="E3199" s="1">
        <v>8898</v>
      </c>
      <c r="F3199" s="1" t="s">
        <v>4386</v>
      </c>
      <c r="G3199" s="1" t="s">
        <v>4387</v>
      </c>
      <c r="H3199" s="1" t="s">
        <v>141</v>
      </c>
      <c r="I3199" s="1" t="s">
        <v>65</v>
      </c>
      <c r="J3199" s="1">
        <v>3</v>
      </c>
      <c r="K3199" s="1" t="s">
        <v>142</v>
      </c>
      <c r="L3199" s="1" t="s">
        <v>153</v>
      </c>
      <c r="M3199" s="1" t="s">
        <v>28</v>
      </c>
      <c r="N3199" s="1" t="str">
        <f>HYPERLINK("https://klocwork.india.ti.com:443/review/insight-review.html#issuedetails_goto:problemid=143797,project=MCU_PLUS_SDK_AM263X,searchquery=taxonomy:'C and C++' build:Build_Apr_13_2023_11_11_AM grouping:off ","KW Issue Link")</f>
        <v>KW Issue Link</v>
      </c>
      <c r="O3199" s="1" t="s">
        <v>1083</v>
      </c>
    </row>
    <row r="3200" spans="1:15" ht="105" x14ac:dyDescent="0.25">
      <c r="A3200" s="1" t="s">
        <v>163</v>
      </c>
      <c r="B3200" s="1"/>
      <c r="C3200" s="1" t="s">
        <v>4238</v>
      </c>
      <c r="D3200" s="1">
        <v>143798</v>
      </c>
      <c r="E3200" s="1">
        <v>8898</v>
      </c>
      <c r="F3200" s="1" t="s">
        <v>4388</v>
      </c>
      <c r="G3200" s="1" t="s">
        <v>4387</v>
      </c>
      <c r="H3200" s="1" t="s">
        <v>141</v>
      </c>
      <c r="I3200" s="1" t="s">
        <v>65</v>
      </c>
      <c r="J3200" s="1">
        <v>3</v>
      </c>
      <c r="K3200" s="1" t="s">
        <v>142</v>
      </c>
      <c r="L3200" s="1" t="s">
        <v>153</v>
      </c>
      <c r="M3200" s="1" t="s">
        <v>28</v>
      </c>
      <c r="N3200" s="1" t="str">
        <f>HYPERLINK("https://klocwork.india.ti.com:443/review/insight-review.html#issuedetails_goto:problemid=143798,project=MCU_PLUS_SDK_AM263X,searchquery=taxonomy:'C and C++' build:Build_Apr_13_2023_11_11_AM grouping:off ","KW Issue Link")</f>
        <v>KW Issue Link</v>
      </c>
      <c r="O3200" s="1" t="s">
        <v>1083</v>
      </c>
    </row>
    <row r="3201" spans="1:15" ht="90" x14ac:dyDescent="0.25">
      <c r="A3201" s="1" t="s">
        <v>163</v>
      </c>
      <c r="B3201" s="1"/>
      <c r="C3201" s="1" t="s">
        <v>4238</v>
      </c>
      <c r="D3201" s="1">
        <v>143799</v>
      </c>
      <c r="E3201" s="1">
        <v>8901</v>
      </c>
      <c r="F3201" s="1" t="s">
        <v>4389</v>
      </c>
      <c r="G3201" s="1" t="s">
        <v>4387</v>
      </c>
      <c r="H3201" s="1" t="s">
        <v>141</v>
      </c>
      <c r="I3201" s="1" t="s">
        <v>65</v>
      </c>
      <c r="J3201" s="1">
        <v>3</v>
      </c>
      <c r="K3201" s="1" t="s">
        <v>142</v>
      </c>
      <c r="L3201" s="1" t="s">
        <v>153</v>
      </c>
      <c r="M3201" s="1" t="s">
        <v>28</v>
      </c>
      <c r="N3201" s="1" t="str">
        <f>HYPERLINK("https://klocwork.india.ti.com:443/review/insight-review.html#issuedetails_goto:problemid=143799,project=MCU_PLUS_SDK_AM263X,searchquery=taxonomy:'C and C++' build:Build_Apr_13_2023_11_11_AM grouping:off ","KW Issue Link")</f>
        <v>KW Issue Link</v>
      </c>
      <c r="O3201" s="1" t="s">
        <v>1083</v>
      </c>
    </row>
    <row r="3202" spans="1:15" ht="90" x14ac:dyDescent="0.25">
      <c r="A3202" s="1" t="s">
        <v>163</v>
      </c>
      <c r="B3202" s="1"/>
      <c r="C3202" s="1" t="s">
        <v>4238</v>
      </c>
      <c r="D3202" s="1">
        <v>143800</v>
      </c>
      <c r="E3202" s="1">
        <v>8902</v>
      </c>
      <c r="F3202" s="1" t="s">
        <v>4390</v>
      </c>
      <c r="G3202" s="1" t="s">
        <v>4387</v>
      </c>
      <c r="H3202" s="1" t="s">
        <v>141</v>
      </c>
      <c r="I3202" s="1" t="s">
        <v>65</v>
      </c>
      <c r="J3202" s="1">
        <v>3</v>
      </c>
      <c r="K3202" s="1" t="s">
        <v>142</v>
      </c>
      <c r="L3202" s="1" t="s">
        <v>153</v>
      </c>
      <c r="M3202" s="1" t="s">
        <v>28</v>
      </c>
      <c r="N3202" s="1" t="str">
        <f>HYPERLINK("https://klocwork.india.ti.com:443/review/insight-review.html#issuedetails_goto:problemid=143800,project=MCU_PLUS_SDK_AM263X,searchquery=taxonomy:'C and C++' build:Build_Apr_13_2023_11_11_AM grouping:off ","KW Issue Link")</f>
        <v>KW Issue Link</v>
      </c>
      <c r="O3202" s="1" t="s">
        <v>1083</v>
      </c>
    </row>
    <row r="3203" spans="1:15" ht="120" x14ac:dyDescent="0.25">
      <c r="A3203" s="1" t="s">
        <v>750</v>
      </c>
      <c r="B3203" s="1"/>
      <c r="C3203" s="1" t="s">
        <v>4238</v>
      </c>
      <c r="D3203" s="1">
        <v>143829</v>
      </c>
      <c r="E3203" s="1">
        <v>4941</v>
      </c>
      <c r="F3203" s="1" t="s">
        <v>4391</v>
      </c>
      <c r="G3203" s="1" t="s">
        <v>4392</v>
      </c>
      <c r="H3203" s="1" t="s">
        <v>141</v>
      </c>
      <c r="I3203" s="1" t="s">
        <v>63</v>
      </c>
      <c r="J3203" s="1">
        <v>1</v>
      </c>
      <c r="K3203" s="1" t="s">
        <v>142</v>
      </c>
      <c r="L3203" s="11" t="s">
        <v>177</v>
      </c>
      <c r="M3203" s="1" t="s">
        <v>28</v>
      </c>
      <c r="N3203" s="1" t="str">
        <f>HYPERLINK("https://klocwork.india.ti.com:443/review/insight-review.html#issuedetails_goto:problemid=143829,project=MCU_PLUS_SDK_AM263X,searchquery=taxonomy:'C and C++' build:Build_Apr_13_2023_11_11_AM grouping:off ","KW Issue Link")</f>
        <v>KW Issue Link</v>
      </c>
      <c r="O3203" s="1" t="s">
        <v>1083</v>
      </c>
    </row>
    <row r="3204" spans="1:15" ht="75" x14ac:dyDescent="0.25">
      <c r="A3204" s="1" t="s">
        <v>199</v>
      </c>
      <c r="B3204" s="1"/>
      <c r="C3204" s="1" t="s">
        <v>4238</v>
      </c>
      <c r="D3204" s="1">
        <v>143832</v>
      </c>
      <c r="E3204" s="1">
        <v>6361</v>
      </c>
      <c r="F3204" s="1" t="s">
        <v>4393</v>
      </c>
      <c r="G3204" s="1" t="s">
        <v>4281</v>
      </c>
      <c r="H3204" s="1" t="s">
        <v>141</v>
      </c>
      <c r="I3204" s="1" t="s">
        <v>63</v>
      </c>
      <c r="J3204" s="1">
        <v>1</v>
      </c>
      <c r="K3204" s="1" t="s">
        <v>142</v>
      </c>
      <c r="L3204" s="11" t="s">
        <v>177</v>
      </c>
      <c r="M3204" s="1" t="s">
        <v>28</v>
      </c>
      <c r="N3204" s="1" t="str">
        <f>HYPERLINK("https://klocwork.india.ti.com:443/review/insight-review.html#issuedetails_goto:problemid=143832,project=MCU_PLUS_SDK_AM263X,searchquery=taxonomy:'C and C++' build:Build_Apr_13_2023_11_11_AM grouping:off ","KW Issue Link")</f>
        <v>KW Issue Link</v>
      </c>
      <c r="O3204" s="1" t="s">
        <v>1083</v>
      </c>
    </row>
    <row r="3205" spans="1:15" ht="75" x14ac:dyDescent="0.25">
      <c r="A3205" s="1" t="s">
        <v>1266</v>
      </c>
      <c r="B3205" s="1"/>
      <c r="C3205" s="1" t="s">
        <v>4394</v>
      </c>
      <c r="D3205" s="1">
        <v>144307</v>
      </c>
      <c r="E3205" s="1">
        <v>201</v>
      </c>
      <c r="F3205" s="1" t="s">
        <v>4395</v>
      </c>
      <c r="G3205" s="1" t="s">
        <v>4396</v>
      </c>
      <c r="H3205" s="1" t="s">
        <v>141</v>
      </c>
      <c r="I3205" s="1" t="s">
        <v>65</v>
      </c>
      <c r="J3205" s="1">
        <v>3</v>
      </c>
      <c r="K3205" s="1" t="s">
        <v>142</v>
      </c>
      <c r="L3205" s="1" t="s">
        <v>153</v>
      </c>
      <c r="M3205" s="1" t="s">
        <v>1256</v>
      </c>
      <c r="N3205" s="1" t="str">
        <f>HYPERLINK("https://klocwork.india.ti.com:443/review/insight-review.html#issuedetails_goto:problemid=144307,project=MCU_PLUS_SDK_AM263X,searchquery=taxonomy:'C and C++' build:Build_Apr_13_2023_11_11_AM grouping:off ","KW Issue Link")</f>
        <v>KW Issue Link</v>
      </c>
      <c r="O3205" s="1" t="s">
        <v>1083</v>
      </c>
    </row>
    <row r="3206" spans="1:15" ht="75" x14ac:dyDescent="0.25">
      <c r="A3206" s="1" t="s">
        <v>1266</v>
      </c>
      <c r="B3206" s="1"/>
      <c r="C3206" s="1" t="s">
        <v>4394</v>
      </c>
      <c r="D3206" s="1">
        <v>144308</v>
      </c>
      <c r="E3206" s="1">
        <v>524</v>
      </c>
      <c r="F3206" s="1" t="s">
        <v>4397</v>
      </c>
      <c r="G3206" s="1" t="s">
        <v>4398</v>
      </c>
      <c r="H3206" s="1" t="s">
        <v>141</v>
      </c>
      <c r="I3206" s="1" t="s">
        <v>65</v>
      </c>
      <c r="J3206" s="1">
        <v>3</v>
      </c>
      <c r="K3206" s="1" t="s">
        <v>142</v>
      </c>
      <c r="L3206" s="1" t="s">
        <v>153</v>
      </c>
      <c r="M3206" s="1" t="s">
        <v>1256</v>
      </c>
      <c r="N3206" s="1" t="str">
        <f>HYPERLINK("https://klocwork.india.ti.com:443/review/insight-review.html#issuedetails_goto:problemid=144308,project=MCU_PLUS_SDK_AM263X,searchquery=taxonomy:'C and C++' build:Build_Apr_13_2023_11_11_AM grouping:off ","KW Issue Link")</f>
        <v>KW Issue Link</v>
      </c>
      <c r="O3206" s="1" t="s">
        <v>1083</v>
      </c>
    </row>
    <row r="3207" spans="1:15" ht="75" x14ac:dyDescent="0.25">
      <c r="A3207" s="1" t="s">
        <v>1266</v>
      </c>
      <c r="B3207" s="1"/>
      <c r="C3207" s="1" t="s">
        <v>4394</v>
      </c>
      <c r="D3207" s="1">
        <v>144309</v>
      </c>
      <c r="E3207" s="1">
        <v>736</v>
      </c>
      <c r="F3207" s="1" t="s">
        <v>4399</v>
      </c>
      <c r="G3207" s="1" t="s">
        <v>4400</v>
      </c>
      <c r="H3207" s="1" t="s">
        <v>141</v>
      </c>
      <c r="I3207" s="1" t="s">
        <v>65</v>
      </c>
      <c r="J3207" s="1">
        <v>3</v>
      </c>
      <c r="K3207" s="1" t="s">
        <v>142</v>
      </c>
      <c r="L3207" s="1" t="s">
        <v>153</v>
      </c>
      <c r="M3207" s="1" t="s">
        <v>1256</v>
      </c>
      <c r="N3207" s="1" t="str">
        <f>HYPERLINK("https://klocwork.india.ti.com:443/review/insight-review.html#issuedetails_goto:problemid=144309,project=MCU_PLUS_SDK_AM263X,searchquery=taxonomy:'C and C++' build:Build_Apr_13_2023_11_11_AM grouping:off ","KW Issue Link")</f>
        <v>KW Issue Link</v>
      </c>
      <c r="O3207" s="1" t="s">
        <v>1083</v>
      </c>
    </row>
    <row r="3208" spans="1:15" ht="75" x14ac:dyDescent="0.25">
      <c r="A3208" s="1" t="s">
        <v>1268</v>
      </c>
      <c r="B3208" s="1"/>
      <c r="C3208" s="1" t="s">
        <v>4394</v>
      </c>
      <c r="D3208" s="1">
        <v>144310</v>
      </c>
      <c r="E3208" s="1">
        <v>201</v>
      </c>
      <c r="F3208" s="1" t="s">
        <v>4401</v>
      </c>
      <c r="G3208" s="1" t="s">
        <v>4396</v>
      </c>
      <c r="H3208" s="1" t="s">
        <v>141</v>
      </c>
      <c r="I3208" s="1" t="s">
        <v>65</v>
      </c>
      <c r="J3208" s="1">
        <v>3</v>
      </c>
      <c r="K3208" s="1" t="s">
        <v>142</v>
      </c>
      <c r="L3208" s="1" t="s">
        <v>153</v>
      </c>
      <c r="M3208" s="1" t="s">
        <v>1256</v>
      </c>
      <c r="N3208" s="1" t="str">
        <f>HYPERLINK("https://klocwork.india.ti.com:443/review/insight-review.html#issuedetails_goto:problemid=144310,project=MCU_PLUS_SDK_AM263X,searchquery=taxonomy:'C and C++' build:Build_Apr_13_2023_11_11_AM grouping:off ","KW Issue Link")</f>
        <v>KW Issue Link</v>
      </c>
      <c r="O3208" s="1" t="s">
        <v>1083</v>
      </c>
    </row>
    <row r="3209" spans="1:15" ht="75" x14ac:dyDescent="0.25">
      <c r="A3209" s="1" t="s">
        <v>1268</v>
      </c>
      <c r="B3209" s="1"/>
      <c r="C3209" s="1" t="s">
        <v>4394</v>
      </c>
      <c r="D3209" s="1">
        <v>144311</v>
      </c>
      <c r="E3209" s="1">
        <v>736</v>
      </c>
      <c r="F3209" s="1" t="s">
        <v>4402</v>
      </c>
      <c r="G3209" s="1" t="s">
        <v>4400</v>
      </c>
      <c r="H3209" s="1" t="s">
        <v>141</v>
      </c>
      <c r="I3209" s="1" t="s">
        <v>65</v>
      </c>
      <c r="J3209" s="1">
        <v>3</v>
      </c>
      <c r="K3209" s="1" t="s">
        <v>142</v>
      </c>
      <c r="L3209" s="1" t="s">
        <v>153</v>
      </c>
      <c r="M3209" s="1" t="s">
        <v>1256</v>
      </c>
      <c r="N3209" s="1" t="str">
        <f>HYPERLINK("https://klocwork.india.ti.com:443/review/insight-review.html#issuedetails_goto:problemid=144311,project=MCU_PLUS_SDK_AM263X,searchquery=taxonomy:'C and C++' build:Build_Apr_13_2023_11_11_AM grouping:off ","KW Issue Link")</f>
        <v>KW Issue Link</v>
      </c>
      <c r="O3209" s="1" t="s">
        <v>1083</v>
      </c>
    </row>
    <row r="3210" spans="1:15" ht="75" x14ac:dyDescent="0.25">
      <c r="A3210" s="1" t="s">
        <v>1257</v>
      </c>
      <c r="B3210" s="1"/>
      <c r="C3210" s="1" t="s">
        <v>4394</v>
      </c>
      <c r="D3210" s="1">
        <v>144353</v>
      </c>
      <c r="E3210" s="1">
        <v>736</v>
      </c>
      <c r="F3210" s="1" t="s">
        <v>4403</v>
      </c>
      <c r="G3210" s="1" t="s">
        <v>4400</v>
      </c>
      <c r="H3210" s="1" t="s">
        <v>141</v>
      </c>
      <c r="I3210" s="1" t="s">
        <v>65</v>
      </c>
      <c r="J3210" s="1">
        <v>3</v>
      </c>
      <c r="K3210" s="1" t="s">
        <v>142</v>
      </c>
      <c r="L3210" s="1" t="s">
        <v>153</v>
      </c>
      <c r="M3210" s="1" t="s">
        <v>1256</v>
      </c>
      <c r="N3210" s="1" t="str">
        <f>HYPERLINK("https://klocwork.india.ti.com:443/review/insight-review.html#issuedetails_goto:problemid=144353,project=MCU_PLUS_SDK_AM263X,searchquery=taxonomy:'C and C++' build:Build_Apr_13_2023_11_11_AM grouping:off ","KW Issue Link")</f>
        <v>KW Issue Link</v>
      </c>
      <c r="O3210" s="1" t="s">
        <v>1083</v>
      </c>
    </row>
    <row r="3211" spans="1:15" ht="75" x14ac:dyDescent="0.25">
      <c r="A3211" s="1" t="s">
        <v>1252</v>
      </c>
      <c r="B3211" s="1"/>
      <c r="C3211" s="1" t="s">
        <v>4394</v>
      </c>
      <c r="D3211" s="1">
        <v>144365</v>
      </c>
      <c r="E3211" s="1">
        <v>832</v>
      </c>
      <c r="F3211" s="1" t="s">
        <v>4404</v>
      </c>
      <c r="G3211" s="1" t="s">
        <v>4405</v>
      </c>
      <c r="H3211" s="1" t="s">
        <v>141</v>
      </c>
      <c r="I3211" s="1" t="s">
        <v>65</v>
      </c>
      <c r="J3211" s="1">
        <v>3</v>
      </c>
      <c r="K3211" s="1" t="s">
        <v>142</v>
      </c>
      <c r="L3211" s="1" t="s">
        <v>153</v>
      </c>
      <c r="M3211" s="1" t="s">
        <v>1256</v>
      </c>
      <c r="N3211" s="1" t="str">
        <f>HYPERLINK("https://klocwork.india.ti.com:443/review/insight-review.html#issuedetails_goto:problemid=144365,project=MCU_PLUS_SDK_AM263X,searchquery=taxonomy:'C and C++' build:Build_Apr_13_2023_11_11_AM grouping:off ","KW Issue Link")</f>
        <v>KW Issue Link</v>
      </c>
      <c r="O3211" s="1" t="s">
        <v>1083</v>
      </c>
    </row>
    <row r="3212" spans="1:15" ht="75" x14ac:dyDescent="0.25">
      <c r="A3212" s="1" t="s">
        <v>1257</v>
      </c>
      <c r="B3212" s="1"/>
      <c r="C3212" s="1" t="s">
        <v>4406</v>
      </c>
      <c r="D3212" s="1">
        <v>144503</v>
      </c>
      <c r="E3212" s="1">
        <v>89</v>
      </c>
      <c r="F3212" s="1" t="s">
        <v>4407</v>
      </c>
      <c r="G3212" s="1" t="s">
        <v>4408</v>
      </c>
      <c r="H3212" s="1" t="s">
        <v>141</v>
      </c>
      <c r="I3212" s="1" t="s">
        <v>65</v>
      </c>
      <c r="J3212" s="1">
        <v>3</v>
      </c>
      <c r="K3212" s="1" t="s">
        <v>142</v>
      </c>
      <c r="L3212" s="1" t="s">
        <v>153</v>
      </c>
      <c r="M3212" s="1" t="s">
        <v>1256</v>
      </c>
      <c r="N3212" s="1" t="str">
        <f>HYPERLINK("https://klocwork.india.ti.com:443/review/insight-review.html#issuedetails_goto:problemid=144503,project=MCU_PLUS_SDK_AM263X,searchquery=taxonomy:'C and C++' build:Build_Apr_13_2023_11_11_AM grouping:off ","KW Issue Link")</f>
        <v>KW Issue Link</v>
      </c>
      <c r="O3212" s="1" t="s">
        <v>1083</v>
      </c>
    </row>
    <row r="3213" spans="1:15" ht="75" x14ac:dyDescent="0.25">
      <c r="A3213" s="1" t="s">
        <v>1266</v>
      </c>
      <c r="B3213" s="1"/>
      <c r="C3213" s="1" t="s">
        <v>4406</v>
      </c>
      <c r="D3213" s="1">
        <v>144504</v>
      </c>
      <c r="E3213" s="1">
        <v>89</v>
      </c>
      <c r="F3213" s="1" t="s">
        <v>4409</v>
      </c>
      <c r="G3213" s="1" t="s">
        <v>4408</v>
      </c>
      <c r="H3213" s="1" t="s">
        <v>141</v>
      </c>
      <c r="I3213" s="1" t="s">
        <v>65</v>
      </c>
      <c r="J3213" s="1">
        <v>3</v>
      </c>
      <c r="K3213" s="1" t="s">
        <v>142</v>
      </c>
      <c r="L3213" s="1" t="s">
        <v>153</v>
      </c>
      <c r="M3213" s="1" t="s">
        <v>1256</v>
      </c>
      <c r="N3213" s="1" t="str">
        <f>HYPERLINK("https://klocwork.india.ti.com:443/review/insight-review.html#issuedetails_goto:problemid=144504,project=MCU_PLUS_SDK_AM263X,searchquery=taxonomy:'C and C++' build:Build_Apr_13_2023_11_11_AM grouping:off ","KW Issue Link")</f>
        <v>KW Issue Link</v>
      </c>
      <c r="O3213" s="1" t="s">
        <v>1083</v>
      </c>
    </row>
    <row r="3214" spans="1:15" ht="75" x14ac:dyDescent="0.25">
      <c r="A3214" s="1" t="s">
        <v>1266</v>
      </c>
      <c r="B3214" s="1"/>
      <c r="C3214" s="1" t="s">
        <v>4406</v>
      </c>
      <c r="D3214" s="1">
        <v>144505</v>
      </c>
      <c r="E3214" s="1">
        <v>195</v>
      </c>
      <c r="F3214" s="1" t="s">
        <v>4410</v>
      </c>
      <c r="G3214" s="1" t="s">
        <v>4411</v>
      </c>
      <c r="H3214" s="1" t="s">
        <v>141</v>
      </c>
      <c r="I3214" s="1" t="s">
        <v>65</v>
      </c>
      <c r="J3214" s="1">
        <v>3</v>
      </c>
      <c r="K3214" s="1" t="s">
        <v>142</v>
      </c>
      <c r="L3214" s="1" t="s">
        <v>153</v>
      </c>
      <c r="M3214" s="1" t="s">
        <v>1256</v>
      </c>
      <c r="N3214" s="1" t="str">
        <f>HYPERLINK("https://klocwork.india.ti.com:443/review/insight-review.html#issuedetails_goto:problemid=144505,project=MCU_PLUS_SDK_AM263X,searchquery=taxonomy:'C and C++' build:Build_Apr_13_2023_11_11_AM grouping:off ","KW Issue Link")</f>
        <v>KW Issue Link</v>
      </c>
      <c r="O3214" s="1" t="s">
        <v>1083</v>
      </c>
    </row>
    <row r="3215" spans="1:15" ht="75" x14ac:dyDescent="0.25">
      <c r="A3215" s="1" t="s">
        <v>1266</v>
      </c>
      <c r="B3215" s="1"/>
      <c r="C3215" s="1" t="s">
        <v>4406</v>
      </c>
      <c r="D3215" s="1">
        <v>144506</v>
      </c>
      <c r="E3215" s="1">
        <v>286</v>
      </c>
      <c r="F3215" s="1" t="s">
        <v>4412</v>
      </c>
      <c r="G3215" s="1" t="s">
        <v>4413</v>
      </c>
      <c r="H3215" s="1" t="s">
        <v>141</v>
      </c>
      <c r="I3215" s="1" t="s">
        <v>65</v>
      </c>
      <c r="J3215" s="1">
        <v>3</v>
      </c>
      <c r="K3215" s="1" t="s">
        <v>142</v>
      </c>
      <c r="L3215" s="1" t="s">
        <v>153</v>
      </c>
      <c r="M3215" s="1" t="s">
        <v>1256</v>
      </c>
      <c r="N3215" s="1" t="str">
        <f>HYPERLINK("https://klocwork.india.ti.com:443/review/insight-review.html#issuedetails_goto:problemid=144506,project=MCU_PLUS_SDK_AM263X,searchquery=taxonomy:'C and C++' build:Build_Apr_13_2023_11_11_AM grouping:off ","KW Issue Link")</f>
        <v>KW Issue Link</v>
      </c>
      <c r="O3215" s="1" t="s">
        <v>1083</v>
      </c>
    </row>
    <row r="3216" spans="1:15" ht="75" x14ac:dyDescent="0.25">
      <c r="A3216" s="1" t="s">
        <v>1252</v>
      </c>
      <c r="B3216" s="1"/>
      <c r="C3216" s="1" t="s">
        <v>4406</v>
      </c>
      <c r="D3216" s="1">
        <v>144619</v>
      </c>
      <c r="E3216" s="1">
        <v>166</v>
      </c>
      <c r="F3216" s="1" t="s">
        <v>4414</v>
      </c>
      <c r="G3216" s="1" t="s">
        <v>4415</v>
      </c>
      <c r="H3216" s="1" t="s">
        <v>141</v>
      </c>
      <c r="I3216" s="1" t="s">
        <v>65</v>
      </c>
      <c r="J3216" s="1">
        <v>3</v>
      </c>
      <c r="K3216" s="1" t="s">
        <v>142</v>
      </c>
      <c r="L3216" s="1" t="s">
        <v>153</v>
      </c>
      <c r="M3216" s="1" t="s">
        <v>1256</v>
      </c>
      <c r="N3216" s="1" t="str">
        <f>HYPERLINK("https://klocwork.india.ti.com:443/review/insight-review.html#issuedetails_goto:problemid=144619,project=MCU_PLUS_SDK_AM263X,searchquery=taxonomy:'C and C++' build:Build_Apr_13_2023_11_11_AM grouping:off ","KW Issue Link")</f>
        <v>KW Issue Link</v>
      </c>
      <c r="O3216" s="1" t="s">
        <v>1083</v>
      </c>
    </row>
    <row r="3217" spans="1:15" ht="75" x14ac:dyDescent="0.25">
      <c r="A3217" s="1" t="s">
        <v>1252</v>
      </c>
      <c r="B3217" s="1"/>
      <c r="C3217" s="1" t="s">
        <v>4406</v>
      </c>
      <c r="D3217" s="1">
        <v>144620</v>
      </c>
      <c r="E3217" s="1">
        <v>195</v>
      </c>
      <c r="F3217" s="1" t="s">
        <v>4416</v>
      </c>
      <c r="G3217" s="1" t="s">
        <v>4411</v>
      </c>
      <c r="H3217" s="1" t="s">
        <v>141</v>
      </c>
      <c r="I3217" s="1" t="s">
        <v>65</v>
      </c>
      <c r="J3217" s="1">
        <v>3</v>
      </c>
      <c r="K3217" s="1" t="s">
        <v>142</v>
      </c>
      <c r="L3217" s="1" t="s">
        <v>153</v>
      </c>
      <c r="M3217" s="1" t="s">
        <v>1256</v>
      </c>
      <c r="N3217" s="1" t="str">
        <f>HYPERLINK("https://klocwork.india.ti.com:443/review/insight-review.html#issuedetails_goto:problemid=144620,project=MCU_PLUS_SDK_AM263X,searchquery=taxonomy:'C and C++' build:Build_Apr_13_2023_11_11_AM grouping:off ","KW Issue Link")</f>
        <v>KW Issue Link</v>
      </c>
      <c r="O3217" s="1" t="s">
        <v>1083</v>
      </c>
    </row>
    <row r="3218" spans="1:15" ht="75" x14ac:dyDescent="0.25">
      <c r="A3218" s="1" t="s">
        <v>1252</v>
      </c>
      <c r="B3218" s="1"/>
      <c r="C3218" s="1" t="s">
        <v>4406</v>
      </c>
      <c r="D3218" s="1">
        <v>144621</v>
      </c>
      <c r="E3218" s="1">
        <v>255</v>
      </c>
      <c r="F3218" s="1" t="s">
        <v>4417</v>
      </c>
      <c r="G3218" s="1" t="s">
        <v>4418</v>
      </c>
      <c r="H3218" s="1" t="s">
        <v>141</v>
      </c>
      <c r="I3218" s="1" t="s">
        <v>65</v>
      </c>
      <c r="J3218" s="1">
        <v>3</v>
      </c>
      <c r="K3218" s="1" t="s">
        <v>142</v>
      </c>
      <c r="L3218" s="1" t="s">
        <v>153</v>
      </c>
      <c r="M3218" s="1" t="s">
        <v>1256</v>
      </c>
      <c r="N3218" s="1" t="str">
        <f>HYPERLINK("https://klocwork.india.ti.com:443/review/insight-review.html#issuedetails_goto:problemid=144621,project=MCU_PLUS_SDK_AM263X,searchquery=taxonomy:'C and C++' build:Build_Apr_13_2023_11_11_AM grouping:off ","KW Issue Link")</f>
        <v>KW Issue Link</v>
      </c>
      <c r="O3218" s="1" t="s">
        <v>1083</v>
      </c>
    </row>
    <row r="3219" spans="1:15" ht="75" x14ac:dyDescent="0.25">
      <c r="A3219" s="1" t="s">
        <v>1268</v>
      </c>
      <c r="B3219" s="1"/>
      <c r="C3219" s="1" t="s">
        <v>4406</v>
      </c>
      <c r="D3219" s="1">
        <v>144624</v>
      </c>
      <c r="E3219" s="1">
        <v>195</v>
      </c>
      <c r="F3219" s="1" t="s">
        <v>4419</v>
      </c>
      <c r="G3219" s="1" t="s">
        <v>4411</v>
      </c>
      <c r="H3219" s="1" t="s">
        <v>141</v>
      </c>
      <c r="I3219" s="1" t="s">
        <v>65</v>
      </c>
      <c r="J3219" s="1">
        <v>3</v>
      </c>
      <c r="K3219" s="1" t="s">
        <v>142</v>
      </c>
      <c r="L3219" s="1" t="s">
        <v>153</v>
      </c>
      <c r="M3219" s="1" t="s">
        <v>1256</v>
      </c>
      <c r="N3219" s="1" t="str">
        <f>HYPERLINK("https://klocwork.india.ti.com:443/review/insight-review.html#issuedetails_goto:problemid=144624,project=MCU_PLUS_SDK_AM263X,searchquery=taxonomy:'C and C++' build:Build_Apr_13_2023_11_11_AM grouping:off ","KW Issue Link")</f>
        <v>KW Issue Link</v>
      </c>
      <c r="O3219" s="1" t="s">
        <v>1083</v>
      </c>
    </row>
    <row r="3220" spans="1:15" ht="75" x14ac:dyDescent="0.25">
      <c r="A3220" s="1" t="s">
        <v>1268</v>
      </c>
      <c r="B3220" s="1"/>
      <c r="C3220" s="1" t="s">
        <v>4406</v>
      </c>
      <c r="D3220" s="1">
        <v>144625</v>
      </c>
      <c r="E3220" s="1">
        <v>286</v>
      </c>
      <c r="F3220" s="1" t="s">
        <v>4420</v>
      </c>
      <c r="G3220" s="1" t="s">
        <v>4413</v>
      </c>
      <c r="H3220" s="1" t="s">
        <v>141</v>
      </c>
      <c r="I3220" s="1" t="s">
        <v>65</v>
      </c>
      <c r="J3220" s="1">
        <v>3</v>
      </c>
      <c r="K3220" s="1" t="s">
        <v>142</v>
      </c>
      <c r="L3220" s="1" t="s">
        <v>153</v>
      </c>
      <c r="M3220" s="1" t="s">
        <v>1256</v>
      </c>
      <c r="N3220" s="1" t="str">
        <f>HYPERLINK("https://klocwork.india.ti.com:443/review/insight-review.html#issuedetails_goto:problemid=144625,project=MCU_PLUS_SDK_AM263X,searchquery=taxonomy:'C and C++' build:Build_Apr_13_2023_11_11_AM grouping:off ","KW Issue Link")</f>
        <v>KW Issue Link</v>
      </c>
      <c r="O3220" s="1" t="s">
        <v>1083</v>
      </c>
    </row>
    <row r="3221" spans="1:15" ht="75" x14ac:dyDescent="0.25">
      <c r="A3221" s="1" t="s">
        <v>1266</v>
      </c>
      <c r="B3221" s="1"/>
      <c r="C3221" s="1" t="s">
        <v>4421</v>
      </c>
      <c r="D3221" s="1">
        <v>144773</v>
      </c>
      <c r="E3221" s="1">
        <v>100</v>
      </c>
      <c r="F3221" s="1" t="s">
        <v>4422</v>
      </c>
      <c r="G3221" s="1" t="s">
        <v>4423</v>
      </c>
      <c r="H3221" s="1" t="s">
        <v>141</v>
      </c>
      <c r="I3221" s="1" t="s">
        <v>65</v>
      </c>
      <c r="J3221" s="1">
        <v>3</v>
      </c>
      <c r="K3221" s="1" t="s">
        <v>142</v>
      </c>
      <c r="L3221" s="1" t="s">
        <v>153</v>
      </c>
      <c r="M3221" s="1" t="s">
        <v>1256</v>
      </c>
      <c r="N3221" s="1" t="str">
        <f>HYPERLINK("https://klocwork.india.ti.com:443/review/insight-review.html#issuedetails_goto:problemid=144773,project=MCU_PLUS_SDK_AM263X,searchquery=taxonomy:'C and C++' build:Build_Apr_13_2023_11_11_AM grouping:off ","KW Issue Link")</f>
        <v>KW Issue Link</v>
      </c>
      <c r="O3221" s="1" t="s">
        <v>1083</v>
      </c>
    </row>
    <row r="3222" spans="1:15" ht="75" x14ac:dyDescent="0.25">
      <c r="A3222" s="1" t="s">
        <v>1266</v>
      </c>
      <c r="B3222" s="1"/>
      <c r="C3222" s="1" t="s">
        <v>4421</v>
      </c>
      <c r="D3222" s="1">
        <v>144774</v>
      </c>
      <c r="E3222" s="1">
        <v>234</v>
      </c>
      <c r="F3222" s="1" t="s">
        <v>4424</v>
      </c>
      <c r="G3222" s="1" t="s">
        <v>4425</v>
      </c>
      <c r="H3222" s="1" t="s">
        <v>141</v>
      </c>
      <c r="I3222" s="1" t="s">
        <v>65</v>
      </c>
      <c r="J3222" s="1">
        <v>3</v>
      </c>
      <c r="K3222" s="1" t="s">
        <v>142</v>
      </c>
      <c r="L3222" s="1" t="s">
        <v>153</v>
      </c>
      <c r="M3222" s="1" t="s">
        <v>1256</v>
      </c>
      <c r="N3222" s="1" t="str">
        <f>HYPERLINK("https://klocwork.india.ti.com:443/review/insight-review.html#issuedetails_goto:problemid=144774,project=MCU_PLUS_SDK_AM263X,searchquery=taxonomy:'C and C++' build:Build_Apr_13_2023_11_11_AM grouping:off ","KW Issue Link")</f>
        <v>KW Issue Link</v>
      </c>
      <c r="O3222" s="1" t="s">
        <v>1083</v>
      </c>
    </row>
    <row r="3223" spans="1:15" ht="75" x14ac:dyDescent="0.25">
      <c r="A3223" s="1" t="s">
        <v>1266</v>
      </c>
      <c r="B3223" s="1"/>
      <c r="C3223" s="1" t="s">
        <v>4421</v>
      </c>
      <c r="D3223" s="1">
        <v>144775</v>
      </c>
      <c r="E3223" s="1">
        <v>300</v>
      </c>
      <c r="F3223" s="1" t="s">
        <v>4426</v>
      </c>
      <c r="G3223" s="1" t="s">
        <v>4427</v>
      </c>
      <c r="H3223" s="1" t="s">
        <v>141</v>
      </c>
      <c r="I3223" s="1" t="s">
        <v>65</v>
      </c>
      <c r="J3223" s="1">
        <v>3</v>
      </c>
      <c r="K3223" s="1" t="s">
        <v>142</v>
      </c>
      <c r="L3223" s="1" t="s">
        <v>153</v>
      </c>
      <c r="M3223" s="1" t="s">
        <v>1256</v>
      </c>
      <c r="N3223" s="1" t="str">
        <f>HYPERLINK("https://klocwork.india.ti.com:443/review/insight-review.html#issuedetails_goto:problemid=144775,project=MCU_PLUS_SDK_AM263X,searchquery=taxonomy:'C and C++' build:Build_Apr_13_2023_11_11_AM grouping:off ","KW Issue Link")</f>
        <v>KW Issue Link</v>
      </c>
      <c r="O3223" s="1" t="s">
        <v>1083</v>
      </c>
    </row>
    <row r="3224" spans="1:15" ht="75" x14ac:dyDescent="0.25">
      <c r="A3224" s="1" t="s">
        <v>1266</v>
      </c>
      <c r="B3224" s="1"/>
      <c r="C3224" s="1" t="s">
        <v>4421</v>
      </c>
      <c r="D3224" s="1">
        <v>144776</v>
      </c>
      <c r="E3224" s="1">
        <v>630</v>
      </c>
      <c r="F3224" s="1" t="s">
        <v>4428</v>
      </c>
      <c r="G3224" s="1" t="s">
        <v>4429</v>
      </c>
      <c r="H3224" s="1" t="s">
        <v>141</v>
      </c>
      <c r="I3224" s="1" t="s">
        <v>65</v>
      </c>
      <c r="J3224" s="1">
        <v>3</v>
      </c>
      <c r="K3224" s="1" t="s">
        <v>142</v>
      </c>
      <c r="L3224" s="1" t="s">
        <v>153</v>
      </c>
      <c r="M3224" s="1" t="s">
        <v>1256</v>
      </c>
      <c r="N3224" s="1" t="str">
        <f>HYPERLINK("https://klocwork.india.ti.com:443/review/insight-review.html#issuedetails_goto:problemid=144776,project=MCU_PLUS_SDK_AM263X,searchquery=taxonomy:'C and C++' build:Build_Apr_13_2023_11_11_AM grouping:off ","KW Issue Link")</f>
        <v>KW Issue Link</v>
      </c>
      <c r="O3224" s="1" t="s">
        <v>1083</v>
      </c>
    </row>
    <row r="3225" spans="1:15" ht="75" x14ac:dyDescent="0.25">
      <c r="A3225" s="1" t="s">
        <v>1268</v>
      </c>
      <c r="B3225" s="1"/>
      <c r="C3225" s="1" t="s">
        <v>4421</v>
      </c>
      <c r="D3225" s="1">
        <v>144921</v>
      </c>
      <c r="E3225" s="1">
        <v>300</v>
      </c>
      <c r="F3225" s="1" t="s">
        <v>4430</v>
      </c>
      <c r="G3225" s="1" t="s">
        <v>4427</v>
      </c>
      <c r="H3225" s="1" t="s">
        <v>141</v>
      </c>
      <c r="I3225" s="1" t="s">
        <v>65</v>
      </c>
      <c r="J3225" s="1">
        <v>3</v>
      </c>
      <c r="K3225" s="1" t="s">
        <v>142</v>
      </c>
      <c r="L3225" s="1" t="s">
        <v>153</v>
      </c>
      <c r="M3225" s="1" t="s">
        <v>1256</v>
      </c>
      <c r="N3225" s="1" t="str">
        <f>HYPERLINK("https://klocwork.india.ti.com:443/review/insight-review.html#issuedetails_goto:problemid=144921,project=MCU_PLUS_SDK_AM263X,searchquery=taxonomy:'C and C++' build:Build_Apr_13_2023_11_11_AM grouping:off ","KW Issue Link")</f>
        <v>KW Issue Link</v>
      </c>
      <c r="O3225" s="1" t="s">
        <v>1083</v>
      </c>
    </row>
    <row r="3226" spans="1:15" ht="75" x14ac:dyDescent="0.25">
      <c r="A3226" s="1" t="s">
        <v>1268</v>
      </c>
      <c r="B3226" s="1"/>
      <c r="C3226" s="1" t="s">
        <v>4421</v>
      </c>
      <c r="D3226" s="1">
        <v>144922</v>
      </c>
      <c r="E3226" s="1">
        <v>630</v>
      </c>
      <c r="F3226" s="1" t="s">
        <v>4431</v>
      </c>
      <c r="G3226" s="1" t="s">
        <v>4429</v>
      </c>
      <c r="H3226" s="1" t="s">
        <v>141</v>
      </c>
      <c r="I3226" s="1" t="s">
        <v>65</v>
      </c>
      <c r="J3226" s="1">
        <v>3</v>
      </c>
      <c r="K3226" s="1" t="s">
        <v>142</v>
      </c>
      <c r="L3226" s="1" t="s">
        <v>153</v>
      </c>
      <c r="M3226" s="1" t="s">
        <v>1256</v>
      </c>
      <c r="N3226" s="1" t="str">
        <f>HYPERLINK("https://klocwork.india.ti.com:443/review/insight-review.html#issuedetails_goto:problemid=144922,project=MCU_PLUS_SDK_AM263X,searchquery=taxonomy:'C and C++' build:Build_Apr_13_2023_11_11_AM grouping:off ","KW Issue Link")</f>
        <v>KW Issue Link</v>
      </c>
      <c r="O3226" s="1" t="s">
        <v>1083</v>
      </c>
    </row>
    <row r="3227" spans="1:15" ht="75" x14ac:dyDescent="0.25">
      <c r="A3227" s="1" t="s">
        <v>997</v>
      </c>
      <c r="B3227" s="1"/>
      <c r="C3227" s="1" t="s">
        <v>4421</v>
      </c>
      <c r="D3227" s="1">
        <v>144939</v>
      </c>
      <c r="E3227" s="1">
        <v>432</v>
      </c>
      <c r="F3227" s="1" t="s">
        <v>4029</v>
      </c>
      <c r="G3227" s="1" t="s">
        <v>4427</v>
      </c>
      <c r="H3227" s="1" t="s">
        <v>141</v>
      </c>
      <c r="I3227" s="1" t="s">
        <v>66</v>
      </c>
      <c r="J3227" s="1">
        <v>4</v>
      </c>
      <c r="K3227" s="1" t="s">
        <v>142</v>
      </c>
      <c r="L3227" s="1" t="s">
        <v>153</v>
      </c>
      <c r="M3227" s="1" t="s">
        <v>28</v>
      </c>
      <c r="N3227" s="1" t="str">
        <f>HYPERLINK("https://klocwork.india.ti.com:443/review/insight-review.html#issuedetails_goto:problemid=144939,project=MCU_PLUS_SDK_AM263X,searchquery=taxonomy:'C and C++' build:Build_Apr_13_2023_11_11_AM grouping:off ","KW Issue Link")</f>
        <v>KW Issue Link</v>
      </c>
      <c r="O3227" s="1" t="s">
        <v>1083</v>
      </c>
    </row>
    <row r="3228" spans="1:15" ht="75" x14ac:dyDescent="0.25">
      <c r="A3228" s="1" t="s">
        <v>1266</v>
      </c>
      <c r="B3228" s="1"/>
      <c r="C3228" s="1" t="s">
        <v>4432</v>
      </c>
      <c r="D3228" s="1">
        <v>145943</v>
      </c>
      <c r="E3228" s="1">
        <v>467</v>
      </c>
      <c r="F3228" s="1" t="s">
        <v>4433</v>
      </c>
      <c r="G3228" s="1" t="s">
        <v>4434</v>
      </c>
      <c r="H3228" s="1" t="s">
        <v>141</v>
      </c>
      <c r="I3228" s="1" t="s">
        <v>65</v>
      </c>
      <c r="J3228" s="1">
        <v>3</v>
      </c>
      <c r="K3228" s="1" t="s">
        <v>142</v>
      </c>
      <c r="L3228" s="1" t="s">
        <v>153</v>
      </c>
      <c r="M3228" s="1" t="s">
        <v>1256</v>
      </c>
      <c r="N3228" s="1" t="str">
        <f>HYPERLINK("https://klocwork.india.ti.com:443/review/insight-review.html#issuedetails_goto:problemid=145943,project=MCU_PLUS_SDK_AM263X,searchquery=taxonomy:'C and C++' build:Build_Apr_13_2023_11_11_AM grouping:off ","KW Issue Link")</f>
        <v>KW Issue Link</v>
      </c>
      <c r="O3228" s="1" t="s">
        <v>1083</v>
      </c>
    </row>
    <row r="3229" spans="1:15" ht="75" x14ac:dyDescent="0.25">
      <c r="A3229" s="1" t="s">
        <v>1266</v>
      </c>
      <c r="B3229" s="1"/>
      <c r="C3229" s="1" t="s">
        <v>4432</v>
      </c>
      <c r="D3229" s="1">
        <v>145944</v>
      </c>
      <c r="E3229" s="1">
        <v>547</v>
      </c>
      <c r="F3229" s="1" t="s">
        <v>4435</v>
      </c>
      <c r="G3229" s="1" t="s">
        <v>4436</v>
      </c>
      <c r="H3229" s="1" t="s">
        <v>141</v>
      </c>
      <c r="I3229" s="1" t="s">
        <v>65</v>
      </c>
      <c r="J3229" s="1">
        <v>3</v>
      </c>
      <c r="K3229" s="1" t="s">
        <v>142</v>
      </c>
      <c r="L3229" s="1" t="s">
        <v>153</v>
      </c>
      <c r="M3229" s="1" t="s">
        <v>1256</v>
      </c>
      <c r="N3229" s="1" t="str">
        <f>HYPERLINK("https://klocwork.india.ti.com:443/review/insight-review.html#issuedetails_goto:problemid=145944,project=MCU_PLUS_SDK_AM263X,searchquery=taxonomy:'C and C++' build:Build_Apr_13_2023_11_11_AM grouping:off ","KW Issue Link")</f>
        <v>KW Issue Link</v>
      </c>
      <c r="O3229" s="1" t="s">
        <v>1083</v>
      </c>
    </row>
    <row r="3230" spans="1:15" ht="75" x14ac:dyDescent="0.25">
      <c r="A3230" s="1" t="s">
        <v>1266</v>
      </c>
      <c r="B3230" s="1"/>
      <c r="C3230" s="1" t="s">
        <v>4432</v>
      </c>
      <c r="D3230" s="1">
        <v>145945</v>
      </c>
      <c r="E3230" s="1">
        <v>685</v>
      </c>
      <c r="F3230" s="1" t="s">
        <v>4437</v>
      </c>
      <c r="G3230" s="1" t="s">
        <v>4438</v>
      </c>
      <c r="H3230" s="1" t="s">
        <v>141</v>
      </c>
      <c r="I3230" s="1" t="s">
        <v>65</v>
      </c>
      <c r="J3230" s="1">
        <v>3</v>
      </c>
      <c r="K3230" s="1" t="s">
        <v>142</v>
      </c>
      <c r="L3230" s="1" t="s">
        <v>153</v>
      </c>
      <c r="M3230" s="1" t="s">
        <v>1256</v>
      </c>
      <c r="N3230" s="1" t="str">
        <f>HYPERLINK("https://klocwork.india.ti.com:443/review/insight-review.html#issuedetails_goto:problemid=145945,project=MCU_PLUS_SDK_AM263X,searchquery=taxonomy:'C and C++' build:Build_Apr_13_2023_11_11_AM grouping:off ","KW Issue Link")</f>
        <v>KW Issue Link</v>
      </c>
      <c r="O3230" s="1" t="s">
        <v>1083</v>
      </c>
    </row>
    <row r="3231" spans="1:15" ht="75" x14ac:dyDescent="0.25">
      <c r="A3231" s="1" t="s">
        <v>1266</v>
      </c>
      <c r="B3231" s="1"/>
      <c r="C3231" s="1" t="s">
        <v>4432</v>
      </c>
      <c r="D3231" s="1">
        <v>145946</v>
      </c>
      <c r="E3231" s="1">
        <v>993</v>
      </c>
      <c r="F3231" s="1" t="s">
        <v>4439</v>
      </c>
      <c r="G3231" s="1" t="s">
        <v>4440</v>
      </c>
      <c r="H3231" s="1" t="s">
        <v>141</v>
      </c>
      <c r="I3231" s="1" t="s">
        <v>65</v>
      </c>
      <c r="J3231" s="1">
        <v>3</v>
      </c>
      <c r="K3231" s="1" t="s">
        <v>142</v>
      </c>
      <c r="L3231" s="1" t="s">
        <v>153</v>
      </c>
      <c r="M3231" s="1" t="s">
        <v>1256</v>
      </c>
      <c r="N3231" s="1" t="str">
        <f>HYPERLINK("https://klocwork.india.ti.com:443/review/insight-review.html#issuedetails_goto:problemid=145946,project=MCU_PLUS_SDK_AM263X,searchquery=taxonomy:'C and C++' build:Build_Apr_13_2023_11_11_AM grouping:off ","KW Issue Link")</f>
        <v>KW Issue Link</v>
      </c>
      <c r="O3231" s="1" t="s">
        <v>1083</v>
      </c>
    </row>
    <row r="3232" spans="1:15" ht="75" x14ac:dyDescent="0.25">
      <c r="A3232" s="1" t="s">
        <v>1266</v>
      </c>
      <c r="B3232" s="1"/>
      <c r="C3232" s="1" t="s">
        <v>4432</v>
      </c>
      <c r="D3232" s="1">
        <v>145947</v>
      </c>
      <c r="E3232" s="1">
        <v>1298</v>
      </c>
      <c r="F3232" s="1" t="s">
        <v>4441</v>
      </c>
      <c r="G3232" s="1" t="s">
        <v>4442</v>
      </c>
      <c r="H3232" s="1" t="s">
        <v>141</v>
      </c>
      <c r="I3232" s="1" t="s">
        <v>65</v>
      </c>
      <c r="J3232" s="1">
        <v>3</v>
      </c>
      <c r="K3232" s="1" t="s">
        <v>142</v>
      </c>
      <c r="L3232" s="1" t="s">
        <v>153</v>
      </c>
      <c r="M3232" s="1" t="s">
        <v>1256</v>
      </c>
      <c r="N3232" s="1" t="str">
        <f>HYPERLINK("https://klocwork.india.ti.com:443/review/insight-review.html#issuedetails_goto:problemid=145947,project=MCU_PLUS_SDK_AM263X,searchquery=taxonomy:'C and C++' build:Build_Apr_13_2023_11_11_AM grouping:off ","KW Issue Link")</f>
        <v>KW Issue Link</v>
      </c>
      <c r="O3232" s="1" t="s">
        <v>1083</v>
      </c>
    </row>
    <row r="3233" spans="1:15" ht="75" x14ac:dyDescent="0.25">
      <c r="A3233" s="1" t="s">
        <v>1266</v>
      </c>
      <c r="B3233" s="1"/>
      <c r="C3233" s="1" t="s">
        <v>4432</v>
      </c>
      <c r="D3233" s="1">
        <v>145948</v>
      </c>
      <c r="E3233" s="1">
        <v>1325</v>
      </c>
      <c r="F3233" s="1" t="s">
        <v>4443</v>
      </c>
      <c r="G3233" s="1" t="s">
        <v>4444</v>
      </c>
      <c r="H3233" s="1" t="s">
        <v>141</v>
      </c>
      <c r="I3233" s="1" t="s">
        <v>65</v>
      </c>
      <c r="J3233" s="1">
        <v>3</v>
      </c>
      <c r="K3233" s="1" t="s">
        <v>142</v>
      </c>
      <c r="L3233" s="1" t="s">
        <v>153</v>
      </c>
      <c r="M3233" s="1" t="s">
        <v>1256</v>
      </c>
      <c r="N3233" s="1" t="str">
        <f>HYPERLINK("https://klocwork.india.ti.com:443/review/insight-review.html#issuedetails_goto:problemid=145948,project=MCU_PLUS_SDK_AM263X,searchquery=taxonomy:'C and C++' build:Build_Apr_13_2023_11_11_AM grouping:off ","KW Issue Link")</f>
        <v>KW Issue Link</v>
      </c>
      <c r="O3233" s="1" t="s">
        <v>1083</v>
      </c>
    </row>
    <row r="3234" spans="1:15" ht="75" x14ac:dyDescent="0.25">
      <c r="A3234" s="1" t="s">
        <v>1266</v>
      </c>
      <c r="B3234" s="1"/>
      <c r="C3234" s="1" t="s">
        <v>4432</v>
      </c>
      <c r="D3234" s="1">
        <v>145949</v>
      </c>
      <c r="E3234" s="1">
        <v>1383</v>
      </c>
      <c r="F3234" s="1" t="s">
        <v>4445</v>
      </c>
      <c r="G3234" s="1" t="s">
        <v>4446</v>
      </c>
      <c r="H3234" s="1" t="s">
        <v>141</v>
      </c>
      <c r="I3234" s="1" t="s">
        <v>65</v>
      </c>
      <c r="J3234" s="1">
        <v>3</v>
      </c>
      <c r="K3234" s="1" t="s">
        <v>142</v>
      </c>
      <c r="L3234" s="1" t="s">
        <v>153</v>
      </c>
      <c r="M3234" s="1" t="s">
        <v>1256</v>
      </c>
      <c r="N3234" s="1" t="str">
        <f>HYPERLINK("https://klocwork.india.ti.com:443/review/insight-review.html#issuedetails_goto:problemid=145949,project=MCU_PLUS_SDK_AM263X,searchquery=taxonomy:'C and C++' build:Build_Apr_13_2023_11_11_AM grouping:off ","KW Issue Link")</f>
        <v>KW Issue Link</v>
      </c>
      <c r="O3234" s="1" t="s">
        <v>1083</v>
      </c>
    </row>
    <row r="3235" spans="1:15" ht="75" x14ac:dyDescent="0.25">
      <c r="A3235" s="1" t="s">
        <v>1266</v>
      </c>
      <c r="B3235" s="1"/>
      <c r="C3235" s="1" t="s">
        <v>4432</v>
      </c>
      <c r="D3235" s="1">
        <v>145950</v>
      </c>
      <c r="E3235" s="1">
        <v>1656</v>
      </c>
      <c r="F3235" s="1" t="s">
        <v>4447</v>
      </c>
      <c r="G3235" s="1" t="s">
        <v>4448</v>
      </c>
      <c r="H3235" s="1" t="s">
        <v>141</v>
      </c>
      <c r="I3235" s="1" t="s">
        <v>65</v>
      </c>
      <c r="J3235" s="1">
        <v>3</v>
      </c>
      <c r="K3235" s="1" t="s">
        <v>142</v>
      </c>
      <c r="L3235" s="1" t="s">
        <v>153</v>
      </c>
      <c r="M3235" s="1" t="s">
        <v>1256</v>
      </c>
      <c r="N3235" s="1" t="str">
        <f>HYPERLINK("https://klocwork.india.ti.com:443/review/insight-review.html#issuedetails_goto:problemid=145950,project=MCU_PLUS_SDK_AM263X,searchquery=taxonomy:'C and C++' build:Build_Apr_13_2023_11_11_AM grouping:off ","KW Issue Link")</f>
        <v>KW Issue Link</v>
      </c>
      <c r="O3235" s="1" t="s">
        <v>1083</v>
      </c>
    </row>
    <row r="3236" spans="1:15" ht="75" x14ac:dyDescent="0.25">
      <c r="A3236" s="1" t="s">
        <v>1266</v>
      </c>
      <c r="B3236" s="1"/>
      <c r="C3236" s="1" t="s">
        <v>4432</v>
      </c>
      <c r="D3236" s="1">
        <v>145951</v>
      </c>
      <c r="E3236" s="1">
        <v>2116</v>
      </c>
      <c r="F3236" s="1" t="s">
        <v>4449</v>
      </c>
      <c r="G3236" s="1" t="s">
        <v>4450</v>
      </c>
      <c r="H3236" s="1" t="s">
        <v>141</v>
      </c>
      <c r="I3236" s="1" t="s">
        <v>65</v>
      </c>
      <c r="J3236" s="1">
        <v>3</v>
      </c>
      <c r="K3236" s="1" t="s">
        <v>142</v>
      </c>
      <c r="L3236" s="1" t="s">
        <v>153</v>
      </c>
      <c r="M3236" s="1" t="s">
        <v>1256</v>
      </c>
      <c r="N3236" s="1" t="str">
        <f>HYPERLINK("https://klocwork.india.ti.com:443/review/insight-review.html#issuedetails_goto:problemid=145951,project=MCU_PLUS_SDK_AM263X,searchquery=taxonomy:'C and C++' build:Build_Apr_13_2023_11_11_AM grouping:off ","KW Issue Link")</f>
        <v>KW Issue Link</v>
      </c>
      <c r="O3236" s="1" t="s">
        <v>1083</v>
      </c>
    </row>
    <row r="3237" spans="1:15" ht="75" x14ac:dyDescent="0.25">
      <c r="A3237" s="1" t="s">
        <v>997</v>
      </c>
      <c r="B3237" s="1"/>
      <c r="C3237" s="1" t="s">
        <v>4432</v>
      </c>
      <c r="D3237" s="1">
        <v>146058</v>
      </c>
      <c r="E3237" s="1">
        <v>800</v>
      </c>
      <c r="F3237" s="1" t="s">
        <v>4029</v>
      </c>
      <c r="G3237" s="1" t="s">
        <v>4438</v>
      </c>
      <c r="H3237" s="1" t="s">
        <v>141</v>
      </c>
      <c r="I3237" s="1" t="s">
        <v>66</v>
      </c>
      <c r="J3237" s="1">
        <v>4</v>
      </c>
      <c r="K3237" s="1" t="s">
        <v>142</v>
      </c>
      <c r="L3237" s="1" t="s">
        <v>153</v>
      </c>
      <c r="M3237" s="1" t="s">
        <v>28</v>
      </c>
      <c r="N3237" s="1" t="str">
        <f>HYPERLINK("https://klocwork.india.ti.com:443/review/insight-review.html#issuedetails_goto:problemid=146058,project=MCU_PLUS_SDK_AM263X,searchquery=taxonomy:'C and C++' build:Build_Apr_13_2023_11_11_AM grouping:off ","KW Issue Link")</f>
        <v>KW Issue Link</v>
      </c>
      <c r="O3237" s="1" t="s">
        <v>1083</v>
      </c>
    </row>
    <row r="3238" spans="1:15" ht="75" x14ac:dyDescent="0.25">
      <c r="A3238" s="1" t="s">
        <v>997</v>
      </c>
      <c r="B3238" s="1"/>
      <c r="C3238" s="1" t="s">
        <v>4432</v>
      </c>
      <c r="D3238" s="1">
        <v>146059</v>
      </c>
      <c r="E3238" s="1">
        <v>833</v>
      </c>
      <c r="F3238" s="1" t="s">
        <v>4029</v>
      </c>
      <c r="G3238" s="1" t="s">
        <v>4438</v>
      </c>
      <c r="H3238" s="1" t="s">
        <v>141</v>
      </c>
      <c r="I3238" s="1" t="s">
        <v>66</v>
      </c>
      <c r="J3238" s="1">
        <v>4</v>
      </c>
      <c r="K3238" s="1" t="s">
        <v>142</v>
      </c>
      <c r="L3238" s="1" t="s">
        <v>153</v>
      </c>
      <c r="M3238" s="1" t="s">
        <v>28</v>
      </c>
      <c r="N3238" s="1" t="str">
        <f>HYPERLINK("https://klocwork.india.ti.com:443/review/insight-review.html#issuedetails_goto:problemid=146059,project=MCU_PLUS_SDK_AM263X,searchquery=taxonomy:'C and C++' build:Build_Apr_13_2023_11_11_AM grouping:off ","KW Issue Link")</f>
        <v>KW Issue Link</v>
      </c>
      <c r="O3238" s="1" t="s">
        <v>1083</v>
      </c>
    </row>
    <row r="3239" spans="1:15" ht="75" x14ac:dyDescent="0.25">
      <c r="A3239" s="1" t="s">
        <v>1257</v>
      </c>
      <c r="B3239" s="1"/>
      <c r="C3239" s="1" t="s">
        <v>4432</v>
      </c>
      <c r="D3239" s="1">
        <v>146060</v>
      </c>
      <c r="E3239" s="1">
        <v>993</v>
      </c>
      <c r="F3239" s="1" t="s">
        <v>4451</v>
      </c>
      <c r="G3239" s="1" t="s">
        <v>4440</v>
      </c>
      <c r="H3239" s="1" t="s">
        <v>141</v>
      </c>
      <c r="I3239" s="1" t="s">
        <v>65</v>
      </c>
      <c r="J3239" s="1">
        <v>3</v>
      </c>
      <c r="K3239" s="1" t="s">
        <v>142</v>
      </c>
      <c r="L3239" s="1" t="s">
        <v>153</v>
      </c>
      <c r="M3239" s="1" t="s">
        <v>1256</v>
      </c>
      <c r="N3239" s="1" t="str">
        <f>HYPERLINK("https://klocwork.india.ti.com:443/review/insight-review.html#issuedetails_goto:problemid=146060,project=MCU_PLUS_SDK_AM263X,searchquery=taxonomy:'C and C++' build:Build_Apr_13_2023_11_11_AM grouping:off ","KW Issue Link")</f>
        <v>KW Issue Link</v>
      </c>
      <c r="O3239" s="1" t="s">
        <v>1083</v>
      </c>
    </row>
    <row r="3240" spans="1:15" ht="75" x14ac:dyDescent="0.25">
      <c r="A3240" s="1" t="s">
        <v>1257</v>
      </c>
      <c r="B3240" s="1"/>
      <c r="C3240" s="1" t="s">
        <v>4432</v>
      </c>
      <c r="D3240" s="1">
        <v>146061</v>
      </c>
      <c r="E3240" s="1">
        <v>1383</v>
      </c>
      <c r="F3240" s="1" t="s">
        <v>4452</v>
      </c>
      <c r="G3240" s="1" t="s">
        <v>4446</v>
      </c>
      <c r="H3240" s="1" t="s">
        <v>141</v>
      </c>
      <c r="I3240" s="1" t="s">
        <v>65</v>
      </c>
      <c r="J3240" s="1">
        <v>3</v>
      </c>
      <c r="K3240" s="1" t="s">
        <v>142</v>
      </c>
      <c r="L3240" s="1" t="s">
        <v>153</v>
      </c>
      <c r="M3240" s="1" t="s">
        <v>1256</v>
      </c>
      <c r="N3240" s="1" t="str">
        <f>HYPERLINK("https://klocwork.india.ti.com:443/review/insight-review.html#issuedetails_goto:problemid=146061,project=MCU_PLUS_SDK_AM263X,searchquery=taxonomy:'C and C++' build:Build_Apr_13_2023_11_11_AM grouping:off ","KW Issue Link")</f>
        <v>KW Issue Link</v>
      </c>
      <c r="O3240" s="1" t="s">
        <v>1083</v>
      </c>
    </row>
    <row r="3241" spans="1:15" ht="75" x14ac:dyDescent="0.25">
      <c r="A3241" s="1" t="s">
        <v>157</v>
      </c>
      <c r="B3241" s="1"/>
      <c r="C3241" s="1" t="s">
        <v>4432</v>
      </c>
      <c r="D3241" s="1">
        <v>146062</v>
      </c>
      <c r="E3241" s="1">
        <v>1024</v>
      </c>
      <c r="F3241" s="1" t="s">
        <v>4453</v>
      </c>
      <c r="G3241" s="1" t="s">
        <v>4440</v>
      </c>
      <c r="H3241" s="1" t="s">
        <v>141</v>
      </c>
      <c r="I3241" s="1" t="s">
        <v>65</v>
      </c>
      <c r="J3241" s="1">
        <v>3</v>
      </c>
      <c r="K3241" s="1" t="s">
        <v>142</v>
      </c>
      <c r="L3241" s="1" t="s">
        <v>153</v>
      </c>
      <c r="M3241" s="1" t="s">
        <v>28</v>
      </c>
      <c r="N3241" s="1" t="str">
        <f>HYPERLINK("https://klocwork.india.ti.com:443/review/insight-review.html#issuedetails_goto:problemid=146062,project=MCU_PLUS_SDK_AM263X,searchquery=taxonomy:'C and C++' build:Build_Apr_13_2023_11_11_AM grouping:off ","KW Issue Link")</f>
        <v>KW Issue Link</v>
      </c>
      <c r="O3241" s="1" t="s">
        <v>1083</v>
      </c>
    </row>
    <row r="3242" spans="1:15" ht="75" x14ac:dyDescent="0.25">
      <c r="A3242" s="1" t="s">
        <v>149</v>
      </c>
      <c r="B3242" s="1"/>
      <c r="C3242" s="1" t="s">
        <v>4432</v>
      </c>
      <c r="D3242" s="1">
        <v>146063</v>
      </c>
      <c r="E3242" s="1">
        <v>1049</v>
      </c>
      <c r="F3242" s="1" t="s">
        <v>4454</v>
      </c>
      <c r="G3242" s="1" t="s">
        <v>4440</v>
      </c>
      <c r="H3242" s="1" t="s">
        <v>141</v>
      </c>
      <c r="I3242" s="1" t="s">
        <v>65</v>
      </c>
      <c r="J3242" s="1">
        <v>3</v>
      </c>
      <c r="K3242" s="1" t="s">
        <v>142</v>
      </c>
      <c r="L3242" s="1" t="s">
        <v>153</v>
      </c>
      <c r="M3242" s="1" t="s">
        <v>28</v>
      </c>
      <c r="N3242" s="1" t="str">
        <f>HYPERLINK("https://klocwork.india.ti.com:443/review/insight-review.html#issuedetails_goto:problemid=146063,project=MCU_PLUS_SDK_AM263X,searchquery=taxonomy:'C and C++' build:Build_Apr_13_2023_11_11_AM grouping:off ","KW Issue Link")</f>
        <v>KW Issue Link</v>
      </c>
      <c r="O3242" s="1" t="s">
        <v>1083</v>
      </c>
    </row>
    <row r="3243" spans="1:15" ht="90" x14ac:dyDescent="0.25">
      <c r="A3243" s="1" t="s">
        <v>149</v>
      </c>
      <c r="B3243" s="1"/>
      <c r="C3243" s="1" t="s">
        <v>4432</v>
      </c>
      <c r="D3243" s="1">
        <v>146064</v>
      </c>
      <c r="E3243" s="1">
        <v>2148</v>
      </c>
      <c r="F3243" s="1" t="s">
        <v>4455</v>
      </c>
      <c r="G3243" s="1" t="s">
        <v>4450</v>
      </c>
      <c r="H3243" s="1" t="s">
        <v>141</v>
      </c>
      <c r="I3243" s="1" t="s">
        <v>65</v>
      </c>
      <c r="J3243" s="1">
        <v>3</v>
      </c>
      <c r="K3243" s="1" t="s">
        <v>142</v>
      </c>
      <c r="L3243" s="1" t="s">
        <v>153</v>
      </c>
      <c r="M3243" s="1" t="s">
        <v>28</v>
      </c>
      <c r="N3243" s="1" t="str">
        <f>HYPERLINK("https://klocwork.india.ti.com:443/review/insight-review.html#issuedetails_goto:problemid=146064,project=MCU_PLUS_SDK_AM263X,searchquery=taxonomy:'C and C++' build:Build_Apr_13_2023_11_11_AM grouping:off ","KW Issue Link")</f>
        <v>KW Issue Link</v>
      </c>
      <c r="O3243" s="1" t="s">
        <v>1083</v>
      </c>
    </row>
    <row r="3244" spans="1:15" ht="75" x14ac:dyDescent="0.25">
      <c r="A3244" s="1" t="s">
        <v>1268</v>
      </c>
      <c r="B3244" s="1"/>
      <c r="C3244" s="1" t="s">
        <v>4432</v>
      </c>
      <c r="D3244" s="1">
        <v>146072</v>
      </c>
      <c r="E3244" s="1">
        <v>1298</v>
      </c>
      <c r="F3244" s="1" t="s">
        <v>4456</v>
      </c>
      <c r="G3244" s="1" t="s">
        <v>4442</v>
      </c>
      <c r="H3244" s="1" t="s">
        <v>141</v>
      </c>
      <c r="I3244" s="1" t="s">
        <v>65</v>
      </c>
      <c r="J3244" s="1">
        <v>3</v>
      </c>
      <c r="K3244" s="1" t="s">
        <v>142</v>
      </c>
      <c r="L3244" s="1" t="s">
        <v>153</v>
      </c>
      <c r="M3244" s="1" t="s">
        <v>1256</v>
      </c>
      <c r="N3244" s="1" t="str">
        <f>HYPERLINK("https://klocwork.india.ti.com:443/review/insight-review.html#issuedetails_goto:problemid=146072,project=MCU_PLUS_SDK_AM263X,searchquery=taxonomy:'C and C++' build:Build_Apr_13_2023_11_11_AM grouping:off ","KW Issue Link")</f>
        <v>KW Issue Link</v>
      </c>
      <c r="O3244" s="1" t="s">
        <v>1083</v>
      </c>
    </row>
    <row r="3245" spans="1:15" ht="75" x14ac:dyDescent="0.25">
      <c r="A3245" s="1" t="s">
        <v>1268</v>
      </c>
      <c r="B3245" s="1"/>
      <c r="C3245" s="1" t="s">
        <v>4432</v>
      </c>
      <c r="D3245" s="1">
        <v>146073</v>
      </c>
      <c r="E3245" s="1">
        <v>1325</v>
      </c>
      <c r="F3245" s="1" t="s">
        <v>4457</v>
      </c>
      <c r="G3245" s="1" t="s">
        <v>4444</v>
      </c>
      <c r="H3245" s="1" t="s">
        <v>141</v>
      </c>
      <c r="I3245" s="1" t="s">
        <v>65</v>
      </c>
      <c r="J3245" s="1">
        <v>3</v>
      </c>
      <c r="K3245" s="1" t="s">
        <v>142</v>
      </c>
      <c r="L3245" s="1" t="s">
        <v>153</v>
      </c>
      <c r="M3245" s="1" t="s">
        <v>1256</v>
      </c>
      <c r="N3245" s="1" t="str">
        <f>HYPERLINK("https://klocwork.india.ti.com:443/review/insight-review.html#issuedetails_goto:problemid=146073,project=MCU_PLUS_SDK_AM263X,searchquery=taxonomy:'C and C++' build:Build_Apr_13_2023_11_11_AM grouping:off ","KW Issue Link")</f>
        <v>KW Issue Link</v>
      </c>
      <c r="O3245" s="1" t="s">
        <v>1083</v>
      </c>
    </row>
    <row r="3246" spans="1:15" ht="75" x14ac:dyDescent="0.25">
      <c r="A3246" s="1" t="s">
        <v>1268</v>
      </c>
      <c r="B3246" s="1"/>
      <c r="C3246" s="1" t="s">
        <v>4432</v>
      </c>
      <c r="D3246" s="1">
        <v>146074</v>
      </c>
      <c r="E3246" s="1">
        <v>1383</v>
      </c>
      <c r="F3246" s="1" t="s">
        <v>4458</v>
      </c>
      <c r="G3246" s="1" t="s">
        <v>4446</v>
      </c>
      <c r="H3246" s="1" t="s">
        <v>141</v>
      </c>
      <c r="I3246" s="1" t="s">
        <v>65</v>
      </c>
      <c r="J3246" s="1">
        <v>3</v>
      </c>
      <c r="K3246" s="1" t="s">
        <v>142</v>
      </c>
      <c r="L3246" s="1" t="s">
        <v>153</v>
      </c>
      <c r="M3246" s="1" t="s">
        <v>1256</v>
      </c>
      <c r="N3246" s="1" t="str">
        <f>HYPERLINK("https://klocwork.india.ti.com:443/review/insight-review.html#issuedetails_goto:problemid=146074,project=MCU_PLUS_SDK_AM263X,searchquery=taxonomy:'C and C++' build:Build_Apr_13_2023_11_11_AM grouping:off ","KW Issue Link")</f>
        <v>KW Issue Link</v>
      </c>
      <c r="O3246" s="1" t="s">
        <v>1083</v>
      </c>
    </row>
    <row r="3247" spans="1:15" ht="75" x14ac:dyDescent="0.25">
      <c r="A3247" s="1" t="s">
        <v>1268</v>
      </c>
      <c r="B3247" s="1"/>
      <c r="C3247" s="1" t="s">
        <v>4432</v>
      </c>
      <c r="D3247" s="1">
        <v>146075</v>
      </c>
      <c r="E3247" s="1">
        <v>1656</v>
      </c>
      <c r="F3247" s="1" t="s">
        <v>4459</v>
      </c>
      <c r="G3247" s="1" t="s">
        <v>4448</v>
      </c>
      <c r="H3247" s="1" t="s">
        <v>141</v>
      </c>
      <c r="I3247" s="1" t="s">
        <v>65</v>
      </c>
      <c r="J3247" s="1">
        <v>3</v>
      </c>
      <c r="K3247" s="1" t="s">
        <v>142</v>
      </c>
      <c r="L3247" s="1" t="s">
        <v>153</v>
      </c>
      <c r="M3247" s="1" t="s">
        <v>1256</v>
      </c>
      <c r="N3247" s="1" t="str">
        <f>HYPERLINK("https://klocwork.india.ti.com:443/review/insight-review.html#issuedetails_goto:problemid=146075,project=MCU_PLUS_SDK_AM263X,searchquery=taxonomy:'C and C++' build:Build_Apr_13_2023_11_11_AM grouping:off ","KW Issue Link")</f>
        <v>KW Issue Link</v>
      </c>
      <c r="O3247" s="1" t="s">
        <v>1083</v>
      </c>
    </row>
    <row r="3248" spans="1:15" ht="75" x14ac:dyDescent="0.25">
      <c r="A3248" s="1" t="s">
        <v>1268</v>
      </c>
      <c r="B3248" s="1"/>
      <c r="C3248" s="1" t="s">
        <v>4432</v>
      </c>
      <c r="D3248" s="1">
        <v>146076</v>
      </c>
      <c r="E3248" s="1">
        <v>2116</v>
      </c>
      <c r="F3248" s="1" t="s">
        <v>4460</v>
      </c>
      <c r="G3248" s="1" t="s">
        <v>4450</v>
      </c>
      <c r="H3248" s="1" t="s">
        <v>141</v>
      </c>
      <c r="I3248" s="1" t="s">
        <v>65</v>
      </c>
      <c r="J3248" s="1">
        <v>3</v>
      </c>
      <c r="K3248" s="1" t="s">
        <v>142</v>
      </c>
      <c r="L3248" s="1" t="s">
        <v>153</v>
      </c>
      <c r="M3248" s="1" t="s">
        <v>1256</v>
      </c>
      <c r="N3248" s="1" t="str">
        <f>HYPERLINK("https://klocwork.india.ti.com:443/review/insight-review.html#issuedetails_goto:problemid=146076,project=MCU_PLUS_SDK_AM263X,searchquery=taxonomy:'C and C++' build:Build_Apr_13_2023_11_11_AM grouping:off ","KW Issue Link")</f>
        <v>KW Issue Link</v>
      </c>
      <c r="O3248" s="1" t="s">
        <v>1083</v>
      </c>
    </row>
    <row r="3249" spans="1:15" ht="75" x14ac:dyDescent="0.25">
      <c r="A3249" s="1" t="s">
        <v>1268</v>
      </c>
      <c r="B3249" s="1"/>
      <c r="C3249" s="1" t="s">
        <v>4432</v>
      </c>
      <c r="D3249" s="1">
        <v>146077</v>
      </c>
      <c r="E3249" s="1">
        <v>2328</v>
      </c>
      <c r="F3249" s="1" t="s">
        <v>4461</v>
      </c>
      <c r="G3249" s="1" t="s">
        <v>4462</v>
      </c>
      <c r="H3249" s="1" t="s">
        <v>141</v>
      </c>
      <c r="I3249" s="1" t="s">
        <v>65</v>
      </c>
      <c r="J3249" s="1">
        <v>3</v>
      </c>
      <c r="K3249" s="1" t="s">
        <v>142</v>
      </c>
      <c r="L3249" s="1" t="s">
        <v>153</v>
      </c>
      <c r="M3249" s="1" t="s">
        <v>1256</v>
      </c>
      <c r="N3249" s="1" t="str">
        <f>HYPERLINK("https://klocwork.india.ti.com:443/review/insight-review.html#issuedetails_goto:problemid=146077,project=MCU_PLUS_SDK_AM263X,searchquery=taxonomy:'C and C++' build:Build_Apr_13_2023_11_11_AM grouping:off ","KW Issue Link")</f>
        <v>KW Issue Link</v>
      </c>
      <c r="O3249" s="1" t="s">
        <v>1083</v>
      </c>
    </row>
    <row r="3250" spans="1:15" ht="75" x14ac:dyDescent="0.25">
      <c r="A3250" s="1" t="s">
        <v>1268</v>
      </c>
      <c r="B3250" s="1"/>
      <c r="C3250" s="1" t="s">
        <v>4432</v>
      </c>
      <c r="D3250" s="1">
        <v>146078</v>
      </c>
      <c r="E3250" s="1">
        <v>2405</v>
      </c>
      <c r="F3250" s="1" t="s">
        <v>4463</v>
      </c>
      <c r="G3250" s="1" t="s">
        <v>4464</v>
      </c>
      <c r="H3250" s="1" t="s">
        <v>141</v>
      </c>
      <c r="I3250" s="1" t="s">
        <v>65</v>
      </c>
      <c r="J3250" s="1">
        <v>3</v>
      </c>
      <c r="K3250" s="1" t="s">
        <v>142</v>
      </c>
      <c r="L3250" s="1" t="s">
        <v>153</v>
      </c>
      <c r="M3250" s="1" t="s">
        <v>1256</v>
      </c>
      <c r="N3250" s="1" t="str">
        <f>HYPERLINK("https://klocwork.india.ti.com:443/review/insight-review.html#issuedetails_goto:problemid=146078,project=MCU_PLUS_SDK_AM263X,searchquery=taxonomy:'C and C++' build:Build_Apr_13_2023_11_11_AM grouping:off ","KW Issue Link")</f>
        <v>KW Issue Link</v>
      </c>
      <c r="O3250" s="1" t="s">
        <v>1083</v>
      </c>
    </row>
    <row r="3251" spans="1:15" ht="75" x14ac:dyDescent="0.25">
      <c r="A3251" s="1" t="s">
        <v>1252</v>
      </c>
      <c r="B3251" s="1"/>
      <c r="C3251" s="1" t="s">
        <v>4432</v>
      </c>
      <c r="D3251" s="1">
        <v>146091</v>
      </c>
      <c r="E3251" s="1">
        <v>2116</v>
      </c>
      <c r="F3251" s="1" t="s">
        <v>4465</v>
      </c>
      <c r="G3251" s="1" t="s">
        <v>4450</v>
      </c>
      <c r="H3251" s="1" t="s">
        <v>141</v>
      </c>
      <c r="I3251" s="1" t="s">
        <v>65</v>
      </c>
      <c r="J3251" s="1">
        <v>3</v>
      </c>
      <c r="K3251" s="1" t="s">
        <v>142</v>
      </c>
      <c r="L3251" s="1" t="s">
        <v>153</v>
      </c>
      <c r="M3251" s="1" t="s">
        <v>1256</v>
      </c>
      <c r="N3251" s="1" t="str">
        <f>HYPERLINK("https://klocwork.india.ti.com:443/review/insight-review.html#issuedetails_goto:problemid=146091,project=MCU_PLUS_SDK_AM263X,searchquery=taxonomy:'C and C++' build:Build_Apr_13_2023_11_11_AM grouping:off ","KW Issue Link")</f>
        <v>KW Issue Link</v>
      </c>
      <c r="O3251" s="1" t="s">
        <v>1083</v>
      </c>
    </row>
    <row r="3252" spans="1:15" ht="75" x14ac:dyDescent="0.25">
      <c r="A3252" s="1" t="s">
        <v>1252</v>
      </c>
      <c r="B3252" s="1"/>
      <c r="C3252" s="1" t="s">
        <v>4432</v>
      </c>
      <c r="D3252" s="1">
        <v>146092</v>
      </c>
      <c r="E3252" s="1">
        <v>2307</v>
      </c>
      <c r="F3252" s="1" t="s">
        <v>4466</v>
      </c>
      <c r="G3252" s="1" t="s">
        <v>4467</v>
      </c>
      <c r="H3252" s="1" t="s">
        <v>141</v>
      </c>
      <c r="I3252" s="1" t="s">
        <v>65</v>
      </c>
      <c r="J3252" s="1">
        <v>3</v>
      </c>
      <c r="K3252" s="1" t="s">
        <v>142</v>
      </c>
      <c r="L3252" s="1" t="s">
        <v>153</v>
      </c>
      <c r="M3252" s="1" t="s">
        <v>1256</v>
      </c>
      <c r="N3252" s="1" t="str">
        <f>HYPERLINK("https://klocwork.india.ti.com:443/review/insight-review.html#issuedetails_goto:problemid=146092,project=MCU_PLUS_SDK_AM263X,searchquery=taxonomy:'C and C++' build:Build_Apr_13_2023_11_11_AM grouping:off ","KW Issue Link")</f>
        <v>KW Issue Link</v>
      </c>
      <c r="O3252" s="1" t="s">
        <v>1083</v>
      </c>
    </row>
    <row r="3253" spans="1:15" ht="75" x14ac:dyDescent="0.25">
      <c r="A3253" s="1" t="s">
        <v>1252</v>
      </c>
      <c r="B3253" s="1"/>
      <c r="C3253" s="1" t="s">
        <v>4432</v>
      </c>
      <c r="D3253" s="1">
        <v>146093</v>
      </c>
      <c r="E3253" s="1">
        <v>2328</v>
      </c>
      <c r="F3253" s="1" t="s">
        <v>4468</v>
      </c>
      <c r="G3253" s="1" t="s">
        <v>4462</v>
      </c>
      <c r="H3253" s="1" t="s">
        <v>141</v>
      </c>
      <c r="I3253" s="1" t="s">
        <v>65</v>
      </c>
      <c r="J3253" s="1">
        <v>3</v>
      </c>
      <c r="K3253" s="1" t="s">
        <v>142</v>
      </c>
      <c r="L3253" s="1" t="s">
        <v>153</v>
      </c>
      <c r="M3253" s="1" t="s">
        <v>1256</v>
      </c>
      <c r="N3253" s="1" t="str">
        <f>HYPERLINK("https://klocwork.india.ti.com:443/review/insight-review.html#issuedetails_goto:problemid=146093,project=MCU_PLUS_SDK_AM263X,searchquery=taxonomy:'C and C++' build:Build_Apr_13_2023_11_11_AM grouping:off ","KW Issue Link")</f>
        <v>KW Issue Link</v>
      </c>
      <c r="O3253" s="1" t="s">
        <v>1083</v>
      </c>
    </row>
    <row r="3254" spans="1:15" ht="75" x14ac:dyDescent="0.25">
      <c r="A3254" s="1" t="s">
        <v>136</v>
      </c>
      <c r="B3254" s="1"/>
      <c r="C3254" s="1" t="s">
        <v>4432</v>
      </c>
      <c r="D3254" s="1">
        <v>146094</v>
      </c>
      <c r="E3254" s="1">
        <v>2211</v>
      </c>
      <c r="F3254" s="1" t="s">
        <v>4469</v>
      </c>
      <c r="G3254" s="1" t="s">
        <v>4450</v>
      </c>
      <c r="H3254" s="1" t="s">
        <v>141</v>
      </c>
      <c r="I3254" s="1" t="s">
        <v>66</v>
      </c>
      <c r="J3254" s="1">
        <v>4</v>
      </c>
      <c r="K3254" s="1" t="s">
        <v>142</v>
      </c>
      <c r="L3254" s="1" t="s">
        <v>153</v>
      </c>
      <c r="M3254" s="1" t="s">
        <v>28</v>
      </c>
      <c r="N3254" s="1" t="str">
        <f>HYPERLINK("https://klocwork.india.ti.com:443/review/insight-review.html#issuedetails_goto:problemid=146094,project=MCU_PLUS_SDK_AM263X,searchquery=taxonomy:'C and C++' build:Build_Apr_13_2023_11_11_AM grouping:off ","KW Issue Link")</f>
        <v>KW Issue Link</v>
      </c>
      <c r="O3254" s="1" t="s">
        <v>1083</v>
      </c>
    </row>
    <row r="3255" spans="1:15" ht="75" x14ac:dyDescent="0.25">
      <c r="A3255" s="1" t="s">
        <v>1266</v>
      </c>
      <c r="B3255" s="1"/>
      <c r="C3255" s="1" t="s">
        <v>4470</v>
      </c>
      <c r="D3255" s="1">
        <v>146153</v>
      </c>
      <c r="E3255" s="1">
        <v>90</v>
      </c>
      <c r="F3255" s="1" t="s">
        <v>4471</v>
      </c>
      <c r="G3255" s="1" t="s">
        <v>4472</v>
      </c>
      <c r="H3255" s="1" t="s">
        <v>141</v>
      </c>
      <c r="I3255" s="1" t="s">
        <v>65</v>
      </c>
      <c r="J3255" s="1">
        <v>3</v>
      </c>
      <c r="K3255" s="1" t="s">
        <v>142</v>
      </c>
      <c r="L3255" s="1" t="s">
        <v>153</v>
      </c>
      <c r="M3255" s="1" t="s">
        <v>1256</v>
      </c>
      <c r="N3255" s="1" t="str">
        <f>HYPERLINK("https://klocwork.india.ti.com:443/review/insight-review.html#issuedetails_goto:problemid=146153,project=MCU_PLUS_SDK_AM263X,searchquery=taxonomy:'C and C++' build:Build_Apr_13_2023_11_11_AM grouping:off ","KW Issue Link")</f>
        <v>KW Issue Link</v>
      </c>
      <c r="O3255" s="1" t="s">
        <v>1083</v>
      </c>
    </row>
    <row r="3256" spans="1:15" ht="75" x14ac:dyDescent="0.25">
      <c r="A3256" s="1" t="s">
        <v>1266</v>
      </c>
      <c r="B3256" s="1"/>
      <c r="C3256" s="1" t="s">
        <v>4470</v>
      </c>
      <c r="D3256" s="1">
        <v>146154</v>
      </c>
      <c r="E3256" s="1">
        <v>327</v>
      </c>
      <c r="F3256" s="1" t="s">
        <v>4473</v>
      </c>
      <c r="G3256" s="1" t="s">
        <v>4474</v>
      </c>
      <c r="H3256" s="1" t="s">
        <v>141</v>
      </c>
      <c r="I3256" s="1" t="s">
        <v>65</v>
      </c>
      <c r="J3256" s="1">
        <v>3</v>
      </c>
      <c r="K3256" s="1" t="s">
        <v>142</v>
      </c>
      <c r="L3256" s="1" t="s">
        <v>153</v>
      </c>
      <c r="M3256" s="1" t="s">
        <v>1256</v>
      </c>
      <c r="N3256" s="1" t="str">
        <f>HYPERLINK("https://klocwork.india.ti.com:443/review/insight-review.html#issuedetails_goto:problemid=146154,project=MCU_PLUS_SDK_AM263X,searchquery=taxonomy:'C and C++' build:Build_Apr_13_2023_11_11_AM grouping:off ","KW Issue Link")</f>
        <v>KW Issue Link</v>
      </c>
      <c r="O3256" s="1" t="s">
        <v>1083</v>
      </c>
    </row>
    <row r="3257" spans="1:15" ht="75" x14ac:dyDescent="0.25">
      <c r="A3257" s="1" t="s">
        <v>997</v>
      </c>
      <c r="B3257" s="1"/>
      <c r="C3257" s="1" t="s">
        <v>4470</v>
      </c>
      <c r="D3257" s="1">
        <v>146210</v>
      </c>
      <c r="E3257" s="1">
        <v>187</v>
      </c>
      <c r="F3257" s="1" t="s">
        <v>4029</v>
      </c>
      <c r="G3257" s="1" t="s">
        <v>4472</v>
      </c>
      <c r="H3257" s="1" t="s">
        <v>141</v>
      </c>
      <c r="I3257" s="1" t="s">
        <v>66</v>
      </c>
      <c r="J3257" s="1">
        <v>4</v>
      </c>
      <c r="K3257" s="1" t="s">
        <v>142</v>
      </c>
      <c r="L3257" s="1" t="s">
        <v>153</v>
      </c>
      <c r="M3257" s="1" t="s">
        <v>28</v>
      </c>
      <c r="N3257" s="1" t="str">
        <f>HYPERLINK("https://klocwork.india.ti.com:443/review/insight-review.html#issuedetails_goto:problemid=146210,project=MCU_PLUS_SDK_AM263X,searchquery=taxonomy:'C and C++' build:Build_Apr_13_2023_11_11_AM grouping:off ","KW Issue Link")</f>
        <v>KW Issue Link</v>
      </c>
      <c r="O3257" s="1" t="s">
        <v>1083</v>
      </c>
    </row>
    <row r="3258" spans="1:15" ht="75" x14ac:dyDescent="0.25">
      <c r="A3258" s="1" t="s">
        <v>1268</v>
      </c>
      <c r="B3258" s="1"/>
      <c r="C3258" s="1" t="s">
        <v>4470</v>
      </c>
      <c r="D3258" s="1">
        <v>146211</v>
      </c>
      <c r="E3258" s="1">
        <v>327</v>
      </c>
      <c r="F3258" s="1" t="s">
        <v>4475</v>
      </c>
      <c r="G3258" s="1" t="s">
        <v>4474</v>
      </c>
      <c r="H3258" s="1" t="s">
        <v>141</v>
      </c>
      <c r="I3258" s="1" t="s">
        <v>65</v>
      </c>
      <c r="J3258" s="1">
        <v>3</v>
      </c>
      <c r="K3258" s="1" t="s">
        <v>142</v>
      </c>
      <c r="L3258" s="1" t="s">
        <v>153</v>
      </c>
      <c r="M3258" s="1" t="s">
        <v>1256</v>
      </c>
      <c r="N3258" s="1" t="str">
        <f>HYPERLINK("https://klocwork.india.ti.com:443/review/insight-review.html#issuedetails_goto:problemid=146211,project=MCU_PLUS_SDK_AM263X,searchquery=taxonomy:'C and C++' build:Build_Apr_13_2023_11_11_AM grouping:off ","KW Issue Link")</f>
        <v>KW Issue Link</v>
      </c>
      <c r="O3258" s="1" t="s">
        <v>1083</v>
      </c>
    </row>
    <row r="3259" spans="1:15" ht="75" x14ac:dyDescent="0.25">
      <c r="A3259" s="1" t="s">
        <v>1252</v>
      </c>
      <c r="B3259" s="1"/>
      <c r="C3259" s="1" t="s">
        <v>4476</v>
      </c>
      <c r="D3259" s="1">
        <v>146540</v>
      </c>
      <c r="E3259" s="1">
        <v>125</v>
      </c>
      <c r="F3259" s="1" t="s">
        <v>4477</v>
      </c>
      <c r="G3259" s="1" t="s">
        <v>4478</v>
      </c>
      <c r="H3259" s="1" t="s">
        <v>141</v>
      </c>
      <c r="I3259" s="1" t="s">
        <v>65</v>
      </c>
      <c r="J3259" s="1">
        <v>3</v>
      </c>
      <c r="K3259" s="1" t="s">
        <v>142</v>
      </c>
      <c r="L3259" s="1" t="s">
        <v>153</v>
      </c>
      <c r="M3259" s="1" t="s">
        <v>1256</v>
      </c>
      <c r="N3259" s="1" t="str">
        <f>HYPERLINK("https://klocwork.india.ti.com:443/review/insight-review.html#issuedetails_goto:problemid=146540,project=MCU_PLUS_SDK_AM263X,searchquery=taxonomy:'C and C++' build:Build_Apr_13_2023_11_11_AM grouping:off ","KW Issue Link")</f>
        <v>KW Issue Link</v>
      </c>
      <c r="O3259" s="1" t="s">
        <v>1083</v>
      </c>
    </row>
    <row r="3260" spans="1:15" ht="75" x14ac:dyDescent="0.25">
      <c r="A3260" s="1" t="s">
        <v>1257</v>
      </c>
      <c r="B3260" s="1"/>
      <c r="C3260" s="1" t="s">
        <v>4476</v>
      </c>
      <c r="D3260" s="1">
        <v>146541</v>
      </c>
      <c r="E3260" s="1">
        <v>134</v>
      </c>
      <c r="F3260" s="1" t="s">
        <v>4479</v>
      </c>
      <c r="G3260" s="1" t="s">
        <v>4480</v>
      </c>
      <c r="H3260" s="1" t="s">
        <v>141</v>
      </c>
      <c r="I3260" s="1" t="s">
        <v>65</v>
      </c>
      <c r="J3260" s="1">
        <v>3</v>
      </c>
      <c r="K3260" s="1" t="s">
        <v>142</v>
      </c>
      <c r="L3260" s="1" t="s">
        <v>153</v>
      </c>
      <c r="M3260" s="1" t="s">
        <v>1256</v>
      </c>
      <c r="N3260" s="1" t="str">
        <f>HYPERLINK("https://klocwork.india.ti.com:443/review/insight-review.html#issuedetails_goto:problemid=146541,project=MCU_PLUS_SDK_AM263X,searchquery=taxonomy:'C and C++' build:Build_Apr_13_2023_11_11_AM grouping:off ","KW Issue Link")</f>
        <v>KW Issue Link</v>
      </c>
      <c r="O3260" s="1" t="s">
        <v>1083</v>
      </c>
    </row>
    <row r="3261" spans="1:15" ht="75" x14ac:dyDescent="0.25">
      <c r="A3261" s="1" t="s">
        <v>1266</v>
      </c>
      <c r="B3261" s="1"/>
      <c r="C3261" s="1" t="s">
        <v>4476</v>
      </c>
      <c r="D3261" s="1">
        <v>146542</v>
      </c>
      <c r="E3261" s="1">
        <v>134</v>
      </c>
      <c r="F3261" s="1" t="s">
        <v>4481</v>
      </c>
      <c r="G3261" s="1" t="s">
        <v>4480</v>
      </c>
      <c r="H3261" s="1" t="s">
        <v>141</v>
      </c>
      <c r="I3261" s="1" t="s">
        <v>65</v>
      </c>
      <c r="J3261" s="1">
        <v>3</v>
      </c>
      <c r="K3261" s="1" t="s">
        <v>142</v>
      </c>
      <c r="L3261" s="1" t="s">
        <v>153</v>
      </c>
      <c r="M3261" s="1" t="s">
        <v>1256</v>
      </c>
      <c r="N3261" s="1" t="str">
        <f>HYPERLINK("https://klocwork.india.ti.com:443/review/insight-review.html#issuedetails_goto:problemid=146542,project=MCU_PLUS_SDK_AM263X,searchquery=taxonomy:'C and C++' build:Build_Apr_13_2023_11_11_AM grouping:off ","KW Issue Link")</f>
        <v>KW Issue Link</v>
      </c>
      <c r="O3261" s="1" t="s">
        <v>1083</v>
      </c>
    </row>
    <row r="3262" spans="1:15" ht="90" x14ac:dyDescent="0.25">
      <c r="A3262" s="1" t="s">
        <v>1266</v>
      </c>
      <c r="B3262" s="1"/>
      <c r="C3262" s="1" t="s">
        <v>4476</v>
      </c>
      <c r="D3262" s="1">
        <v>146543</v>
      </c>
      <c r="E3262" s="1">
        <v>191</v>
      </c>
      <c r="F3262" s="1" t="s">
        <v>4482</v>
      </c>
      <c r="G3262" s="1" t="s">
        <v>4483</v>
      </c>
      <c r="H3262" s="1" t="s">
        <v>141</v>
      </c>
      <c r="I3262" s="1" t="s">
        <v>65</v>
      </c>
      <c r="J3262" s="1">
        <v>3</v>
      </c>
      <c r="K3262" s="1" t="s">
        <v>142</v>
      </c>
      <c r="L3262" s="1" t="s">
        <v>153</v>
      </c>
      <c r="M3262" s="1" t="s">
        <v>1256</v>
      </c>
      <c r="N3262" s="1" t="str">
        <f>HYPERLINK("https://klocwork.india.ti.com:443/review/insight-review.html#issuedetails_goto:problemid=146543,project=MCU_PLUS_SDK_AM263X,searchquery=taxonomy:'C and C++' build:Build_Apr_13_2023_11_11_AM grouping:off ","KW Issue Link")</f>
        <v>KW Issue Link</v>
      </c>
      <c r="O3262" s="1" t="s">
        <v>1083</v>
      </c>
    </row>
    <row r="3263" spans="1:15" ht="75" x14ac:dyDescent="0.25">
      <c r="A3263" s="1" t="s">
        <v>1266</v>
      </c>
      <c r="B3263" s="1"/>
      <c r="C3263" s="1" t="s">
        <v>4476</v>
      </c>
      <c r="D3263" s="1">
        <v>146544</v>
      </c>
      <c r="E3263" s="1">
        <v>268</v>
      </c>
      <c r="F3263" s="1" t="s">
        <v>4484</v>
      </c>
      <c r="G3263" s="1" t="s">
        <v>4485</v>
      </c>
      <c r="H3263" s="1" t="s">
        <v>141</v>
      </c>
      <c r="I3263" s="1" t="s">
        <v>65</v>
      </c>
      <c r="J3263" s="1">
        <v>3</v>
      </c>
      <c r="K3263" s="1" t="s">
        <v>142</v>
      </c>
      <c r="L3263" s="1" t="s">
        <v>153</v>
      </c>
      <c r="M3263" s="1" t="s">
        <v>1256</v>
      </c>
      <c r="N3263" s="1" t="str">
        <f>HYPERLINK("https://klocwork.india.ti.com:443/review/insight-review.html#issuedetails_goto:problemid=146544,project=MCU_PLUS_SDK_AM263X,searchquery=taxonomy:'C and C++' build:Build_Apr_13_2023_11_11_AM grouping:off ","KW Issue Link")</f>
        <v>KW Issue Link</v>
      </c>
      <c r="O3263" s="1" t="s">
        <v>1083</v>
      </c>
    </row>
    <row r="3264" spans="1:15" ht="75" x14ac:dyDescent="0.25">
      <c r="A3264" s="1" t="s">
        <v>1266</v>
      </c>
      <c r="B3264" s="1"/>
      <c r="C3264" s="1" t="s">
        <v>4476</v>
      </c>
      <c r="D3264" s="1">
        <v>146545</v>
      </c>
      <c r="E3264" s="1">
        <v>297</v>
      </c>
      <c r="F3264" s="1" t="s">
        <v>4486</v>
      </c>
      <c r="G3264" s="1" t="s">
        <v>4487</v>
      </c>
      <c r="H3264" s="1" t="s">
        <v>141</v>
      </c>
      <c r="I3264" s="1" t="s">
        <v>65</v>
      </c>
      <c r="J3264" s="1">
        <v>3</v>
      </c>
      <c r="K3264" s="1" t="s">
        <v>142</v>
      </c>
      <c r="L3264" s="1" t="s">
        <v>153</v>
      </c>
      <c r="M3264" s="1" t="s">
        <v>1256</v>
      </c>
      <c r="N3264" s="1" t="str">
        <f>HYPERLINK("https://klocwork.india.ti.com:443/review/insight-review.html#issuedetails_goto:problemid=146545,project=MCU_PLUS_SDK_AM263X,searchquery=taxonomy:'C and C++' build:Build_Apr_13_2023_11_11_AM grouping:off ","KW Issue Link")</f>
        <v>KW Issue Link</v>
      </c>
      <c r="O3264" s="1" t="s">
        <v>1083</v>
      </c>
    </row>
    <row r="3265" spans="1:15" ht="75" x14ac:dyDescent="0.25">
      <c r="A3265" s="1" t="s">
        <v>1268</v>
      </c>
      <c r="B3265" s="1"/>
      <c r="C3265" s="1" t="s">
        <v>4476</v>
      </c>
      <c r="D3265" s="1">
        <v>146621</v>
      </c>
      <c r="E3265" s="1">
        <v>297</v>
      </c>
      <c r="F3265" s="1" t="s">
        <v>4488</v>
      </c>
      <c r="G3265" s="1" t="s">
        <v>4487</v>
      </c>
      <c r="H3265" s="1" t="s">
        <v>141</v>
      </c>
      <c r="I3265" s="1" t="s">
        <v>65</v>
      </c>
      <c r="J3265" s="1">
        <v>3</v>
      </c>
      <c r="K3265" s="1" t="s">
        <v>142</v>
      </c>
      <c r="L3265" s="1" t="s">
        <v>153</v>
      </c>
      <c r="M3265" s="1" t="s">
        <v>1256</v>
      </c>
      <c r="N3265" s="1" t="str">
        <f>HYPERLINK("https://klocwork.india.ti.com:443/review/insight-review.html#issuedetails_goto:problemid=146621,project=MCU_PLUS_SDK_AM263X,searchquery=taxonomy:'C and C++' build:Build_Apr_13_2023_11_11_AM grouping:off ","KW Issue Link")</f>
        <v>KW Issue Link</v>
      </c>
      <c r="O3265" s="1" t="s">
        <v>1083</v>
      </c>
    </row>
    <row r="3266" spans="1:15" ht="75" x14ac:dyDescent="0.25">
      <c r="A3266" s="1" t="s">
        <v>1266</v>
      </c>
      <c r="B3266" s="1"/>
      <c r="C3266" s="1" t="s">
        <v>4489</v>
      </c>
      <c r="D3266" s="1">
        <v>146781</v>
      </c>
      <c r="E3266" s="1">
        <v>125</v>
      </c>
      <c r="F3266" s="1" t="s">
        <v>4490</v>
      </c>
      <c r="G3266" s="1" t="s">
        <v>4491</v>
      </c>
      <c r="H3266" s="1" t="s">
        <v>141</v>
      </c>
      <c r="I3266" s="1" t="s">
        <v>65</v>
      </c>
      <c r="J3266" s="1">
        <v>3</v>
      </c>
      <c r="K3266" s="1" t="s">
        <v>142</v>
      </c>
      <c r="L3266" s="1" t="s">
        <v>153</v>
      </c>
      <c r="M3266" s="1" t="s">
        <v>1256</v>
      </c>
      <c r="N3266" s="1" t="str">
        <f>HYPERLINK("https://klocwork.india.ti.com:443/review/insight-review.html#issuedetails_goto:problemid=146781,project=MCU_PLUS_SDK_AM263X,searchquery=taxonomy:'C and C++' build:Build_Apr_13_2023_11_11_AM grouping:off ","KW Issue Link")</f>
        <v>KW Issue Link</v>
      </c>
      <c r="O3266" s="1" t="s">
        <v>1083</v>
      </c>
    </row>
    <row r="3267" spans="1:15" ht="75" x14ac:dyDescent="0.25">
      <c r="A3267" s="1" t="s">
        <v>1268</v>
      </c>
      <c r="B3267" s="1"/>
      <c r="C3267" s="1" t="s">
        <v>4489</v>
      </c>
      <c r="D3267" s="1">
        <v>146782</v>
      </c>
      <c r="E3267" s="1">
        <v>125</v>
      </c>
      <c r="F3267" s="1" t="s">
        <v>4492</v>
      </c>
      <c r="G3267" s="1" t="s">
        <v>4491</v>
      </c>
      <c r="H3267" s="1" t="s">
        <v>141</v>
      </c>
      <c r="I3267" s="1" t="s">
        <v>65</v>
      </c>
      <c r="J3267" s="1">
        <v>3</v>
      </c>
      <c r="K3267" s="1" t="s">
        <v>142</v>
      </c>
      <c r="L3267" s="1" t="s">
        <v>153</v>
      </c>
      <c r="M3267" s="1" t="s">
        <v>1256</v>
      </c>
      <c r="N3267" s="1" t="str">
        <f>HYPERLINK("https://klocwork.india.ti.com:443/review/insight-review.html#issuedetails_goto:problemid=146782,project=MCU_PLUS_SDK_AM263X,searchquery=taxonomy:'C and C++' build:Build_Apr_13_2023_11_11_AM grouping:off ","KW Issue Link")</f>
        <v>KW Issue Link</v>
      </c>
      <c r="O3267" s="1" t="s">
        <v>1083</v>
      </c>
    </row>
    <row r="3268" spans="1:15" ht="75" x14ac:dyDescent="0.25">
      <c r="A3268" s="1" t="s">
        <v>1252</v>
      </c>
      <c r="B3268" s="1"/>
      <c r="C3268" s="1" t="s">
        <v>4493</v>
      </c>
      <c r="D3268" s="1">
        <v>146878</v>
      </c>
      <c r="E3268" s="1">
        <v>143</v>
      </c>
      <c r="F3268" s="1" t="s">
        <v>4494</v>
      </c>
      <c r="G3268" s="1" t="s">
        <v>4495</v>
      </c>
      <c r="H3268" s="1" t="s">
        <v>141</v>
      </c>
      <c r="I3268" s="1" t="s">
        <v>65</v>
      </c>
      <c r="J3268" s="1">
        <v>3</v>
      </c>
      <c r="K3268" s="1" t="s">
        <v>142</v>
      </c>
      <c r="L3268" s="1" t="s">
        <v>153</v>
      </c>
      <c r="M3268" s="1" t="s">
        <v>1256</v>
      </c>
      <c r="N3268" s="1" t="str">
        <f>HYPERLINK("https://klocwork.india.ti.com:443/review/insight-review.html#issuedetails_goto:problemid=146878,project=MCU_PLUS_SDK_AM263X,searchquery=taxonomy:'C and C++' build:Build_Apr_13_2023_11_11_AM grouping:off ","KW Issue Link")</f>
        <v>KW Issue Link</v>
      </c>
      <c r="O3268" s="1" t="s">
        <v>1083</v>
      </c>
    </row>
    <row r="3269" spans="1:15" ht="60" x14ac:dyDescent="0.25">
      <c r="A3269" s="1" t="s">
        <v>1266</v>
      </c>
      <c r="B3269" s="1"/>
      <c r="C3269" s="1" t="s">
        <v>508</v>
      </c>
      <c r="D3269" s="1">
        <v>147274</v>
      </c>
      <c r="E3269" s="1">
        <v>1095</v>
      </c>
      <c r="F3269" s="1" t="s">
        <v>4496</v>
      </c>
      <c r="G3269" s="1" t="s">
        <v>2312</v>
      </c>
      <c r="H3269" s="1" t="s">
        <v>141</v>
      </c>
      <c r="I3269" s="1" t="s">
        <v>65</v>
      </c>
      <c r="J3269" s="1">
        <v>3</v>
      </c>
      <c r="K3269" s="1" t="s">
        <v>142</v>
      </c>
      <c r="L3269" s="1" t="s">
        <v>153</v>
      </c>
      <c r="M3269" s="1" t="s">
        <v>1256</v>
      </c>
      <c r="N3269" s="1" t="str">
        <f>HYPERLINK("https://klocwork.india.ti.com:443/review/insight-review.html#issuedetails_goto:problemid=147274,project=MCU_PLUS_SDK_AM263X,searchquery=taxonomy:'C and C++' build:Build_Apr_13_2023_11_11_AM grouping:off ","KW Issue Link")</f>
        <v>KW Issue Link</v>
      </c>
      <c r="O3269" s="1" t="s">
        <v>356</v>
      </c>
    </row>
    <row r="3270" spans="1:15" ht="60" x14ac:dyDescent="0.25">
      <c r="A3270" s="1" t="s">
        <v>1268</v>
      </c>
      <c r="B3270" s="1"/>
      <c r="C3270" s="1" t="s">
        <v>508</v>
      </c>
      <c r="D3270" s="1">
        <v>147275</v>
      </c>
      <c r="E3270" s="1">
        <v>1095</v>
      </c>
      <c r="F3270" s="1" t="s">
        <v>4497</v>
      </c>
      <c r="G3270" s="1" t="s">
        <v>2312</v>
      </c>
      <c r="H3270" s="1" t="s">
        <v>141</v>
      </c>
      <c r="I3270" s="1" t="s">
        <v>65</v>
      </c>
      <c r="J3270" s="1">
        <v>3</v>
      </c>
      <c r="K3270" s="1" t="s">
        <v>142</v>
      </c>
      <c r="L3270" s="1" t="s">
        <v>153</v>
      </c>
      <c r="M3270" s="1" t="s">
        <v>1256</v>
      </c>
      <c r="N3270" s="1" t="str">
        <f>HYPERLINK("https://klocwork.india.ti.com:443/review/insight-review.html#issuedetails_goto:problemid=147275,project=MCU_PLUS_SDK_AM263X,searchquery=taxonomy:'C and C++' build:Build_Apr_13_2023_11_11_AM grouping:off ","KW Issue Link")</f>
        <v>KW Issue Link</v>
      </c>
      <c r="O3270" s="1" t="s">
        <v>356</v>
      </c>
    </row>
    <row r="3271" spans="1:15" ht="60" x14ac:dyDescent="0.25">
      <c r="A3271" s="1" t="s">
        <v>1252</v>
      </c>
      <c r="B3271" s="1"/>
      <c r="C3271" s="1" t="s">
        <v>508</v>
      </c>
      <c r="D3271" s="1">
        <v>147300</v>
      </c>
      <c r="E3271" s="1">
        <v>1089</v>
      </c>
      <c r="F3271" s="1" t="s">
        <v>4498</v>
      </c>
      <c r="G3271" s="1" t="s">
        <v>4499</v>
      </c>
      <c r="H3271" s="1" t="s">
        <v>141</v>
      </c>
      <c r="I3271" s="1" t="s">
        <v>65</v>
      </c>
      <c r="J3271" s="1">
        <v>3</v>
      </c>
      <c r="K3271" s="1" t="s">
        <v>142</v>
      </c>
      <c r="L3271" s="1" t="s">
        <v>153</v>
      </c>
      <c r="M3271" s="1" t="s">
        <v>1256</v>
      </c>
      <c r="N3271" s="1" t="str">
        <f>HYPERLINK("https://klocwork.india.ti.com:443/review/insight-review.html#issuedetails_goto:problemid=147300,project=MCU_PLUS_SDK_AM263X,searchquery=taxonomy:'C and C++' build:Build_Apr_13_2023_11_11_AM grouping:off ","KW Issue Link")</f>
        <v>KW Issue Link</v>
      </c>
      <c r="O3271" s="1" t="s">
        <v>356</v>
      </c>
    </row>
    <row r="3272" spans="1:15" ht="75" x14ac:dyDescent="0.25">
      <c r="A3272" s="1" t="s">
        <v>327</v>
      </c>
      <c r="B3272" s="1"/>
      <c r="C3272" s="1" t="s">
        <v>508</v>
      </c>
      <c r="D3272" s="1">
        <v>147301</v>
      </c>
      <c r="E3272" s="1">
        <v>1159</v>
      </c>
      <c r="F3272" s="1" t="s">
        <v>4500</v>
      </c>
      <c r="G3272" s="1" t="s">
        <v>2312</v>
      </c>
      <c r="H3272" s="1" t="s">
        <v>141</v>
      </c>
      <c r="I3272" s="1" t="s">
        <v>63</v>
      </c>
      <c r="J3272" s="1">
        <v>1</v>
      </c>
      <c r="K3272" s="1" t="s">
        <v>142</v>
      </c>
      <c r="L3272" s="1" t="s">
        <v>153</v>
      </c>
      <c r="M3272" s="1" t="s">
        <v>28</v>
      </c>
      <c r="N3272" s="1" t="str">
        <f>HYPERLINK("https://klocwork.india.ti.com:443/review/insight-review.html#issuedetails_goto:problemid=147301,project=MCU_PLUS_SDK_AM263X,searchquery=taxonomy:'C and C++' build:Build_Apr_13_2023_11_11_AM grouping:off ","KW Issue Link")</f>
        <v>KW Issue Link</v>
      </c>
      <c r="O3272" s="1" t="s">
        <v>356</v>
      </c>
    </row>
    <row r="3273" spans="1:15" ht="60" x14ac:dyDescent="0.25">
      <c r="A3273" s="1" t="s">
        <v>1266</v>
      </c>
      <c r="B3273" s="1"/>
      <c r="C3273" s="1" t="s">
        <v>397</v>
      </c>
      <c r="D3273" s="1">
        <v>147321</v>
      </c>
      <c r="E3273" s="1">
        <v>153</v>
      </c>
      <c r="F3273" s="1" t="s">
        <v>4501</v>
      </c>
      <c r="G3273" s="1" t="s">
        <v>1833</v>
      </c>
      <c r="H3273" s="1" t="s">
        <v>141</v>
      </c>
      <c r="I3273" s="1" t="s">
        <v>65</v>
      </c>
      <c r="J3273" s="1">
        <v>3</v>
      </c>
      <c r="K3273" s="1" t="s">
        <v>142</v>
      </c>
      <c r="L3273" s="1" t="s">
        <v>153</v>
      </c>
      <c r="M3273" s="1" t="s">
        <v>1256</v>
      </c>
      <c r="N3273" s="1" t="str">
        <f>HYPERLINK("https://klocwork.india.ti.com:443/review/insight-review.html#issuedetails_goto:problemid=147321,project=MCU_PLUS_SDK_AM263X,searchquery=taxonomy:'C and C++' build:Build_Apr_13_2023_11_11_AM grouping:off ","KW Issue Link")</f>
        <v>KW Issue Link</v>
      </c>
      <c r="O3273" s="1" t="s">
        <v>356</v>
      </c>
    </row>
    <row r="3274" spans="1:15" ht="60" x14ac:dyDescent="0.25">
      <c r="A3274" s="1" t="s">
        <v>1268</v>
      </c>
      <c r="B3274" s="1"/>
      <c r="C3274" s="1" t="s">
        <v>397</v>
      </c>
      <c r="D3274" s="1">
        <v>147322</v>
      </c>
      <c r="E3274" s="1">
        <v>153</v>
      </c>
      <c r="F3274" s="1" t="s">
        <v>4502</v>
      </c>
      <c r="G3274" s="1" t="s">
        <v>1833</v>
      </c>
      <c r="H3274" s="1" t="s">
        <v>141</v>
      </c>
      <c r="I3274" s="1" t="s">
        <v>65</v>
      </c>
      <c r="J3274" s="1">
        <v>3</v>
      </c>
      <c r="K3274" s="1" t="s">
        <v>142</v>
      </c>
      <c r="L3274" s="1" t="s">
        <v>153</v>
      </c>
      <c r="M3274" s="1" t="s">
        <v>1256</v>
      </c>
      <c r="N3274" s="1" t="str">
        <f>HYPERLINK("https://klocwork.india.ti.com:443/review/insight-review.html#issuedetails_goto:problemid=147322,project=MCU_PLUS_SDK_AM263X,searchquery=taxonomy:'C and C++' build:Build_Apr_13_2023_11_11_AM grouping:off ","KW Issue Link")</f>
        <v>KW Issue Link</v>
      </c>
      <c r="O3274" s="1" t="s">
        <v>356</v>
      </c>
    </row>
    <row r="3275" spans="1:15" ht="60" x14ac:dyDescent="0.25">
      <c r="A3275" s="1" t="s">
        <v>157</v>
      </c>
      <c r="B3275" s="1"/>
      <c r="C3275" s="1" t="s">
        <v>397</v>
      </c>
      <c r="D3275" s="1">
        <v>147324</v>
      </c>
      <c r="E3275" s="1">
        <v>553</v>
      </c>
      <c r="F3275" s="1" t="s">
        <v>398</v>
      </c>
      <c r="G3275" s="1" t="s">
        <v>399</v>
      </c>
      <c r="H3275" s="1" t="s">
        <v>141</v>
      </c>
      <c r="I3275" s="1" t="s">
        <v>65</v>
      </c>
      <c r="J3275" s="1">
        <v>3</v>
      </c>
      <c r="K3275" s="1" t="s">
        <v>142</v>
      </c>
      <c r="L3275" s="1" t="s">
        <v>153</v>
      </c>
      <c r="M3275" s="1" t="s">
        <v>28</v>
      </c>
      <c r="N3275" s="1" t="str">
        <f>HYPERLINK("https://klocwork.india.ti.com:443/review/insight-review.html#issuedetails_goto:problemid=147324,project=MCU_PLUS_SDK_AM263X,searchquery=taxonomy:'C and C++' build:Build_Apr_13_2023_11_11_AM grouping:off ","KW Issue Link")</f>
        <v>KW Issue Link</v>
      </c>
      <c r="O3275" s="1" t="s">
        <v>356</v>
      </c>
    </row>
    <row r="3276" spans="1:15" ht="60" x14ac:dyDescent="0.25">
      <c r="A3276" s="1" t="s">
        <v>157</v>
      </c>
      <c r="B3276" s="1"/>
      <c r="C3276" s="1" t="s">
        <v>397</v>
      </c>
      <c r="D3276" s="1">
        <v>147325</v>
      </c>
      <c r="E3276" s="1">
        <v>574</v>
      </c>
      <c r="F3276" s="1" t="s">
        <v>398</v>
      </c>
      <c r="G3276" s="1" t="s">
        <v>399</v>
      </c>
      <c r="H3276" s="1" t="s">
        <v>141</v>
      </c>
      <c r="I3276" s="1" t="s">
        <v>65</v>
      </c>
      <c r="J3276" s="1">
        <v>3</v>
      </c>
      <c r="K3276" s="1" t="s">
        <v>142</v>
      </c>
      <c r="L3276" s="1" t="s">
        <v>153</v>
      </c>
      <c r="M3276" s="1" t="s">
        <v>28</v>
      </c>
      <c r="N3276" s="1" t="str">
        <f>HYPERLINK("https://klocwork.india.ti.com:443/review/insight-review.html#issuedetails_goto:problemid=147325,project=MCU_PLUS_SDK_AM263X,searchquery=taxonomy:'C and C++' build:Build_Apr_13_2023_11_11_AM grouping:off ","KW Issue Link")</f>
        <v>KW Issue Link</v>
      </c>
      <c r="O3276" s="1" t="s">
        <v>356</v>
      </c>
    </row>
    <row r="3277" spans="1:15" ht="60" x14ac:dyDescent="0.25">
      <c r="A3277" s="1" t="s">
        <v>157</v>
      </c>
      <c r="B3277" s="1"/>
      <c r="C3277" s="1" t="s">
        <v>397</v>
      </c>
      <c r="D3277" s="1">
        <v>147326</v>
      </c>
      <c r="E3277" s="1">
        <v>596</v>
      </c>
      <c r="F3277" s="1" t="s">
        <v>398</v>
      </c>
      <c r="G3277" s="1" t="s">
        <v>399</v>
      </c>
      <c r="H3277" s="1" t="s">
        <v>141</v>
      </c>
      <c r="I3277" s="1" t="s">
        <v>65</v>
      </c>
      <c r="J3277" s="1">
        <v>3</v>
      </c>
      <c r="K3277" s="1" t="s">
        <v>142</v>
      </c>
      <c r="L3277" s="1" t="s">
        <v>153</v>
      </c>
      <c r="M3277" s="1" t="s">
        <v>28</v>
      </c>
      <c r="N3277" s="1" t="str">
        <f>HYPERLINK("https://klocwork.india.ti.com:443/review/insight-review.html#issuedetails_goto:problemid=147326,project=MCU_PLUS_SDK_AM263X,searchquery=taxonomy:'C and C++' build:Build_Apr_13_2023_11_11_AM grouping:off ","KW Issue Link")</f>
        <v>KW Issue Link</v>
      </c>
      <c r="O3277" s="1" t="s">
        <v>356</v>
      </c>
    </row>
    <row r="3278" spans="1:15" ht="60" x14ac:dyDescent="0.25">
      <c r="A3278" s="1" t="s">
        <v>157</v>
      </c>
      <c r="B3278" s="1"/>
      <c r="C3278" s="1" t="s">
        <v>397</v>
      </c>
      <c r="D3278" s="1">
        <v>147327</v>
      </c>
      <c r="E3278" s="1">
        <v>610</v>
      </c>
      <c r="F3278" s="1" t="s">
        <v>398</v>
      </c>
      <c r="G3278" s="1" t="s">
        <v>399</v>
      </c>
      <c r="H3278" s="1" t="s">
        <v>141</v>
      </c>
      <c r="I3278" s="1" t="s">
        <v>65</v>
      </c>
      <c r="J3278" s="1">
        <v>3</v>
      </c>
      <c r="K3278" s="1" t="s">
        <v>142</v>
      </c>
      <c r="L3278" s="1" t="s">
        <v>153</v>
      </c>
      <c r="M3278" s="1" t="s">
        <v>28</v>
      </c>
      <c r="N3278" s="1" t="str">
        <f>HYPERLINK("https://klocwork.india.ti.com:443/review/insight-review.html#issuedetails_goto:problemid=147327,project=MCU_PLUS_SDK_AM263X,searchquery=taxonomy:'C and C++' build:Build_Apr_13_2023_11_11_AM grouping:off ","KW Issue Link")</f>
        <v>KW Issue Link</v>
      </c>
      <c r="O3278" s="1" t="s">
        <v>356</v>
      </c>
    </row>
    <row r="3279" spans="1:15" ht="60" x14ac:dyDescent="0.25">
      <c r="A3279" s="1" t="s">
        <v>136</v>
      </c>
      <c r="B3279" s="1"/>
      <c r="C3279" s="1" t="s">
        <v>397</v>
      </c>
      <c r="D3279" s="1">
        <v>147328</v>
      </c>
      <c r="E3279" s="1">
        <v>201</v>
      </c>
      <c r="F3279" s="1" t="s">
        <v>4503</v>
      </c>
      <c r="G3279" s="1" t="s">
        <v>1833</v>
      </c>
      <c r="H3279" s="1" t="s">
        <v>141</v>
      </c>
      <c r="I3279" s="1" t="s">
        <v>66</v>
      </c>
      <c r="J3279" s="1">
        <v>4</v>
      </c>
      <c r="K3279" s="1" t="s">
        <v>142</v>
      </c>
      <c r="L3279" s="1" t="s">
        <v>153</v>
      </c>
      <c r="M3279" s="1" t="s">
        <v>28</v>
      </c>
      <c r="N3279" s="1" t="str">
        <f>HYPERLINK("https://klocwork.india.ti.com:443/review/insight-review.html#issuedetails_goto:problemid=147328,project=MCU_PLUS_SDK_AM263X,searchquery=taxonomy:'C and C++' build:Build_Apr_13_2023_11_11_AM grouping:off ","KW Issue Link")</f>
        <v>KW Issue Link</v>
      </c>
      <c r="O3279" s="1" t="s">
        <v>356</v>
      </c>
    </row>
    <row r="3280" spans="1:15" ht="60" x14ac:dyDescent="0.25">
      <c r="A3280" s="1" t="s">
        <v>136</v>
      </c>
      <c r="B3280" s="1"/>
      <c r="C3280" s="1" t="s">
        <v>4504</v>
      </c>
      <c r="D3280" s="1">
        <v>147357</v>
      </c>
      <c r="E3280" s="1">
        <v>72</v>
      </c>
      <c r="F3280" s="1" t="s">
        <v>257</v>
      </c>
      <c r="G3280" s="1" t="s">
        <v>4505</v>
      </c>
      <c r="H3280" s="1" t="s">
        <v>141</v>
      </c>
      <c r="I3280" s="1" t="s">
        <v>66</v>
      </c>
      <c r="J3280" s="1">
        <v>4</v>
      </c>
      <c r="K3280" s="1" t="s">
        <v>142</v>
      </c>
      <c r="L3280" s="1" t="s">
        <v>153</v>
      </c>
      <c r="M3280" s="1" t="s">
        <v>28</v>
      </c>
      <c r="N3280" s="1" t="str">
        <f>HYPERLINK("https://klocwork.india.ti.com:443/review/insight-review.html#issuedetails_goto:problemid=147357,project=MCU_PLUS_SDK_AM263X,searchquery=taxonomy:'C and C++' build:Build_Apr_13_2023_11_11_AM grouping:off ","KW Issue Link")</f>
        <v>KW Issue Link</v>
      </c>
      <c r="O3280" s="1" t="s">
        <v>1083</v>
      </c>
    </row>
    <row r="3281" spans="1:15" ht="60" x14ac:dyDescent="0.25">
      <c r="A3281" s="1" t="s">
        <v>136</v>
      </c>
      <c r="B3281" s="1"/>
      <c r="C3281" s="1" t="s">
        <v>4504</v>
      </c>
      <c r="D3281" s="1">
        <v>147358</v>
      </c>
      <c r="E3281" s="1">
        <v>90</v>
      </c>
      <c r="F3281" s="1" t="s">
        <v>257</v>
      </c>
      <c r="G3281" s="1" t="s">
        <v>4505</v>
      </c>
      <c r="H3281" s="1" t="s">
        <v>141</v>
      </c>
      <c r="I3281" s="1" t="s">
        <v>66</v>
      </c>
      <c r="J3281" s="1">
        <v>4</v>
      </c>
      <c r="K3281" s="1" t="s">
        <v>142</v>
      </c>
      <c r="L3281" s="1" t="s">
        <v>153</v>
      </c>
      <c r="M3281" s="1" t="s">
        <v>28</v>
      </c>
      <c r="N3281" s="1" t="str">
        <f>HYPERLINK("https://klocwork.india.ti.com:443/review/insight-review.html#issuedetails_goto:problemid=147358,project=MCU_PLUS_SDK_AM263X,searchquery=taxonomy:'C and C++' build:Build_Apr_13_2023_11_11_AM grouping:off ","KW Issue Link")</f>
        <v>KW Issue Link</v>
      </c>
      <c r="O3281" s="1" t="s">
        <v>1083</v>
      </c>
    </row>
    <row r="3282" spans="1:15" ht="60" x14ac:dyDescent="0.25">
      <c r="A3282" s="1" t="s">
        <v>136</v>
      </c>
      <c r="B3282" s="1"/>
      <c r="C3282" s="1" t="s">
        <v>4504</v>
      </c>
      <c r="D3282" s="1">
        <v>147359</v>
      </c>
      <c r="E3282" s="1">
        <v>118</v>
      </c>
      <c r="F3282" s="1" t="s">
        <v>1196</v>
      </c>
      <c r="G3282" s="1" t="s">
        <v>4506</v>
      </c>
      <c r="H3282" s="1" t="s">
        <v>141</v>
      </c>
      <c r="I3282" s="1" t="s">
        <v>66</v>
      </c>
      <c r="J3282" s="1">
        <v>4</v>
      </c>
      <c r="K3282" s="1" t="s">
        <v>142</v>
      </c>
      <c r="L3282" s="1" t="s">
        <v>153</v>
      </c>
      <c r="M3282" s="1" t="s">
        <v>28</v>
      </c>
      <c r="N3282" s="1" t="str">
        <f>HYPERLINK("https://klocwork.india.ti.com:443/review/insight-review.html#issuedetails_goto:problemid=147359,project=MCU_PLUS_SDK_AM263X,searchquery=taxonomy:'C and C++' build:Build_Apr_13_2023_11_11_AM grouping:off ","KW Issue Link")</f>
        <v>KW Issue Link</v>
      </c>
      <c r="O3282" s="1" t="s">
        <v>1083</v>
      </c>
    </row>
    <row r="3283" spans="1:15" ht="60" x14ac:dyDescent="0.25">
      <c r="A3283" s="1" t="s">
        <v>4335</v>
      </c>
      <c r="B3283" s="1"/>
      <c r="C3283" s="1" t="s">
        <v>4504</v>
      </c>
      <c r="D3283" s="1">
        <v>147375</v>
      </c>
      <c r="E3283" s="1">
        <v>128</v>
      </c>
      <c r="F3283" s="1" t="s">
        <v>4507</v>
      </c>
      <c r="G3283" s="1" t="s">
        <v>4508</v>
      </c>
      <c r="H3283" s="1" t="s">
        <v>141</v>
      </c>
      <c r="I3283" s="1" t="s">
        <v>66</v>
      </c>
      <c r="J3283" s="1">
        <v>4</v>
      </c>
      <c r="K3283" s="1" t="s">
        <v>142</v>
      </c>
      <c r="L3283" s="1" t="s">
        <v>153</v>
      </c>
      <c r="M3283" s="1" t="s">
        <v>28</v>
      </c>
      <c r="N3283" s="1" t="str">
        <f>HYPERLINK("https://klocwork.india.ti.com:443/review/insight-review.html#issuedetails_goto:problemid=147375,project=MCU_PLUS_SDK_AM263X,searchquery=taxonomy:'C and C++' build:Build_Apr_13_2023_11_11_AM grouping:off ","KW Issue Link")</f>
        <v>KW Issue Link</v>
      </c>
      <c r="O3283" s="1" t="s">
        <v>1083</v>
      </c>
    </row>
    <row r="3284" spans="1:15" ht="90" x14ac:dyDescent="0.25">
      <c r="A3284" s="1" t="s">
        <v>163</v>
      </c>
      <c r="B3284" s="1"/>
      <c r="C3284" s="1" t="s">
        <v>3697</v>
      </c>
      <c r="D3284" s="1">
        <v>147384</v>
      </c>
      <c r="E3284" s="1">
        <v>81</v>
      </c>
      <c r="F3284" s="1" t="s">
        <v>4509</v>
      </c>
      <c r="G3284" s="1" t="s">
        <v>4510</v>
      </c>
      <c r="H3284" s="1" t="s">
        <v>141</v>
      </c>
      <c r="I3284" s="1" t="s">
        <v>65</v>
      </c>
      <c r="J3284" s="1">
        <v>3</v>
      </c>
      <c r="K3284" s="1" t="s">
        <v>142</v>
      </c>
      <c r="L3284" s="1" t="s">
        <v>153</v>
      </c>
      <c r="M3284" s="1" t="s">
        <v>28</v>
      </c>
      <c r="N3284" s="1" t="str">
        <f>HYPERLINK("https://klocwork.india.ti.com:443/review/insight-review.html#issuedetails_goto:problemid=147384,project=MCU_PLUS_SDK_AM263X,searchquery=taxonomy:'C and C++' build:Build_Apr_13_2023_11_11_AM grouping:off ","KW Issue Link")</f>
        <v>KW Issue Link</v>
      </c>
      <c r="O3284" s="1" t="s">
        <v>1083</v>
      </c>
    </row>
    <row r="3285" spans="1:15" ht="105" x14ac:dyDescent="0.25">
      <c r="A3285" s="1" t="s">
        <v>149</v>
      </c>
      <c r="B3285" s="1"/>
      <c r="C3285" s="1" t="s">
        <v>4511</v>
      </c>
      <c r="D3285" s="1">
        <v>147516</v>
      </c>
      <c r="E3285" s="1">
        <v>157</v>
      </c>
      <c r="F3285" s="1" t="s">
        <v>4512</v>
      </c>
      <c r="G3285" s="1" t="s">
        <v>4513</v>
      </c>
      <c r="H3285" s="1" t="s">
        <v>141</v>
      </c>
      <c r="I3285" s="1" t="s">
        <v>65</v>
      </c>
      <c r="J3285" s="1">
        <v>3</v>
      </c>
      <c r="K3285" s="1" t="s">
        <v>142</v>
      </c>
      <c r="L3285" s="1" t="s">
        <v>153</v>
      </c>
      <c r="M3285" s="1" t="s">
        <v>28</v>
      </c>
      <c r="N3285" s="1" t="str">
        <f>HYPERLINK("https://klocwork.india.ti.com:443/review/insight-review.html#issuedetails_goto:problemid=147516,project=MCU_PLUS_SDK_AM263X,searchquery=taxonomy:'C and C++' build:Build_Apr_13_2023_11_11_AM grouping:off ","KW Issue Link")</f>
        <v>KW Issue Link</v>
      </c>
      <c r="O3285" s="1" t="s">
        <v>1083</v>
      </c>
    </row>
    <row r="3286" spans="1:15" ht="75" x14ac:dyDescent="0.25">
      <c r="A3286" s="1" t="s">
        <v>155</v>
      </c>
      <c r="B3286" s="1"/>
      <c r="C3286" s="1" t="s">
        <v>4511</v>
      </c>
      <c r="D3286" s="1">
        <v>147517</v>
      </c>
      <c r="E3286" s="1">
        <v>158</v>
      </c>
      <c r="F3286" s="1" t="s">
        <v>156</v>
      </c>
      <c r="G3286" s="1" t="s">
        <v>4513</v>
      </c>
      <c r="H3286" s="1" t="s">
        <v>141</v>
      </c>
      <c r="I3286" s="1" t="s">
        <v>65</v>
      </c>
      <c r="J3286" s="1">
        <v>3</v>
      </c>
      <c r="K3286" s="1" t="s">
        <v>142</v>
      </c>
      <c r="L3286" s="1" t="s">
        <v>153</v>
      </c>
      <c r="M3286" s="1" t="s">
        <v>28</v>
      </c>
      <c r="N3286" s="1" t="str">
        <f>HYPERLINK("https://klocwork.india.ti.com:443/review/insight-review.html#issuedetails_goto:problemid=147517,project=MCU_PLUS_SDK_AM263X,searchquery=taxonomy:'C and C++' build:Build_Apr_13_2023_11_11_AM grouping:off ","KW Issue Link")</f>
        <v>KW Issue Link</v>
      </c>
      <c r="O3286" s="1" t="s">
        <v>1083</v>
      </c>
    </row>
    <row r="3287" spans="1:15" ht="75" x14ac:dyDescent="0.25">
      <c r="A3287" s="1" t="s">
        <v>1252</v>
      </c>
      <c r="B3287" s="1"/>
      <c r="C3287" s="1" t="s">
        <v>4511</v>
      </c>
      <c r="D3287" s="1">
        <v>147536</v>
      </c>
      <c r="E3287" s="1">
        <v>390</v>
      </c>
      <c r="F3287" s="1" t="s">
        <v>4514</v>
      </c>
      <c r="G3287" s="1" t="s">
        <v>4515</v>
      </c>
      <c r="H3287" s="1" t="s">
        <v>141</v>
      </c>
      <c r="I3287" s="1" t="s">
        <v>65</v>
      </c>
      <c r="J3287" s="1">
        <v>3</v>
      </c>
      <c r="K3287" s="1" t="s">
        <v>142</v>
      </c>
      <c r="L3287" s="1" t="s">
        <v>153</v>
      </c>
      <c r="M3287" s="1" t="s">
        <v>1256</v>
      </c>
      <c r="N3287" s="1" t="str">
        <f>HYPERLINK("https://klocwork.india.ti.com:443/review/insight-review.html#issuedetails_goto:problemid=147536,project=MCU_PLUS_SDK_AM263X,searchquery=taxonomy:'C and C++' build:Build_Apr_13_2023_11_11_AM grouping:off ","KW Issue Link")</f>
        <v>KW Issue Link</v>
      </c>
      <c r="O3287" s="1" t="s">
        <v>1083</v>
      </c>
    </row>
    <row r="3288" spans="1:15" ht="90" x14ac:dyDescent="0.25">
      <c r="A3288" s="1" t="s">
        <v>163</v>
      </c>
      <c r="B3288" s="1"/>
      <c r="C3288" s="1" t="s">
        <v>3880</v>
      </c>
      <c r="D3288" s="1">
        <v>147539</v>
      </c>
      <c r="E3288" s="1">
        <v>175</v>
      </c>
      <c r="F3288" s="1" t="s">
        <v>4516</v>
      </c>
      <c r="G3288" s="1" t="s">
        <v>4517</v>
      </c>
      <c r="H3288" s="1" t="s">
        <v>141</v>
      </c>
      <c r="I3288" s="1" t="s">
        <v>65</v>
      </c>
      <c r="J3288" s="1">
        <v>3</v>
      </c>
      <c r="K3288" s="1" t="s">
        <v>142</v>
      </c>
      <c r="L3288" s="1" t="s">
        <v>153</v>
      </c>
      <c r="M3288" s="1" t="s">
        <v>28</v>
      </c>
      <c r="N3288" s="1" t="str">
        <f>HYPERLINK("https://klocwork.india.ti.com:443/review/insight-review.html#issuedetails_goto:problemid=147539,project=MCU_PLUS_SDK_AM263X,searchquery=taxonomy:'C and C++' build:Build_Apr_13_2023_11_11_AM grouping:off ","KW Issue Link")</f>
        <v>KW Issue Link</v>
      </c>
      <c r="O3288" s="1" t="s">
        <v>1083</v>
      </c>
    </row>
    <row r="3289" spans="1:15" ht="60" x14ac:dyDescent="0.25">
      <c r="A3289" s="1" t="s">
        <v>199</v>
      </c>
      <c r="B3289" s="1" t="s">
        <v>1183</v>
      </c>
      <c r="C3289" s="1" t="s">
        <v>3438</v>
      </c>
      <c r="D3289" s="1">
        <v>147540</v>
      </c>
      <c r="E3289" s="1">
        <v>411</v>
      </c>
      <c r="F3289" s="1" t="s">
        <v>4518</v>
      </c>
      <c r="G3289" s="1" t="s">
        <v>4519</v>
      </c>
      <c r="H3289" s="1" t="s">
        <v>141</v>
      </c>
      <c r="I3289" s="1" t="s">
        <v>63</v>
      </c>
      <c r="J3289" s="1">
        <v>1</v>
      </c>
      <c r="K3289" s="1" t="s">
        <v>142</v>
      </c>
      <c r="L3289" s="1" t="s">
        <v>143</v>
      </c>
      <c r="M3289" s="1" t="s">
        <v>28</v>
      </c>
      <c r="N3289" s="1" t="str">
        <f>HYPERLINK("https://klocwork.india.ti.com:443/review/insight-review.html#issuedetails_goto:problemid=147540,project=MCU_PLUS_SDK_AM263X,searchquery=taxonomy:'C and C++' build:Build_Apr_13_2023_11_11_AM grouping:off ","KW Issue Link")</f>
        <v>KW Issue Link</v>
      </c>
      <c r="O3289" s="1" t="s">
        <v>1083</v>
      </c>
    </row>
    <row r="3290" spans="1:15" ht="120" x14ac:dyDescent="0.25">
      <c r="A3290" s="1" t="s">
        <v>163</v>
      </c>
      <c r="B3290" s="1"/>
      <c r="C3290" s="1" t="s">
        <v>4238</v>
      </c>
      <c r="D3290" s="1">
        <v>147542</v>
      </c>
      <c r="E3290" s="1">
        <v>4005</v>
      </c>
      <c r="F3290" s="1" t="s">
        <v>4520</v>
      </c>
      <c r="G3290" s="1" t="s">
        <v>4339</v>
      </c>
      <c r="H3290" s="1" t="s">
        <v>141</v>
      </c>
      <c r="I3290" s="1" t="s">
        <v>65</v>
      </c>
      <c r="J3290" s="1">
        <v>3</v>
      </c>
      <c r="K3290" s="1" t="s">
        <v>142</v>
      </c>
      <c r="L3290" s="1" t="s">
        <v>153</v>
      </c>
      <c r="M3290" s="1" t="s">
        <v>28</v>
      </c>
      <c r="N3290" s="1" t="str">
        <f>HYPERLINK("https://klocwork.india.ti.com:443/review/insight-review.html#issuedetails_goto:problemid=147542,project=MCU_PLUS_SDK_AM263X,searchquery=taxonomy:'C and C++' build:Build_Apr_13_2023_11_11_AM grouping:off ","KW Issue Link")</f>
        <v>KW Issue Link</v>
      </c>
      <c r="O3290" s="1" t="s">
        <v>1083</v>
      </c>
    </row>
    <row r="3291" spans="1:15" ht="120" x14ac:dyDescent="0.25">
      <c r="A3291" s="1" t="s">
        <v>163</v>
      </c>
      <c r="B3291" s="1"/>
      <c r="C3291" s="1" t="s">
        <v>4238</v>
      </c>
      <c r="D3291" s="1">
        <v>147543</v>
      </c>
      <c r="E3291" s="1">
        <v>4005</v>
      </c>
      <c r="F3291" s="1" t="s">
        <v>4521</v>
      </c>
      <c r="G3291" s="1" t="s">
        <v>4339</v>
      </c>
      <c r="H3291" s="1" t="s">
        <v>141</v>
      </c>
      <c r="I3291" s="1" t="s">
        <v>65</v>
      </c>
      <c r="J3291" s="1">
        <v>3</v>
      </c>
      <c r="K3291" s="1" t="s">
        <v>142</v>
      </c>
      <c r="L3291" s="1" t="s">
        <v>153</v>
      </c>
      <c r="M3291" s="1" t="s">
        <v>28</v>
      </c>
      <c r="N3291" s="1" t="str">
        <f>HYPERLINK("https://klocwork.india.ti.com:443/review/insight-review.html#issuedetails_goto:problemid=147543,project=MCU_PLUS_SDK_AM263X,searchquery=taxonomy:'C and C++' build:Build_Apr_13_2023_11_11_AM grouping:off ","KW Issue Link")</f>
        <v>KW Issue Link</v>
      </c>
      <c r="O3291" s="1" t="s">
        <v>1083</v>
      </c>
    </row>
    <row r="3292" spans="1:15" ht="120" x14ac:dyDescent="0.25">
      <c r="A3292" s="1" t="s">
        <v>163</v>
      </c>
      <c r="B3292" s="1"/>
      <c r="C3292" s="1" t="s">
        <v>4238</v>
      </c>
      <c r="D3292" s="1">
        <v>147544</v>
      </c>
      <c r="E3292" s="1">
        <v>4005</v>
      </c>
      <c r="F3292" s="1" t="s">
        <v>4522</v>
      </c>
      <c r="G3292" s="1" t="s">
        <v>4339</v>
      </c>
      <c r="H3292" s="1" t="s">
        <v>141</v>
      </c>
      <c r="I3292" s="1" t="s">
        <v>65</v>
      </c>
      <c r="J3292" s="1">
        <v>3</v>
      </c>
      <c r="K3292" s="1" t="s">
        <v>142</v>
      </c>
      <c r="L3292" s="1" t="s">
        <v>153</v>
      </c>
      <c r="M3292" s="1" t="s">
        <v>28</v>
      </c>
      <c r="N3292" s="1" t="str">
        <f>HYPERLINK("https://klocwork.india.ti.com:443/review/insight-review.html#issuedetails_goto:problemid=147544,project=MCU_PLUS_SDK_AM263X,searchquery=taxonomy:'C and C++' build:Build_Apr_13_2023_11_11_AM grouping:off ","KW Issue Link")</f>
        <v>KW Issue Link</v>
      </c>
      <c r="O3292" s="1" t="s">
        <v>1083</v>
      </c>
    </row>
    <row r="3293" spans="1:15" ht="120" x14ac:dyDescent="0.25">
      <c r="A3293" s="1" t="s">
        <v>163</v>
      </c>
      <c r="B3293" s="1"/>
      <c r="C3293" s="1" t="s">
        <v>4238</v>
      </c>
      <c r="D3293" s="1">
        <v>147545</v>
      </c>
      <c r="E3293" s="1">
        <v>4005</v>
      </c>
      <c r="F3293" s="1" t="s">
        <v>4523</v>
      </c>
      <c r="G3293" s="1" t="s">
        <v>4339</v>
      </c>
      <c r="H3293" s="1" t="s">
        <v>141</v>
      </c>
      <c r="I3293" s="1" t="s">
        <v>65</v>
      </c>
      <c r="J3293" s="1">
        <v>3</v>
      </c>
      <c r="K3293" s="1" t="s">
        <v>142</v>
      </c>
      <c r="L3293" s="1" t="s">
        <v>153</v>
      </c>
      <c r="M3293" s="1" t="s">
        <v>28</v>
      </c>
      <c r="N3293" s="1" t="str">
        <f>HYPERLINK("https://klocwork.india.ti.com:443/review/insight-review.html#issuedetails_goto:problemid=147545,project=MCU_PLUS_SDK_AM263X,searchquery=taxonomy:'C and C++' build:Build_Apr_13_2023_11_11_AM grouping:off ","KW Issue Link")</f>
        <v>KW Issue Link</v>
      </c>
      <c r="O3293" s="1" t="s">
        <v>1083</v>
      </c>
    </row>
    <row r="3294" spans="1:15" ht="150" x14ac:dyDescent="0.25">
      <c r="A3294" s="1" t="s">
        <v>163</v>
      </c>
      <c r="B3294" s="1"/>
      <c r="C3294" s="1" t="s">
        <v>4238</v>
      </c>
      <c r="D3294" s="1">
        <v>147546</v>
      </c>
      <c r="E3294" s="1">
        <v>5214</v>
      </c>
      <c r="F3294" s="1" t="s">
        <v>4524</v>
      </c>
      <c r="G3294" s="1" t="s">
        <v>4277</v>
      </c>
      <c r="H3294" s="1" t="s">
        <v>141</v>
      </c>
      <c r="I3294" s="1" t="s">
        <v>65</v>
      </c>
      <c r="J3294" s="1">
        <v>3</v>
      </c>
      <c r="K3294" s="1" t="s">
        <v>142</v>
      </c>
      <c r="L3294" s="1" t="s">
        <v>153</v>
      </c>
      <c r="M3294" s="1" t="s">
        <v>28</v>
      </c>
      <c r="N3294" s="1" t="str">
        <f>HYPERLINK("https://klocwork.india.ti.com:443/review/insight-review.html#issuedetails_goto:problemid=147546,project=MCU_PLUS_SDK_AM263X,searchquery=taxonomy:'C and C++' build:Build_Apr_13_2023_11_11_AM grouping:off ","KW Issue Link")</f>
        <v>KW Issue Link</v>
      </c>
      <c r="O3294" s="1" t="s">
        <v>1083</v>
      </c>
    </row>
    <row r="3295" spans="1:15" ht="150" x14ac:dyDescent="0.25">
      <c r="A3295" s="1" t="s">
        <v>163</v>
      </c>
      <c r="B3295" s="1"/>
      <c r="C3295" s="1" t="s">
        <v>4238</v>
      </c>
      <c r="D3295" s="1">
        <v>147547</v>
      </c>
      <c r="E3295" s="1">
        <v>5214</v>
      </c>
      <c r="F3295" s="1" t="s">
        <v>4525</v>
      </c>
      <c r="G3295" s="1" t="s">
        <v>4277</v>
      </c>
      <c r="H3295" s="1" t="s">
        <v>141</v>
      </c>
      <c r="I3295" s="1" t="s">
        <v>65</v>
      </c>
      <c r="J3295" s="1">
        <v>3</v>
      </c>
      <c r="K3295" s="1" t="s">
        <v>142</v>
      </c>
      <c r="L3295" s="1" t="s">
        <v>153</v>
      </c>
      <c r="M3295" s="1" t="s">
        <v>28</v>
      </c>
      <c r="N3295" s="1" t="str">
        <f>HYPERLINK("https://klocwork.india.ti.com:443/review/insight-review.html#issuedetails_goto:problemid=147547,project=MCU_PLUS_SDK_AM263X,searchquery=taxonomy:'C and C++' build:Build_Apr_13_2023_11_11_AM grouping:off ","KW Issue Link")</f>
        <v>KW Issue Link</v>
      </c>
      <c r="O3295" s="1" t="s">
        <v>1083</v>
      </c>
    </row>
    <row r="3296" spans="1:15" ht="105" x14ac:dyDescent="0.25">
      <c r="A3296" s="1" t="s">
        <v>163</v>
      </c>
      <c r="B3296" s="1"/>
      <c r="C3296" s="1" t="s">
        <v>4238</v>
      </c>
      <c r="D3296" s="1">
        <v>147548</v>
      </c>
      <c r="E3296" s="1">
        <v>6334</v>
      </c>
      <c r="F3296" s="1" t="s">
        <v>4526</v>
      </c>
      <c r="G3296" s="1" t="s">
        <v>4354</v>
      </c>
      <c r="H3296" s="1" t="s">
        <v>141</v>
      </c>
      <c r="I3296" s="1" t="s">
        <v>65</v>
      </c>
      <c r="J3296" s="1">
        <v>3</v>
      </c>
      <c r="K3296" s="1" t="s">
        <v>142</v>
      </c>
      <c r="L3296" s="1" t="s">
        <v>153</v>
      </c>
      <c r="M3296" s="1" t="s">
        <v>28</v>
      </c>
      <c r="N3296" s="1" t="str">
        <f>HYPERLINK("https://klocwork.india.ti.com:443/review/insight-review.html#issuedetails_goto:problemid=147548,project=MCU_PLUS_SDK_AM263X,searchquery=taxonomy:'C and C++' build:Build_Apr_13_2023_11_11_AM grouping:off ","KW Issue Link")</f>
        <v>KW Issue Link</v>
      </c>
      <c r="O3296" s="1" t="s">
        <v>1083</v>
      </c>
    </row>
    <row r="3297" spans="1:15" ht="105" x14ac:dyDescent="0.25">
      <c r="A3297" s="1" t="s">
        <v>163</v>
      </c>
      <c r="B3297" s="1"/>
      <c r="C3297" s="1" t="s">
        <v>4238</v>
      </c>
      <c r="D3297" s="1">
        <v>147549</v>
      </c>
      <c r="E3297" s="1">
        <v>6334</v>
      </c>
      <c r="F3297" s="1" t="s">
        <v>4527</v>
      </c>
      <c r="G3297" s="1" t="s">
        <v>4354</v>
      </c>
      <c r="H3297" s="1" t="s">
        <v>141</v>
      </c>
      <c r="I3297" s="1" t="s">
        <v>65</v>
      </c>
      <c r="J3297" s="1">
        <v>3</v>
      </c>
      <c r="K3297" s="1" t="s">
        <v>142</v>
      </c>
      <c r="L3297" s="1" t="s">
        <v>153</v>
      </c>
      <c r="M3297" s="1" t="s">
        <v>28</v>
      </c>
      <c r="N3297" s="1" t="str">
        <f>HYPERLINK("https://klocwork.india.ti.com:443/review/insight-review.html#issuedetails_goto:problemid=147549,project=MCU_PLUS_SDK_AM263X,searchquery=taxonomy:'C and C++' build:Build_Apr_13_2023_11_11_AM grouping:off ","KW Issue Link")</f>
        <v>KW Issue Link</v>
      </c>
      <c r="O3297" s="1" t="s">
        <v>1083</v>
      </c>
    </row>
    <row r="3298" spans="1:15" ht="105" x14ac:dyDescent="0.25">
      <c r="A3298" s="1" t="s">
        <v>163</v>
      </c>
      <c r="B3298" s="1"/>
      <c r="C3298" s="1" t="s">
        <v>4238</v>
      </c>
      <c r="D3298" s="1">
        <v>147550</v>
      </c>
      <c r="E3298" s="1">
        <v>6843</v>
      </c>
      <c r="F3298" s="1" t="s">
        <v>4528</v>
      </c>
      <c r="G3298" s="1" t="s">
        <v>4360</v>
      </c>
      <c r="H3298" s="1" t="s">
        <v>141</v>
      </c>
      <c r="I3298" s="1" t="s">
        <v>65</v>
      </c>
      <c r="J3298" s="1">
        <v>3</v>
      </c>
      <c r="K3298" s="1" t="s">
        <v>142</v>
      </c>
      <c r="L3298" s="1" t="s">
        <v>153</v>
      </c>
      <c r="M3298" s="1" t="s">
        <v>28</v>
      </c>
      <c r="N3298" s="1" t="str">
        <f>HYPERLINK("https://klocwork.india.ti.com:443/review/insight-review.html#issuedetails_goto:problemid=147550,project=MCU_PLUS_SDK_AM263X,searchquery=taxonomy:'C and C++' build:Build_Apr_13_2023_11_11_AM grouping:off ","KW Issue Link")</f>
        <v>KW Issue Link</v>
      </c>
      <c r="O3298" s="1" t="s">
        <v>1083</v>
      </c>
    </row>
    <row r="3299" spans="1:15" ht="105" x14ac:dyDescent="0.25">
      <c r="A3299" s="1" t="s">
        <v>163</v>
      </c>
      <c r="B3299" s="1"/>
      <c r="C3299" s="1" t="s">
        <v>4238</v>
      </c>
      <c r="D3299" s="1">
        <v>147551</v>
      </c>
      <c r="E3299" s="1">
        <v>6843</v>
      </c>
      <c r="F3299" s="1" t="s">
        <v>4529</v>
      </c>
      <c r="G3299" s="1" t="s">
        <v>4360</v>
      </c>
      <c r="H3299" s="1" t="s">
        <v>141</v>
      </c>
      <c r="I3299" s="1" t="s">
        <v>65</v>
      </c>
      <c r="J3299" s="1">
        <v>3</v>
      </c>
      <c r="K3299" s="1" t="s">
        <v>142</v>
      </c>
      <c r="L3299" s="1" t="s">
        <v>153</v>
      </c>
      <c r="M3299" s="1" t="s">
        <v>28</v>
      </c>
      <c r="N3299" s="1" t="str">
        <f>HYPERLINK("https://klocwork.india.ti.com:443/review/insight-review.html#issuedetails_goto:problemid=147551,project=MCU_PLUS_SDK_AM263X,searchquery=taxonomy:'C and C++' build:Build_Apr_13_2023_11_11_AM grouping:off ","KW Issue Link")</f>
        <v>KW Issue Link</v>
      </c>
      <c r="O3299" s="1" t="s">
        <v>1083</v>
      </c>
    </row>
    <row r="3300" spans="1:15" ht="120" x14ac:dyDescent="0.25">
      <c r="A3300" s="1" t="s">
        <v>163</v>
      </c>
      <c r="B3300" s="1"/>
      <c r="C3300" s="1" t="s">
        <v>4238</v>
      </c>
      <c r="D3300" s="1">
        <v>147552</v>
      </c>
      <c r="E3300" s="1">
        <v>8146</v>
      </c>
      <c r="F3300" s="1" t="s">
        <v>4530</v>
      </c>
      <c r="G3300" s="1" t="s">
        <v>4381</v>
      </c>
      <c r="H3300" s="1" t="s">
        <v>141</v>
      </c>
      <c r="I3300" s="1" t="s">
        <v>65</v>
      </c>
      <c r="J3300" s="1">
        <v>3</v>
      </c>
      <c r="K3300" s="1" t="s">
        <v>142</v>
      </c>
      <c r="L3300" s="1" t="s">
        <v>153</v>
      </c>
      <c r="M3300" s="1" t="s">
        <v>28</v>
      </c>
      <c r="N3300" s="1" t="str">
        <f>HYPERLINK("https://klocwork.india.ti.com:443/review/insight-review.html#issuedetails_goto:problemid=147552,project=MCU_PLUS_SDK_AM263X,searchquery=taxonomy:'C and C++' build:Build_Apr_13_2023_11_11_AM grouping:off ","KW Issue Link")</f>
        <v>KW Issue Link</v>
      </c>
      <c r="O3300" s="1" t="s">
        <v>1083</v>
      </c>
    </row>
    <row r="3301" spans="1:15" ht="120" x14ac:dyDescent="0.25">
      <c r="A3301" s="1" t="s">
        <v>163</v>
      </c>
      <c r="B3301" s="1"/>
      <c r="C3301" s="1" t="s">
        <v>4238</v>
      </c>
      <c r="D3301" s="1">
        <v>147553</v>
      </c>
      <c r="E3301" s="1">
        <v>8146</v>
      </c>
      <c r="F3301" s="1" t="s">
        <v>4531</v>
      </c>
      <c r="G3301" s="1" t="s">
        <v>4381</v>
      </c>
      <c r="H3301" s="1" t="s">
        <v>141</v>
      </c>
      <c r="I3301" s="1" t="s">
        <v>65</v>
      </c>
      <c r="J3301" s="1">
        <v>3</v>
      </c>
      <c r="K3301" s="1" t="s">
        <v>142</v>
      </c>
      <c r="L3301" s="1" t="s">
        <v>153</v>
      </c>
      <c r="M3301" s="1" t="s">
        <v>28</v>
      </c>
      <c r="N3301" s="1" t="str">
        <f>HYPERLINK("https://klocwork.india.ti.com:443/review/insight-review.html#issuedetails_goto:problemid=147553,project=MCU_PLUS_SDK_AM263X,searchquery=taxonomy:'C and C++' build:Build_Apr_13_2023_11_11_AM grouping:off ","KW Issue Link")</f>
        <v>KW Issue Link</v>
      </c>
      <c r="O3301" s="1" t="s">
        <v>1083</v>
      </c>
    </row>
    <row r="3302" spans="1:15" ht="105" x14ac:dyDescent="0.25">
      <c r="A3302" s="1" t="s">
        <v>163</v>
      </c>
      <c r="B3302" s="1"/>
      <c r="C3302" s="1" t="s">
        <v>4238</v>
      </c>
      <c r="D3302" s="1">
        <v>147554</v>
      </c>
      <c r="E3302" s="1">
        <v>8897</v>
      </c>
      <c r="F3302" s="1" t="s">
        <v>4532</v>
      </c>
      <c r="G3302" s="1" t="s">
        <v>4387</v>
      </c>
      <c r="H3302" s="1" t="s">
        <v>141</v>
      </c>
      <c r="I3302" s="1" t="s">
        <v>65</v>
      </c>
      <c r="J3302" s="1">
        <v>3</v>
      </c>
      <c r="K3302" s="1" t="s">
        <v>142</v>
      </c>
      <c r="L3302" s="1" t="s">
        <v>153</v>
      </c>
      <c r="M3302" s="1" t="s">
        <v>28</v>
      </c>
      <c r="N3302" s="1" t="str">
        <f>HYPERLINK("https://klocwork.india.ti.com:443/review/insight-review.html#issuedetails_goto:problemid=147554,project=MCU_PLUS_SDK_AM263X,searchquery=taxonomy:'C and C++' build:Build_Apr_13_2023_11_11_AM grouping:off ","KW Issue Link")</f>
        <v>KW Issue Link</v>
      </c>
      <c r="O3302" s="1" t="s">
        <v>1083</v>
      </c>
    </row>
    <row r="3303" spans="1:15" ht="105" x14ac:dyDescent="0.25">
      <c r="A3303" s="1" t="s">
        <v>163</v>
      </c>
      <c r="B3303" s="1"/>
      <c r="C3303" s="1" t="s">
        <v>4238</v>
      </c>
      <c r="D3303" s="1">
        <v>147555</v>
      </c>
      <c r="E3303" s="1">
        <v>8897</v>
      </c>
      <c r="F3303" s="1" t="s">
        <v>4533</v>
      </c>
      <c r="G3303" s="1" t="s">
        <v>4387</v>
      </c>
      <c r="H3303" s="1" t="s">
        <v>141</v>
      </c>
      <c r="I3303" s="1" t="s">
        <v>65</v>
      </c>
      <c r="J3303" s="1">
        <v>3</v>
      </c>
      <c r="K3303" s="1" t="s">
        <v>142</v>
      </c>
      <c r="L3303" s="1" t="s">
        <v>153</v>
      </c>
      <c r="M3303" s="1" t="s">
        <v>28</v>
      </c>
      <c r="N3303" s="1" t="str">
        <f>HYPERLINK("https://klocwork.india.ti.com:443/review/insight-review.html#issuedetails_goto:problemid=147555,project=MCU_PLUS_SDK_AM263X,searchquery=taxonomy:'C and C++' build:Build_Apr_13_2023_11_11_AM grouping:off ","KW Issue Link")</f>
        <v>KW Issue Link</v>
      </c>
      <c r="O3303" s="1" t="s">
        <v>1083</v>
      </c>
    </row>
    <row r="3304" spans="1:15" ht="75" x14ac:dyDescent="0.25">
      <c r="A3304" s="1" t="s">
        <v>157</v>
      </c>
      <c r="B3304" s="1"/>
      <c r="C3304" s="1" t="s">
        <v>4534</v>
      </c>
      <c r="D3304" s="1">
        <v>147572</v>
      </c>
      <c r="E3304" s="1">
        <v>106</v>
      </c>
      <c r="F3304" s="1" t="s">
        <v>4535</v>
      </c>
      <c r="G3304" s="1" t="s">
        <v>4536</v>
      </c>
      <c r="H3304" s="1" t="s">
        <v>141</v>
      </c>
      <c r="I3304" s="1" t="s">
        <v>65</v>
      </c>
      <c r="J3304" s="1">
        <v>3</v>
      </c>
      <c r="K3304" s="1" t="s">
        <v>142</v>
      </c>
      <c r="L3304" s="1" t="s">
        <v>153</v>
      </c>
      <c r="M3304" s="1" t="s">
        <v>28</v>
      </c>
      <c r="N3304" s="1" t="str">
        <f>HYPERLINK("https://klocwork.india.ti.com:443/review/insight-review.html#issuedetails_goto:problemid=147572,project=MCU_PLUS_SDK_AM263X,searchquery=taxonomy:'C and C++' build:Build_Apr_13_2023_11_11_AM grouping:off ","KW Issue Link")</f>
        <v>KW Issue Link</v>
      </c>
      <c r="O3304" s="1" t="s">
        <v>259</v>
      </c>
    </row>
    <row r="3305" spans="1:15" ht="60" x14ac:dyDescent="0.25">
      <c r="A3305" s="1" t="s">
        <v>157</v>
      </c>
      <c r="B3305" s="1"/>
      <c r="C3305" s="1" t="s">
        <v>4534</v>
      </c>
      <c r="D3305" s="1">
        <v>147573</v>
      </c>
      <c r="E3305" s="1">
        <v>108</v>
      </c>
      <c r="F3305" s="1" t="s">
        <v>4537</v>
      </c>
      <c r="G3305" s="1" t="s">
        <v>4536</v>
      </c>
      <c r="H3305" s="1" t="s">
        <v>141</v>
      </c>
      <c r="I3305" s="1" t="s">
        <v>65</v>
      </c>
      <c r="J3305" s="1">
        <v>3</v>
      </c>
      <c r="K3305" s="1" t="s">
        <v>142</v>
      </c>
      <c r="L3305" s="1" t="s">
        <v>153</v>
      </c>
      <c r="M3305" s="1" t="s">
        <v>28</v>
      </c>
      <c r="N3305" s="1" t="str">
        <f>HYPERLINK("https://klocwork.india.ti.com:443/review/insight-review.html#issuedetails_goto:problemid=147573,project=MCU_PLUS_SDK_AM263X,searchquery=taxonomy:'C and C++' build:Build_Apr_13_2023_11_11_AM grouping:off ","KW Issue Link")</f>
        <v>KW Issue Link</v>
      </c>
      <c r="O3305" s="1" t="s">
        <v>259</v>
      </c>
    </row>
    <row r="3306" spans="1:15" ht="75" x14ac:dyDescent="0.25">
      <c r="A3306" s="1" t="s">
        <v>157</v>
      </c>
      <c r="B3306" s="1"/>
      <c r="C3306" s="1" t="s">
        <v>4534</v>
      </c>
      <c r="D3306" s="1">
        <v>147574</v>
      </c>
      <c r="E3306" s="1">
        <v>173</v>
      </c>
      <c r="F3306" s="1" t="s">
        <v>4535</v>
      </c>
      <c r="G3306" s="1" t="s">
        <v>4538</v>
      </c>
      <c r="H3306" s="1" t="s">
        <v>141</v>
      </c>
      <c r="I3306" s="1" t="s">
        <v>65</v>
      </c>
      <c r="J3306" s="1">
        <v>3</v>
      </c>
      <c r="K3306" s="1" t="s">
        <v>142</v>
      </c>
      <c r="L3306" s="1" t="s">
        <v>153</v>
      </c>
      <c r="M3306" s="1" t="s">
        <v>28</v>
      </c>
      <c r="N3306" s="1" t="str">
        <f>HYPERLINK("https://klocwork.india.ti.com:443/review/insight-review.html#issuedetails_goto:problemid=147574,project=MCU_PLUS_SDK_AM263X,searchquery=taxonomy:'C and C++' build:Build_Apr_13_2023_11_11_AM grouping:off ","KW Issue Link")</f>
        <v>KW Issue Link</v>
      </c>
      <c r="O3306" s="1" t="s">
        <v>259</v>
      </c>
    </row>
    <row r="3307" spans="1:15" ht="60" x14ac:dyDescent="0.25">
      <c r="A3307" s="1" t="s">
        <v>157</v>
      </c>
      <c r="B3307" s="1"/>
      <c r="C3307" s="1" t="s">
        <v>4534</v>
      </c>
      <c r="D3307" s="1">
        <v>147575</v>
      </c>
      <c r="E3307" s="1">
        <v>175</v>
      </c>
      <c r="F3307" s="1" t="s">
        <v>4537</v>
      </c>
      <c r="G3307" s="1" t="s">
        <v>4538</v>
      </c>
      <c r="H3307" s="1" t="s">
        <v>141</v>
      </c>
      <c r="I3307" s="1" t="s">
        <v>65</v>
      </c>
      <c r="J3307" s="1">
        <v>3</v>
      </c>
      <c r="K3307" s="1" t="s">
        <v>142</v>
      </c>
      <c r="L3307" s="1" t="s">
        <v>153</v>
      </c>
      <c r="M3307" s="1" t="s">
        <v>28</v>
      </c>
      <c r="N3307" s="1" t="str">
        <f>HYPERLINK("https://klocwork.india.ti.com:443/review/insight-review.html#issuedetails_goto:problemid=147575,project=MCU_PLUS_SDK_AM263X,searchquery=taxonomy:'C and C++' build:Build_Apr_13_2023_11_11_AM grouping:off ","KW Issue Link")</f>
        <v>KW Issue Link</v>
      </c>
      <c r="O3307" s="1" t="s">
        <v>259</v>
      </c>
    </row>
    <row r="3308" spans="1:15" ht="75" x14ac:dyDescent="0.25">
      <c r="A3308" s="1" t="s">
        <v>157</v>
      </c>
      <c r="B3308" s="1"/>
      <c r="C3308" s="1" t="s">
        <v>4534</v>
      </c>
      <c r="D3308" s="1">
        <v>147576</v>
      </c>
      <c r="E3308" s="1">
        <v>239</v>
      </c>
      <c r="F3308" s="1" t="s">
        <v>4535</v>
      </c>
      <c r="G3308" s="1" t="s">
        <v>4538</v>
      </c>
      <c r="H3308" s="1" t="s">
        <v>141</v>
      </c>
      <c r="I3308" s="1" t="s">
        <v>65</v>
      </c>
      <c r="J3308" s="1">
        <v>3</v>
      </c>
      <c r="K3308" s="1" t="s">
        <v>142</v>
      </c>
      <c r="L3308" s="1" t="s">
        <v>153</v>
      </c>
      <c r="M3308" s="1" t="s">
        <v>28</v>
      </c>
      <c r="N3308" s="1" t="str">
        <f>HYPERLINK("https://klocwork.india.ti.com:443/review/insight-review.html#issuedetails_goto:problemid=147576,project=MCU_PLUS_SDK_AM263X,searchquery=taxonomy:'C and C++' build:Build_Apr_13_2023_11_11_AM grouping:off ","KW Issue Link")</f>
        <v>KW Issue Link</v>
      </c>
      <c r="O3308" s="1" t="s">
        <v>259</v>
      </c>
    </row>
    <row r="3309" spans="1:15" ht="60" x14ac:dyDescent="0.25">
      <c r="A3309" s="1" t="s">
        <v>157</v>
      </c>
      <c r="B3309" s="1"/>
      <c r="C3309" s="1" t="s">
        <v>4534</v>
      </c>
      <c r="D3309" s="1">
        <v>147577</v>
      </c>
      <c r="E3309" s="1">
        <v>241</v>
      </c>
      <c r="F3309" s="1" t="s">
        <v>4537</v>
      </c>
      <c r="G3309" s="1" t="s">
        <v>4538</v>
      </c>
      <c r="H3309" s="1" t="s">
        <v>141</v>
      </c>
      <c r="I3309" s="1" t="s">
        <v>65</v>
      </c>
      <c r="J3309" s="1">
        <v>3</v>
      </c>
      <c r="K3309" s="1" t="s">
        <v>142</v>
      </c>
      <c r="L3309" s="1" t="s">
        <v>153</v>
      </c>
      <c r="M3309" s="1" t="s">
        <v>28</v>
      </c>
      <c r="N3309" s="1" t="str">
        <f>HYPERLINK("https://klocwork.india.ti.com:443/review/insight-review.html#issuedetails_goto:problemid=147577,project=MCU_PLUS_SDK_AM263X,searchquery=taxonomy:'C and C++' build:Build_Apr_13_2023_11_11_AM grouping:off ","KW Issue Link")</f>
        <v>KW Issue Link</v>
      </c>
      <c r="O3309" s="1" t="s">
        <v>259</v>
      </c>
    </row>
    <row r="3310" spans="1:15" ht="75" x14ac:dyDescent="0.25">
      <c r="A3310" s="1" t="s">
        <v>157</v>
      </c>
      <c r="B3310" s="1"/>
      <c r="C3310" s="1" t="s">
        <v>4534</v>
      </c>
      <c r="D3310" s="1">
        <v>147578</v>
      </c>
      <c r="E3310" s="1">
        <v>297</v>
      </c>
      <c r="F3310" s="1" t="s">
        <v>4535</v>
      </c>
      <c r="G3310" s="1" t="s">
        <v>4538</v>
      </c>
      <c r="H3310" s="1" t="s">
        <v>141</v>
      </c>
      <c r="I3310" s="1" t="s">
        <v>65</v>
      </c>
      <c r="J3310" s="1">
        <v>3</v>
      </c>
      <c r="K3310" s="1" t="s">
        <v>142</v>
      </c>
      <c r="L3310" s="1" t="s">
        <v>153</v>
      </c>
      <c r="M3310" s="1" t="s">
        <v>28</v>
      </c>
      <c r="N3310" s="1" t="str">
        <f>HYPERLINK("https://klocwork.india.ti.com:443/review/insight-review.html#issuedetails_goto:problemid=147578,project=MCU_PLUS_SDK_AM263X,searchquery=taxonomy:'C and C++' build:Build_Apr_13_2023_11_11_AM grouping:off ","KW Issue Link")</f>
        <v>KW Issue Link</v>
      </c>
      <c r="O3310" s="1" t="s">
        <v>259</v>
      </c>
    </row>
    <row r="3311" spans="1:15" ht="60" x14ac:dyDescent="0.25">
      <c r="A3311" s="1" t="s">
        <v>157</v>
      </c>
      <c r="B3311" s="1"/>
      <c r="C3311" s="1" t="s">
        <v>4534</v>
      </c>
      <c r="D3311" s="1">
        <v>147579</v>
      </c>
      <c r="E3311" s="1">
        <v>299</v>
      </c>
      <c r="F3311" s="1" t="s">
        <v>4537</v>
      </c>
      <c r="G3311" s="1" t="s">
        <v>4538</v>
      </c>
      <c r="H3311" s="1" t="s">
        <v>141</v>
      </c>
      <c r="I3311" s="1" t="s">
        <v>65</v>
      </c>
      <c r="J3311" s="1">
        <v>3</v>
      </c>
      <c r="K3311" s="1" t="s">
        <v>142</v>
      </c>
      <c r="L3311" s="1" t="s">
        <v>153</v>
      </c>
      <c r="M3311" s="1" t="s">
        <v>28</v>
      </c>
      <c r="N3311" s="1" t="str">
        <f>HYPERLINK("https://klocwork.india.ti.com:443/review/insight-review.html#issuedetails_goto:problemid=147579,project=MCU_PLUS_SDK_AM263X,searchquery=taxonomy:'C and C++' build:Build_Apr_13_2023_11_11_AM grouping:off ","KW Issue Link")</f>
        <v>KW Issue Link</v>
      </c>
      <c r="O3311" s="1" t="s">
        <v>259</v>
      </c>
    </row>
    <row r="3312" spans="1:15" ht="60" x14ac:dyDescent="0.25">
      <c r="A3312" s="1" t="s">
        <v>1257</v>
      </c>
      <c r="B3312" s="1"/>
      <c r="C3312" s="1" t="s">
        <v>4534</v>
      </c>
      <c r="D3312" s="1">
        <v>147603</v>
      </c>
      <c r="E3312" s="1">
        <v>117</v>
      </c>
      <c r="F3312" s="1" t="s">
        <v>4539</v>
      </c>
      <c r="G3312" s="1" t="s">
        <v>4538</v>
      </c>
      <c r="H3312" s="1" t="s">
        <v>141</v>
      </c>
      <c r="I3312" s="1" t="s">
        <v>65</v>
      </c>
      <c r="J3312" s="1">
        <v>3</v>
      </c>
      <c r="K3312" s="1" t="s">
        <v>142</v>
      </c>
      <c r="L3312" s="1" t="s">
        <v>153</v>
      </c>
      <c r="M3312" s="1" t="s">
        <v>1256</v>
      </c>
      <c r="N3312" s="1" t="str">
        <f>HYPERLINK("https://klocwork.india.ti.com:443/review/insight-review.html#issuedetails_goto:problemid=147603,project=MCU_PLUS_SDK_AM263X,searchquery=taxonomy:'C and C++' build:Build_Apr_13_2023_11_11_AM grouping:off ","KW Issue Link")</f>
        <v>KW Issue Link</v>
      </c>
      <c r="O3312" s="1" t="s">
        <v>259</v>
      </c>
    </row>
    <row r="3313" spans="1:15" ht="60" x14ac:dyDescent="0.25">
      <c r="A3313" s="1" t="s">
        <v>1266</v>
      </c>
      <c r="B3313" s="1"/>
      <c r="C3313" s="1" t="s">
        <v>4534</v>
      </c>
      <c r="D3313" s="1">
        <v>147604</v>
      </c>
      <c r="E3313" s="1">
        <v>117</v>
      </c>
      <c r="F3313" s="1" t="s">
        <v>4540</v>
      </c>
      <c r="G3313" s="1" t="s">
        <v>4538</v>
      </c>
      <c r="H3313" s="1" t="s">
        <v>141</v>
      </c>
      <c r="I3313" s="1" t="s">
        <v>65</v>
      </c>
      <c r="J3313" s="1">
        <v>3</v>
      </c>
      <c r="K3313" s="1" t="s">
        <v>142</v>
      </c>
      <c r="L3313" s="1" t="s">
        <v>153</v>
      </c>
      <c r="M3313" s="1" t="s">
        <v>1256</v>
      </c>
      <c r="N3313" s="1" t="str">
        <f>HYPERLINK("https://klocwork.india.ti.com:443/review/insight-review.html#issuedetails_goto:problemid=147604,project=MCU_PLUS_SDK_AM263X,searchquery=taxonomy:'C and C++' build:Build_Apr_13_2023_11_11_AM grouping:off ","KW Issue Link")</f>
        <v>KW Issue Link</v>
      </c>
      <c r="O3313" s="1" t="s">
        <v>259</v>
      </c>
    </row>
    <row r="3314" spans="1:15" ht="60" x14ac:dyDescent="0.25">
      <c r="A3314" s="1" t="s">
        <v>1268</v>
      </c>
      <c r="B3314" s="1"/>
      <c r="C3314" s="1" t="s">
        <v>4534</v>
      </c>
      <c r="D3314" s="1">
        <v>147605</v>
      </c>
      <c r="E3314" s="1">
        <v>117</v>
      </c>
      <c r="F3314" s="1" t="s">
        <v>4541</v>
      </c>
      <c r="G3314" s="1" t="s">
        <v>4538</v>
      </c>
      <c r="H3314" s="1" t="s">
        <v>141</v>
      </c>
      <c r="I3314" s="1" t="s">
        <v>65</v>
      </c>
      <c r="J3314" s="1">
        <v>3</v>
      </c>
      <c r="K3314" s="1" t="s">
        <v>142</v>
      </c>
      <c r="L3314" s="1" t="s">
        <v>153</v>
      </c>
      <c r="M3314" s="1" t="s">
        <v>1256</v>
      </c>
      <c r="N3314" s="1" t="str">
        <f>HYPERLINK("https://klocwork.india.ti.com:443/review/insight-review.html#issuedetails_goto:problemid=147605,project=MCU_PLUS_SDK_AM263X,searchquery=taxonomy:'C and C++' build:Build_Apr_13_2023_11_11_AM grouping:off ","KW Issue Link")</f>
        <v>KW Issue Link</v>
      </c>
      <c r="O3314" s="1" t="s">
        <v>259</v>
      </c>
    </row>
    <row r="3315" spans="1:15" ht="60" x14ac:dyDescent="0.25">
      <c r="A3315" s="1" t="s">
        <v>136</v>
      </c>
      <c r="B3315" s="1"/>
      <c r="C3315" s="1" t="s">
        <v>4534</v>
      </c>
      <c r="D3315" s="1">
        <v>147616</v>
      </c>
      <c r="E3315" s="1">
        <v>277</v>
      </c>
      <c r="F3315" s="1" t="s">
        <v>257</v>
      </c>
      <c r="G3315" s="1" t="s">
        <v>4538</v>
      </c>
      <c r="H3315" s="1" t="s">
        <v>141</v>
      </c>
      <c r="I3315" s="1" t="s">
        <v>66</v>
      </c>
      <c r="J3315" s="1">
        <v>4</v>
      </c>
      <c r="K3315" s="1" t="s">
        <v>142</v>
      </c>
      <c r="L3315" s="1" t="s">
        <v>153</v>
      </c>
      <c r="M3315" s="1" t="s">
        <v>28</v>
      </c>
      <c r="N3315" s="1" t="str">
        <f>HYPERLINK("https://klocwork.india.ti.com:443/review/insight-review.html#issuedetails_goto:problemid=147616,project=MCU_PLUS_SDK_AM263X,searchquery=taxonomy:'C and C++' build:Build_Apr_13_2023_11_11_AM grouping:off ","KW Issue Link")</f>
        <v>KW Issue Link</v>
      </c>
      <c r="O3315" s="1" t="s">
        <v>259</v>
      </c>
    </row>
    <row r="3316" spans="1:15" ht="60" x14ac:dyDescent="0.25">
      <c r="A3316" s="1" t="s">
        <v>1257</v>
      </c>
      <c r="B3316" s="1"/>
      <c r="C3316" s="1" t="s">
        <v>240</v>
      </c>
      <c r="D3316" s="1">
        <v>147640</v>
      </c>
      <c r="E3316" s="1">
        <v>582</v>
      </c>
      <c r="F3316" s="1" t="s">
        <v>4542</v>
      </c>
      <c r="G3316" s="1" t="s">
        <v>1034</v>
      </c>
      <c r="H3316" s="1" t="s">
        <v>141</v>
      </c>
      <c r="I3316" s="1" t="s">
        <v>65</v>
      </c>
      <c r="J3316" s="1">
        <v>3</v>
      </c>
      <c r="K3316" s="1" t="s">
        <v>142</v>
      </c>
      <c r="L3316" s="1" t="s">
        <v>153</v>
      </c>
      <c r="M3316" s="1" t="s">
        <v>1256</v>
      </c>
      <c r="N3316" s="1" t="str">
        <f>HYPERLINK("https://klocwork.india.ti.com:443/review/insight-review.html#issuedetails_goto:problemid=147640,project=MCU_PLUS_SDK_AM263X,searchquery=taxonomy:'C and C++' build:Build_Apr_13_2023_11_11_AM grouping:off ","KW Issue Link")</f>
        <v>KW Issue Link</v>
      </c>
      <c r="O3316" s="1" t="s">
        <v>242</v>
      </c>
    </row>
    <row r="3317" spans="1:15" ht="45" x14ac:dyDescent="0.25">
      <c r="A3317" s="1" t="s">
        <v>1257</v>
      </c>
      <c r="B3317" s="1"/>
      <c r="C3317" s="1" t="s">
        <v>240</v>
      </c>
      <c r="D3317" s="1">
        <v>147641</v>
      </c>
      <c r="E3317" s="1">
        <v>750</v>
      </c>
      <c r="F3317" s="1" t="s">
        <v>4543</v>
      </c>
      <c r="G3317" s="1" t="s">
        <v>4544</v>
      </c>
      <c r="H3317" s="1" t="s">
        <v>141</v>
      </c>
      <c r="I3317" s="1" t="s">
        <v>65</v>
      </c>
      <c r="J3317" s="1">
        <v>3</v>
      </c>
      <c r="K3317" s="1" t="s">
        <v>142</v>
      </c>
      <c r="L3317" s="1" t="s">
        <v>153</v>
      </c>
      <c r="M3317" s="1" t="s">
        <v>1256</v>
      </c>
      <c r="N3317" s="1" t="str">
        <f>HYPERLINK("https://klocwork.india.ti.com:443/review/insight-review.html#issuedetails_goto:problemid=147641,project=MCU_PLUS_SDK_AM263X,searchquery=taxonomy:'C and C++' build:Build_Apr_13_2023_11_11_AM grouping:off ","KW Issue Link")</f>
        <v>KW Issue Link</v>
      </c>
      <c r="O3317" s="1" t="s">
        <v>242</v>
      </c>
    </row>
    <row r="3318" spans="1:15" ht="60" x14ac:dyDescent="0.25">
      <c r="A3318" s="1" t="s">
        <v>1266</v>
      </c>
      <c r="B3318" s="1"/>
      <c r="C3318" s="1" t="s">
        <v>240</v>
      </c>
      <c r="D3318" s="1">
        <v>147642</v>
      </c>
      <c r="E3318" s="1">
        <v>582</v>
      </c>
      <c r="F3318" s="1" t="s">
        <v>4545</v>
      </c>
      <c r="G3318" s="1" t="s">
        <v>1034</v>
      </c>
      <c r="H3318" s="1" t="s">
        <v>141</v>
      </c>
      <c r="I3318" s="1" t="s">
        <v>65</v>
      </c>
      <c r="J3318" s="1">
        <v>3</v>
      </c>
      <c r="K3318" s="1" t="s">
        <v>142</v>
      </c>
      <c r="L3318" s="1" t="s">
        <v>153</v>
      </c>
      <c r="M3318" s="1" t="s">
        <v>1256</v>
      </c>
      <c r="N3318" s="1" t="str">
        <f>HYPERLINK("https://klocwork.india.ti.com:443/review/insight-review.html#issuedetails_goto:problemid=147642,project=MCU_PLUS_SDK_AM263X,searchquery=taxonomy:'C and C++' build:Build_Apr_13_2023_11_11_AM grouping:off ","KW Issue Link")</f>
        <v>KW Issue Link</v>
      </c>
      <c r="O3318" s="1" t="s">
        <v>242</v>
      </c>
    </row>
    <row r="3319" spans="1:15" ht="45" x14ac:dyDescent="0.25">
      <c r="A3319" s="1" t="s">
        <v>1266</v>
      </c>
      <c r="B3319" s="1"/>
      <c r="C3319" s="1" t="s">
        <v>240</v>
      </c>
      <c r="D3319" s="1">
        <v>147643</v>
      </c>
      <c r="E3319" s="1">
        <v>750</v>
      </c>
      <c r="F3319" s="1" t="s">
        <v>4546</v>
      </c>
      <c r="G3319" s="1" t="s">
        <v>4544</v>
      </c>
      <c r="H3319" s="1" t="s">
        <v>141</v>
      </c>
      <c r="I3319" s="1" t="s">
        <v>65</v>
      </c>
      <c r="J3319" s="1">
        <v>3</v>
      </c>
      <c r="K3319" s="1" t="s">
        <v>142</v>
      </c>
      <c r="L3319" s="1" t="s">
        <v>153</v>
      </c>
      <c r="M3319" s="1" t="s">
        <v>1256</v>
      </c>
      <c r="N3319" s="1" t="str">
        <f>HYPERLINK("https://klocwork.india.ti.com:443/review/insight-review.html#issuedetails_goto:problemid=147643,project=MCU_PLUS_SDK_AM263X,searchquery=taxonomy:'C and C++' build:Build_Apr_13_2023_11_11_AM grouping:off ","KW Issue Link")</f>
        <v>KW Issue Link</v>
      </c>
      <c r="O3319" s="1" t="s">
        <v>242</v>
      </c>
    </row>
    <row r="3320" spans="1:15" ht="60" x14ac:dyDescent="0.25">
      <c r="A3320" s="1" t="s">
        <v>1268</v>
      </c>
      <c r="B3320" s="1"/>
      <c r="C3320" s="1" t="s">
        <v>963</v>
      </c>
      <c r="D3320" s="1">
        <v>147650</v>
      </c>
      <c r="E3320" s="1">
        <v>417</v>
      </c>
      <c r="F3320" s="1" t="s">
        <v>4547</v>
      </c>
      <c r="G3320" s="1" t="s">
        <v>965</v>
      </c>
      <c r="H3320" s="1" t="s">
        <v>141</v>
      </c>
      <c r="I3320" s="1" t="s">
        <v>65</v>
      </c>
      <c r="J3320" s="1">
        <v>3</v>
      </c>
      <c r="K3320" s="1" t="s">
        <v>142</v>
      </c>
      <c r="L3320" s="1" t="s">
        <v>153</v>
      </c>
      <c r="M3320" s="1" t="s">
        <v>1256</v>
      </c>
      <c r="N3320" s="1" t="str">
        <f>HYPERLINK("https://klocwork.india.ti.com:443/review/insight-review.html#issuedetails_goto:problemid=147650,project=MCU_PLUS_SDK_AM263X,searchquery=taxonomy:'C and C++' build:Build_Apr_13_2023_11_11_AM grouping:off ","KW Issue Link")</f>
        <v>KW Issue Link</v>
      </c>
      <c r="O3320" s="1" t="s">
        <v>966</v>
      </c>
    </row>
    <row r="3321" spans="1:15" ht="60" x14ac:dyDescent="0.25">
      <c r="A3321" s="1" t="s">
        <v>157</v>
      </c>
      <c r="B3321" s="1"/>
      <c r="C3321" s="1" t="s">
        <v>963</v>
      </c>
      <c r="D3321" s="1">
        <v>147656</v>
      </c>
      <c r="E3321" s="1">
        <v>574</v>
      </c>
      <c r="F3321" s="1" t="s">
        <v>274</v>
      </c>
      <c r="G3321" s="1" t="s">
        <v>965</v>
      </c>
      <c r="H3321" s="1" t="s">
        <v>141</v>
      </c>
      <c r="I3321" s="1" t="s">
        <v>65</v>
      </c>
      <c r="J3321" s="1">
        <v>3</v>
      </c>
      <c r="K3321" s="1" t="s">
        <v>142</v>
      </c>
      <c r="L3321" s="1" t="s">
        <v>153</v>
      </c>
      <c r="M3321" s="1" t="s">
        <v>28</v>
      </c>
      <c r="N3321" s="1" t="str">
        <f>HYPERLINK("https://klocwork.india.ti.com:443/review/insight-review.html#issuedetails_goto:problemid=147656,project=MCU_PLUS_SDK_AM263X,searchquery=taxonomy:'C and C++' build:Build_Apr_13_2023_11_11_AM grouping:off ","KW Issue Link")</f>
        <v>KW Issue Link</v>
      </c>
      <c r="O3321" s="1" t="s">
        <v>966</v>
      </c>
    </row>
    <row r="3322" spans="1:15" ht="60" x14ac:dyDescent="0.25">
      <c r="A3322" s="1" t="s">
        <v>157</v>
      </c>
      <c r="B3322" s="1"/>
      <c r="C3322" s="1" t="s">
        <v>963</v>
      </c>
      <c r="D3322" s="1">
        <v>147657</v>
      </c>
      <c r="E3322" s="1">
        <v>578</v>
      </c>
      <c r="F3322" s="1" t="s">
        <v>274</v>
      </c>
      <c r="G3322" s="1" t="s">
        <v>965</v>
      </c>
      <c r="H3322" s="1" t="s">
        <v>141</v>
      </c>
      <c r="I3322" s="1" t="s">
        <v>65</v>
      </c>
      <c r="J3322" s="1">
        <v>3</v>
      </c>
      <c r="K3322" s="1" t="s">
        <v>142</v>
      </c>
      <c r="L3322" s="1" t="s">
        <v>153</v>
      </c>
      <c r="M3322" s="1" t="s">
        <v>28</v>
      </c>
      <c r="N3322" s="1" t="str">
        <f>HYPERLINK("https://klocwork.india.ti.com:443/review/insight-review.html#issuedetails_goto:problemid=147657,project=MCU_PLUS_SDK_AM263X,searchquery=taxonomy:'C and C++' build:Build_Apr_13_2023_11_11_AM grouping:off ","KW Issue Link")</f>
        <v>KW Issue Link</v>
      </c>
      <c r="O3322" s="1" t="s">
        <v>966</v>
      </c>
    </row>
    <row r="3323" spans="1:15" ht="60" x14ac:dyDescent="0.25">
      <c r="A3323" s="1" t="s">
        <v>1266</v>
      </c>
      <c r="B3323" s="1"/>
      <c r="C3323" s="1" t="s">
        <v>252</v>
      </c>
      <c r="D3323" s="1">
        <v>147670</v>
      </c>
      <c r="E3323" s="1">
        <v>927</v>
      </c>
      <c r="F3323" s="1" t="s">
        <v>4548</v>
      </c>
      <c r="G3323" s="1" t="s">
        <v>1088</v>
      </c>
      <c r="H3323" s="1" t="s">
        <v>141</v>
      </c>
      <c r="I3323" s="1" t="s">
        <v>65</v>
      </c>
      <c r="J3323" s="1">
        <v>3</v>
      </c>
      <c r="K3323" s="1" t="s">
        <v>142</v>
      </c>
      <c r="L3323" s="1" t="s">
        <v>153</v>
      </c>
      <c r="M3323" s="1" t="s">
        <v>1256</v>
      </c>
      <c r="N3323" s="1" t="str">
        <f>HYPERLINK("https://klocwork.india.ti.com:443/review/insight-review.html#issuedetails_goto:problemid=147670,project=MCU_PLUS_SDK_AM263X,searchquery=taxonomy:'C and C++' build:Build_Apr_13_2023_11_11_AM grouping:off ","KW Issue Link")</f>
        <v>KW Issue Link</v>
      </c>
      <c r="O3323" s="1" t="s">
        <v>254</v>
      </c>
    </row>
    <row r="3324" spans="1:15" ht="60" x14ac:dyDescent="0.25">
      <c r="A3324" s="1" t="s">
        <v>1266</v>
      </c>
      <c r="B3324" s="1"/>
      <c r="C3324" s="1" t="s">
        <v>252</v>
      </c>
      <c r="D3324" s="1">
        <v>147671</v>
      </c>
      <c r="E3324" s="1">
        <v>1157</v>
      </c>
      <c r="F3324" s="1" t="s">
        <v>4549</v>
      </c>
      <c r="G3324" s="1" t="s">
        <v>4550</v>
      </c>
      <c r="H3324" s="1" t="s">
        <v>141</v>
      </c>
      <c r="I3324" s="1" t="s">
        <v>65</v>
      </c>
      <c r="J3324" s="1">
        <v>3</v>
      </c>
      <c r="K3324" s="1" t="s">
        <v>142</v>
      </c>
      <c r="L3324" s="1" t="s">
        <v>153</v>
      </c>
      <c r="M3324" s="1" t="s">
        <v>1256</v>
      </c>
      <c r="N3324" s="1" t="str">
        <f>HYPERLINK("https://klocwork.india.ti.com:443/review/insight-review.html#issuedetails_goto:problemid=147671,project=MCU_PLUS_SDK_AM263X,searchquery=taxonomy:'C and C++' build:Build_Apr_13_2023_11_11_AM grouping:off ","KW Issue Link")</f>
        <v>KW Issue Link</v>
      </c>
      <c r="O3324" s="1" t="s">
        <v>254</v>
      </c>
    </row>
    <row r="3325" spans="1:15" ht="60" x14ac:dyDescent="0.25">
      <c r="A3325" s="1" t="s">
        <v>1268</v>
      </c>
      <c r="B3325" s="1"/>
      <c r="C3325" s="1" t="s">
        <v>252</v>
      </c>
      <c r="D3325" s="1">
        <v>147672</v>
      </c>
      <c r="E3325" s="1">
        <v>927</v>
      </c>
      <c r="F3325" s="1" t="s">
        <v>4551</v>
      </c>
      <c r="G3325" s="1" t="s">
        <v>1088</v>
      </c>
      <c r="H3325" s="1" t="s">
        <v>141</v>
      </c>
      <c r="I3325" s="1" t="s">
        <v>65</v>
      </c>
      <c r="J3325" s="1">
        <v>3</v>
      </c>
      <c r="K3325" s="1" t="s">
        <v>142</v>
      </c>
      <c r="L3325" s="1" t="s">
        <v>153</v>
      </c>
      <c r="M3325" s="1" t="s">
        <v>1256</v>
      </c>
      <c r="N3325" s="1" t="str">
        <f>HYPERLINK("https://klocwork.india.ti.com:443/review/insight-review.html#issuedetails_goto:problemid=147672,project=MCU_PLUS_SDK_AM263X,searchquery=taxonomy:'C and C++' build:Build_Apr_13_2023_11_11_AM grouping:off ","KW Issue Link")</f>
        <v>KW Issue Link</v>
      </c>
      <c r="O3325" s="1" t="s">
        <v>254</v>
      </c>
    </row>
    <row r="3326" spans="1:15" ht="60" x14ac:dyDescent="0.25">
      <c r="A3326" s="1" t="s">
        <v>1268</v>
      </c>
      <c r="B3326" s="1"/>
      <c r="C3326" s="1" t="s">
        <v>252</v>
      </c>
      <c r="D3326" s="1">
        <v>147673</v>
      </c>
      <c r="E3326" s="1">
        <v>1157</v>
      </c>
      <c r="F3326" s="1" t="s">
        <v>4552</v>
      </c>
      <c r="G3326" s="1" t="s">
        <v>4550</v>
      </c>
      <c r="H3326" s="1" t="s">
        <v>141</v>
      </c>
      <c r="I3326" s="1" t="s">
        <v>65</v>
      </c>
      <c r="J3326" s="1">
        <v>3</v>
      </c>
      <c r="K3326" s="1" t="s">
        <v>142</v>
      </c>
      <c r="L3326" s="1" t="s">
        <v>153</v>
      </c>
      <c r="M3326" s="1" t="s">
        <v>1256</v>
      </c>
      <c r="N3326" s="1" t="str">
        <f>HYPERLINK("https://klocwork.india.ti.com:443/review/insight-review.html#issuedetails_goto:problemid=147673,project=MCU_PLUS_SDK_AM263X,searchquery=taxonomy:'C and C++' build:Build_Apr_13_2023_11_11_AM grouping:off ","KW Issue Link")</f>
        <v>KW Issue Link</v>
      </c>
      <c r="O3326" s="1" t="s">
        <v>254</v>
      </c>
    </row>
    <row r="3327" spans="1:15" ht="60" x14ac:dyDescent="0.25">
      <c r="A3327" s="1" t="s">
        <v>1257</v>
      </c>
      <c r="B3327" s="1"/>
      <c r="C3327" s="1" t="s">
        <v>252</v>
      </c>
      <c r="D3327" s="1">
        <v>147674</v>
      </c>
      <c r="E3327" s="1">
        <v>703</v>
      </c>
      <c r="F3327" s="1" t="s">
        <v>4553</v>
      </c>
      <c r="G3327" s="1" t="s">
        <v>4554</v>
      </c>
      <c r="H3327" s="1" t="s">
        <v>141</v>
      </c>
      <c r="I3327" s="1" t="s">
        <v>65</v>
      </c>
      <c r="J3327" s="1">
        <v>3</v>
      </c>
      <c r="K3327" s="1" t="s">
        <v>142</v>
      </c>
      <c r="L3327" s="1" t="s">
        <v>153</v>
      </c>
      <c r="M3327" s="1" t="s">
        <v>1256</v>
      </c>
      <c r="N3327" s="1" t="str">
        <f>HYPERLINK("https://klocwork.india.ti.com:443/review/insight-review.html#issuedetails_goto:problemid=147674,project=MCU_PLUS_SDK_AM263X,searchquery=taxonomy:'C and C++' build:Build_Apr_13_2023_11_11_AM grouping:off ","KW Issue Link")</f>
        <v>KW Issue Link</v>
      </c>
      <c r="O3327" s="1" t="s">
        <v>254</v>
      </c>
    </row>
    <row r="3328" spans="1:15" ht="60" x14ac:dyDescent="0.25">
      <c r="A3328" s="1" t="s">
        <v>1257</v>
      </c>
      <c r="B3328" s="1"/>
      <c r="C3328" s="1" t="s">
        <v>252</v>
      </c>
      <c r="D3328" s="1">
        <v>147675</v>
      </c>
      <c r="E3328" s="1">
        <v>927</v>
      </c>
      <c r="F3328" s="1" t="s">
        <v>4555</v>
      </c>
      <c r="G3328" s="1" t="s">
        <v>1088</v>
      </c>
      <c r="H3328" s="1" t="s">
        <v>141</v>
      </c>
      <c r="I3328" s="1" t="s">
        <v>65</v>
      </c>
      <c r="J3328" s="1">
        <v>3</v>
      </c>
      <c r="K3328" s="1" t="s">
        <v>142</v>
      </c>
      <c r="L3328" s="1" t="s">
        <v>153</v>
      </c>
      <c r="M3328" s="1" t="s">
        <v>1256</v>
      </c>
      <c r="N3328" s="1" t="str">
        <f>HYPERLINK("https://klocwork.india.ti.com:443/review/insight-review.html#issuedetails_goto:problemid=147675,project=MCU_PLUS_SDK_AM263X,searchquery=taxonomy:'C and C++' build:Build_Apr_13_2023_11_11_AM grouping:off ","KW Issue Link")</f>
        <v>KW Issue Link</v>
      </c>
      <c r="O3328" s="1" t="s">
        <v>254</v>
      </c>
    </row>
    <row r="3329" spans="1:15" ht="60" x14ac:dyDescent="0.25">
      <c r="A3329" s="1" t="s">
        <v>1257</v>
      </c>
      <c r="B3329" s="1"/>
      <c r="C3329" s="1" t="s">
        <v>252</v>
      </c>
      <c r="D3329" s="1">
        <v>147676</v>
      </c>
      <c r="E3329" s="1">
        <v>1075</v>
      </c>
      <c r="F3329" s="1" t="s">
        <v>4556</v>
      </c>
      <c r="G3329" s="1" t="s">
        <v>4557</v>
      </c>
      <c r="H3329" s="1" t="s">
        <v>141</v>
      </c>
      <c r="I3329" s="1" t="s">
        <v>65</v>
      </c>
      <c r="J3329" s="1">
        <v>3</v>
      </c>
      <c r="K3329" s="1" t="s">
        <v>142</v>
      </c>
      <c r="L3329" s="1" t="s">
        <v>153</v>
      </c>
      <c r="M3329" s="1" t="s">
        <v>1256</v>
      </c>
      <c r="N3329" s="1" t="str">
        <f>HYPERLINK("https://klocwork.india.ti.com:443/review/insight-review.html#issuedetails_goto:problemid=147676,project=MCU_PLUS_SDK_AM263X,searchquery=taxonomy:'C and C++' build:Build_Apr_13_2023_11_11_AM grouping:off ","KW Issue Link")</f>
        <v>KW Issue Link</v>
      </c>
      <c r="O3329" s="1" t="s">
        <v>254</v>
      </c>
    </row>
    <row r="3330" spans="1:15" ht="60" x14ac:dyDescent="0.25">
      <c r="A3330" s="1" t="s">
        <v>1257</v>
      </c>
      <c r="B3330" s="1"/>
      <c r="C3330" s="1" t="s">
        <v>252</v>
      </c>
      <c r="D3330" s="1">
        <v>147677</v>
      </c>
      <c r="E3330" s="1">
        <v>1157</v>
      </c>
      <c r="F3330" s="1" t="s">
        <v>4558</v>
      </c>
      <c r="G3330" s="1" t="s">
        <v>4550</v>
      </c>
      <c r="H3330" s="1" t="s">
        <v>141</v>
      </c>
      <c r="I3330" s="1" t="s">
        <v>65</v>
      </c>
      <c r="J3330" s="1">
        <v>3</v>
      </c>
      <c r="K3330" s="1" t="s">
        <v>142</v>
      </c>
      <c r="L3330" s="1" t="s">
        <v>153</v>
      </c>
      <c r="M3330" s="1" t="s">
        <v>1256</v>
      </c>
      <c r="N3330" s="1" t="str">
        <f>HYPERLINK("https://klocwork.india.ti.com:443/review/insight-review.html#issuedetails_goto:problemid=147677,project=MCU_PLUS_SDK_AM263X,searchquery=taxonomy:'C and C++' build:Build_Apr_13_2023_11_11_AM grouping:off ","KW Issue Link")</f>
        <v>KW Issue Link</v>
      </c>
      <c r="O3330" s="1" t="s">
        <v>254</v>
      </c>
    </row>
    <row r="3331" spans="1:15" ht="60" x14ac:dyDescent="0.25">
      <c r="A3331" s="1" t="s">
        <v>1266</v>
      </c>
      <c r="B3331" s="1"/>
      <c r="C3331" s="1" t="s">
        <v>234</v>
      </c>
      <c r="D3331" s="1">
        <v>147690</v>
      </c>
      <c r="E3331" s="1">
        <v>1822</v>
      </c>
      <c r="F3331" s="1" t="s">
        <v>4559</v>
      </c>
      <c r="G3331" s="1" t="s">
        <v>4560</v>
      </c>
      <c r="H3331" s="1" t="s">
        <v>141</v>
      </c>
      <c r="I3331" s="1" t="s">
        <v>65</v>
      </c>
      <c r="J3331" s="1">
        <v>3</v>
      </c>
      <c r="K3331" s="1" t="s">
        <v>142</v>
      </c>
      <c r="L3331" s="1" t="s">
        <v>153</v>
      </c>
      <c r="M3331" s="1" t="s">
        <v>1256</v>
      </c>
      <c r="N3331" s="1" t="str">
        <f>HYPERLINK("https://klocwork.india.ti.com:443/review/insight-review.html#issuedetails_goto:problemid=147690,project=MCU_PLUS_SDK_AM263X,searchquery=taxonomy:'C and C++' build:Build_Apr_13_2023_11_11_AM grouping:off ","KW Issue Link")</f>
        <v>KW Issue Link</v>
      </c>
      <c r="O3331" s="1" t="s">
        <v>236</v>
      </c>
    </row>
    <row r="3332" spans="1:15" ht="60" x14ac:dyDescent="0.25">
      <c r="A3332" s="1" t="s">
        <v>1257</v>
      </c>
      <c r="B3332" s="1"/>
      <c r="C3332" s="1" t="s">
        <v>234</v>
      </c>
      <c r="D3332" s="1">
        <v>147692</v>
      </c>
      <c r="E3332" s="1">
        <v>1822</v>
      </c>
      <c r="F3332" s="1" t="s">
        <v>4561</v>
      </c>
      <c r="G3332" s="1" t="s">
        <v>4560</v>
      </c>
      <c r="H3332" s="1" t="s">
        <v>141</v>
      </c>
      <c r="I3332" s="1" t="s">
        <v>65</v>
      </c>
      <c r="J3332" s="1">
        <v>3</v>
      </c>
      <c r="K3332" s="1" t="s">
        <v>142</v>
      </c>
      <c r="L3332" s="1" t="s">
        <v>153</v>
      </c>
      <c r="M3332" s="1" t="s">
        <v>1256</v>
      </c>
      <c r="N3332" s="1" t="str">
        <f>HYPERLINK("https://klocwork.india.ti.com:443/review/insight-review.html#issuedetails_goto:problemid=147692,project=MCU_PLUS_SDK_AM263X,searchquery=taxonomy:'C and C++' build:Build_Apr_13_2023_11_11_AM grouping:off ","KW Issue Link")</f>
        <v>KW Issue Link</v>
      </c>
      <c r="O3332" s="1" t="s">
        <v>236</v>
      </c>
    </row>
    <row r="3333" spans="1:15" ht="75" x14ac:dyDescent="0.25">
      <c r="A3333" s="1" t="s">
        <v>157</v>
      </c>
      <c r="B3333" s="1"/>
      <c r="C3333" s="1" t="s">
        <v>4534</v>
      </c>
      <c r="D3333" s="1">
        <v>147877</v>
      </c>
      <c r="E3333" s="1">
        <v>360</v>
      </c>
      <c r="F3333" s="1" t="s">
        <v>4535</v>
      </c>
      <c r="G3333" s="1" t="s">
        <v>4538</v>
      </c>
      <c r="H3333" s="1" t="s">
        <v>141</v>
      </c>
      <c r="I3333" s="1" t="s">
        <v>65</v>
      </c>
      <c r="J3333" s="1">
        <v>3</v>
      </c>
      <c r="K3333" s="1" t="s">
        <v>142</v>
      </c>
      <c r="L3333" s="1" t="s">
        <v>153</v>
      </c>
      <c r="M3333" s="1" t="s">
        <v>28</v>
      </c>
      <c r="N3333" s="1" t="str">
        <f>HYPERLINK("https://klocwork.india.ti.com:443/review/insight-review.html#issuedetails_goto:problemid=147877,project=MCU_PLUS_SDK_AM263X,searchquery=taxonomy:'C and C++' build:Build_Apr_13_2023_11_11_AM grouping:off ","KW Issue Link")</f>
        <v>KW Issue Link</v>
      </c>
      <c r="O3333" s="1" t="s">
        <v>259</v>
      </c>
    </row>
    <row r="3334" spans="1:15" ht="60" x14ac:dyDescent="0.25">
      <c r="A3334" s="1" t="s">
        <v>157</v>
      </c>
      <c r="B3334" s="1"/>
      <c r="C3334" s="1" t="s">
        <v>4534</v>
      </c>
      <c r="D3334" s="1">
        <v>147878</v>
      </c>
      <c r="E3334" s="1">
        <v>362</v>
      </c>
      <c r="F3334" s="1" t="s">
        <v>4537</v>
      </c>
      <c r="G3334" s="1" t="s">
        <v>4538</v>
      </c>
      <c r="H3334" s="1" t="s">
        <v>141</v>
      </c>
      <c r="I3334" s="1" t="s">
        <v>65</v>
      </c>
      <c r="J3334" s="1">
        <v>3</v>
      </c>
      <c r="K3334" s="1" t="s">
        <v>142</v>
      </c>
      <c r="L3334" s="1" t="s">
        <v>153</v>
      </c>
      <c r="M3334" s="1" t="s">
        <v>28</v>
      </c>
      <c r="N3334" s="1" t="str">
        <f>HYPERLINK("https://klocwork.india.ti.com:443/review/insight-review.html#issuedetails_goto:problemid=147878,project=MCU_PLUS_SDK_AM263X,searchquery=taxonomy:'C and C++' build:Build_Apr_13_2023_11_11_AM grouping:off ","KW Issue Link")</f>
        <v>KW Issue Link</v>
      </c>
      <c r="O3334" s="1" t="s">
        <v>259</v>
      </c>
    </row>
    <row r="3335" spans="1:15" ht="60" x14ac:dyDescent="0.25">
      <c r="A3335" s="1" t="s">
        <v>136</v>
      </c>
      <c r="B3335" s="1"/>
      <c r="C3335" s="1" t="s">
        <v>4534</v>
      </c>
      <c r="D3335" s="1">
        <v>147884</v>
      </c>
      <c r="E3335" s="1">
        <v>162</v>
      </c>
      <c r="F3335" s="1" t="s">
        <v>257</v>
      </c>
      <c r="G3335" s="1" t="s">
        <v>4538</v>
      </c>
      <c r="H3335" s="1" t="s">
        <v>141</v>
      </c>
      <c r="I3335" s="1" t="s">
        <v>66</v>
      </c>
      <c r="J3335" s="1">
        <v>4</v>
      </c>
      <c r="K3335" s="1" t="s">
        <v>142</v>
      </c>
      <c r="L3335" s="1" t="s">
        <v>153</v>
      </c>
      <c r="M3335" s="1" t="s">
        <v>28</v>
      </c>
      <c r="N3335" s="1" t="str">
        <f>HYPERLINK("https://klocwork.india.ti.com:443/review/insight-review.html#issuedetails_goto:problemid=147884,project=MCU_PLUS_SDK_AM263X,searchquery=taxonomy:'C and C++' build:Build_Apr_13_2023_11_11_AM grouping:off ","KW Issue Link")</f>
        <v>KW Issue Link</v>
      </c>
      <c r="O3335" s="1" t="s">
        <v>259</v>
      </c>
    </row>
    <row r="3336" spans="1:15" ht="60" x14ac:dyDescent="0.25">
      <c r="A3336" s="1" t="s">
        <v>136</v>
      </c>
      <c r="B3336" s="1"/>
      <c r="C3336" s="1" t="s">
        <v>4534</v>
      </c>
      <c r="D3336" s="1">
        <v>147885</v>
      </c>
      <c r="E3336" s="1">
        <v>228</v>
      </c>
      <c r="F3336" s="1" t="s">
        <v>257</v>
      </c>
      <c r="G3336" s="1" t="s">
        <v>4538</v>
      </c>
      <c r="H3336" s="1" t="s">
        <v>141</v>
      </c>
      <c r="I3336" s="1" t="s">
        <v>66</v>
      </c>
      <c r="J3336" s="1">
        <v>4</v>
      </c>
      <c r="K3336" s="1" t="s">
        <v>142</v>
      </c>
      <c r="L3336" s="1" t="s">
        <v>153</v>
      </c>
      <c r="M3336" s="1" t="s">
        <v>28</v>
      </c>
      <c r="N3336" s="1" t="str">
        <f>HYPERLINK("https://klocwork.india.ti.com:443/review/insight-review.html#issuedetails_goto:problemid=147885,project=MCU_PLUS_SDK_AM263X,searchquery=taxonomy:'C and C++' build:Build_Apr_13_2023_11_11_AM grouping:off ","KW Issue Link")</f>
        <v>KW Issue Link</v>
      </c>
      <c r="O3336" s="1" t="s">
        <v>259</v>
      </c>
    </row>
    <row r="3337" spans="1:15" ht="60" x14ac:dyDescent="0.25">
      <c r="A3337" s="1" t="s">
        <v>136</v>
      </c>
      <c r="B3337" s="1"/>
      <c r="C3337" s="1" t="s">
        <v>4534</v>
      </c>
      <c r="D3337" s="1">
        <v>147886</v>
      </c>
      <c r="E3337" s="1">
        <v>286</v>
      </c>
      <c r="F3337" s="1" t="s">
        <v>257</v>
      </c>
      <c r="G3337" s="1" t="s">
        <v>4538</v>
      </c>
      <c r="H3337" s="1" t="s">
        <v>141</v>
      </c>
      <c r="I3337" s="1" t="s">
        <v>66</v>
      </c>
      <c r="J3337" s="1">
        <v>4</v>
      </c>
      <c r="K3337" s="1" t="s">
        <v>142</v>
      </c>
      <c r="L3337" s="1" t="s">
        <v>153</v>
      </c>
      <c r="M3337" s="1" t="s">
        <v>28</v>
      </c>
      <c r="N3337" s="1" t="str">
        <f>HYPERLINK("https://klocwork.india.ti.com:443/review/insight-review.html#issuedetails_goto:problemid=147886,project=MCU_PLUS_SDK_AM263X,searchquery=taxonomy:'C and C++' build:Build_Apr_13_2023_11_11_AM grouping:off ","KW Issue Link")</f>
        <v>KW Issue Link</v>
      </c>
      <c r="O3337" s="1" t="s">
        <v>259</v>
      </c>
    </row>
    <row r="3338" spans="1:15" ht="75" x14ac:dyDescent="0.25">
      <c r="A3338" s="1" t="s">
        <v>1257</v>
      </c>
      <c r="B3338" s="1"/>
      <c r="C3338" s="1" t="s">
        <v>138</v>
      </c>
      <c r="D3338" s="1">
        <v>148009</v>
      </c>
      <c r="E3338" s="1">
        <v>162</v>
      </c>
      <c r="F3338" s="1" t="s">
        <v>4562</v>
      </c>
      <c r="G3338" s="1" t="s">
        <v>4563</v>
      </c>
      <c r="H3338" s="1" t="s">
        <v>141</v>
      </c>
      <c r="I3338" s="1" t="s">
        <v>65</v>
      </c>
      <c r="J3338" s="1">
        <v>3</v>
      </c>
      <c r="K3338" s="1" t="s">
        <v>142</v>
      </c>
      <c r="L3338" s="1" t="s">
        <v>153</v>
      </c>
      <c r="M3338" s="1" t="s">
        <v>1256</v>
      </c>
      <c r="N3338" s="1" t="str">
        <f>HYPERLINK("https://klocwork.india.ti.com:443/review/insight-review.html#issuedetails_goto:problemid=148009,project=MCU_PLUS_SDK_AM263X,searchquery=taxonomy:'C and C++' build:Build_Apr_13_2023_11_11_AM grouping:off ","KW Issue Link")</f>
        <v>KW Issue Link</v>
      </c>
      <c r="O3338" s="1" t="s">
        <v>144</v>
      </c>
    </row>
    <row r="3339" spans="1:15" ht="75" x14ac:dyDescent="0.25">
      <c r="A3339" s="1" t="s">
        <v>149</v>
      </c>
      <c r="B3339" s="1"/>
      <c r="C3339" s="1" t="s">
        <v>1089</v>
      </c>
      <c r="D3339" s="1">
        <v>148312</v>
      </c>
      <c r="E3339" s="1">
        <v>316</v>
      </c>
      <c r="F3339" s="1" t="s">
        <v>429</v>
      </c>
      <c r="G3339" s="1" t="s">
        <v>1090</v>
      </c>
      <c r="H3339" s="1" t="s">
        <v>141</v>
      </c>
      <c r="I3339" s="1" t="s">
        <v>65</v>
      </c>
      <c r="J3339" s="1">
        <v>3</v>
      </c>
      <c r="K3339" s="1" t="s">
        <v>142</v>
      </c>
      <c r="L3339" s="1" t="s">
        <v>153</v>
      </c>
      <c r="M3339" s="1" t="s">
        <v>28</v>
      </c>
      <c r="N3339" s="1" t="str">
        <f>HYPERLINK("https://klocwork.india.ti.com:443/review/insight-review.html#issuedetails_goto:problemid=148312,project=MCU_PLUS_SDK_AM263X,searchquery=taxonomy:'C and C++' build:Build_Apr_13_2023_11_11_AM grouping:off ","KW Issue Link")</f>
        <v>KW Issue Link</v>
      </c>
      <c r="O3339" s="1" t="s">
        <v>1083</v>
      </c>
    </row>
    <row r="3340" spans="1:15" ht="75" x14ac:dyDescent="0.25">
      <c r="A3340" s="1" t="s">
        <v>155</v>
      </c>
      <c r="B3340" s="1"/>
      <c r="C3340" s="1" t="s">
        <v>1089</v>
      </c>
      <c r="D3340" s="1">
        <v>148313</v>
      </c>
      <c r="E3340" s="1">
        <v>319</v>
      </c>
      <c r="F3340" s="1" t="s">
        <v>156</v>
      </c>
      <c r="G3340" s="1" t="s">
        <v>1090</v>
      </c>
      <c r="H3340" s="1" t="s">
        <v>141</v>
      </c>
      <c r="I3340" s="1" t="s">
        <v>65</v>
      </c>
      <c r="J3340" s="1">
        <v>3</v>
      </c>
      <c r="K3340" s="1" t="s">
        <v>142</v>
      </c>
      <c r="L3340" s="1" t="s">
        <v>153</v>
      </c>
      <c r="M3340" s="1" t="s">
        <v>28</v>
      </c>
      <c r="N3340" s="1" t="str">
        <f>HYPERLINK("https://klocwork.india.ti.com:443/review/insight-review.html#issuedetails_goto:problemid=148313,project=MCU_PLUS_SDK_AM263X,searchquery=taxonomy:'C and C++' build:Build_Apr_13_2023_11_11_AM grouping:off ","KW Issue Link")</f>
        <v>KW Issue Link</v>
      </c>
      <c r="O3340" s="1" t="s">
        <v>1083</v>
      </c>
    </row>
    <row r="3341" spans="1:15" ht="60" x14ac:dyDescent="0.25">
      <c r="A3341" s="1" t="s">
        <v>1257</v>
      </c>
      <c r="B3341" s="1"/>
      <c r="C3341" s="1" t="s">
        <v>4504</v>
      </c>
      <c r="D3341" s="1">
        <v>148870</v>
      </c>
      <c r="E3341" s="1">
        <v>124</v>
      </c>
      <c r="F3341" s="1" t="s">
        <v>4564</v>
      </c>
      <c r="G3341" s="1" t="s">
        <v>4508</v>
      </c>
      <c r="H3341" s="1" t="s">
        <v>141</v>
      </c>
      <c r="I3341" s="1" t="s">
        <v>65</v>
      </c>
      <c r="J3341" s="1">
        <v>3</v>
      </c>
      <c r="K3341" s="1" t="s">
        <v>142</v>
      </c>
      <c r="L3341" s="1" t="s">
        <v>153</v>
      </c>
      <c r="M3341" s="1" t="s">
        <v>1256</v>
      </c>
      <c r="N3341" s="1" t="str">
        <f>HYPERLINK("https://klocwork.india.ti.com:443/review/insight-review.html#issuedetails_goto:problemid=148870,project=MCU_PLUS_SDK_AM263X,searchquery=taxonomy:'C and C++' build:Build_Apr_13_2023_11_11_AM grouping:off ","KW Issue Link")</f>
        <v>KW Issue Link</v>
      </c>
      <c r="O3341" s="1" t="s">
        <v>1083</v>
      </c>
    </row>
    <row r="3342" spans="1:15" ht="60" x14ac:dyDescent="0.25">
      <c r="A3342" s="1" t="s">
        <v>1257</v>
      </c>
      <c r="B3342" s="1"/>
      <c r="C3342" s="1" t="s">
        <v>4565</v>
      </c>
      <c r="D3342" s="1">
        <v>150543</v>
      </c>
      <c r="E3342" s="1">
        <v>195</v>
      </c>
      <c r="F3342" s="1" t="s">
        <v>4566</v>
      </c>
      <c r="G3342" s="1" t="s">
        <v>4567</v>
      </c>
      <c r="H3342" s="1" t="s">
        <v>141</v>
      </c>
      <c r="I3342" s="1" t="s">
        <v>65</v>
      </c>
      <c r="J3342" s="1">
        <v>3</v>
      </c>
      <c r="K3342" s="1" t="s">
        <v>142</v>
      </c>
      <c r="L3342" s="1" t="s">
        <v>153</v>
      </c>
      <c r="M3342" s="1" t="s">
        <v>1256</v>
      </c>
      <c r="N3342" s="1" t="str">
        <f>HYPERLINK("https://klocwork.india.ti.com:443/review/insight-review.html#issuedetails_goto:problemid=150543,project=MCU_PLUS_SDK_AM263X,searchquery=taxonomy:'C and C++' build:Build_Apr_13_2023_11_11_AM grouping:off ","KW Issue Link")</f>
        <v>KW Issue Link</v>
      </c>
      <c r="O3342" s="1" t="s">
        <v>1083</v>
      </c>
    </row>
    <row r="3343" spans="1:15" ht="60" x14ac:dyDescent="0.25">
      <c r="A3343" s="1" t="s">
        <v>1257</v>
      </c>
      <c r="B3343" s="1"/>
      <c r="C3343" s="1" t="s">
        <v>4565</v>
      </c>
      <c r="D3343" s="1">
        <v>150544</v>
      </c>
      <c r="E3343" s="1">
        <v>308</v>
      </c>
      <c r="F3343" s="1" t="s">
        <v>4568</v>
      </c>
      <c r="G3343" s="1" t="s">
        <v>4569</v>
      </c>
      <c r="H3343" s="1" t="s">
        <v>141</v>
      </c>
      <c r="I3343" s="1" t="s">
        <v>65</v>
      </c>
      <c r="J3343" s="1">
        <v>3</v>
      </c>
      <c r="K3343" s="1" t="s">
        <v>142</v>
      </c>
      <c r="L3343" s="1" t="s">
        <v>153</v>
      </c>
      <c r="M3343" s="1" t="s">
        <v>1256</v>
      </c>
      <c r="N3343" s="1" t="str">
        <f>HYPERLINK("https://klocwork.india.ti.com:443/review/insight-review.html#issuedetails_goto:problemid=150544,project=MCU_PLUS_SDK_AM263X,searchquery=taxonomy:'C and C++' build:Build_Apr_13_2023_11_11_AM grouping:off ","KW Issue Link")</f>
        <v>KW Issue Link</v>
      </c>
      <c r="O3343" s="1" t="s">
        <v>1083</v>
      </c>
    </row>
    <row r="3344" spans="1:15" ht="60" x14ac:dyDescent="0.25">
      <c r="A3344" s="1" t="s">
        <v>1257</v>
      </c>
      <c r="B3344" s="1"/>
      <c r="C3344" s="1" t="s">
        <v>4565</v>
      </c>
      <c r="D3344" s="1">
        <v>150545</v>
      </c>
      <c r="E3344" s="1">
        <v>1071</v>
      </c>
      <c r="F3344" s="1" t="s">
        <v>4570</v>
      </c>
      <c r="G3344" s="1" t="s">
        <v>4571</v>
      </c>
      <c r="H3344" s="1" t="s">
        <v>141</v>
      </c>
      <c r="I3344" s="1" t="s">
        <v>65</v>
      </c>
      <c r="J3344" s="1">
        <v>3</v>
      </c>
      <c r="K3344" s="1" t="s">
        <v>142</v>
      </c>
      <c r="L3344" s="1" t="s">
        <v>153</v>
      </c>
      <c r="M3344" s="1" t="s">
        <v>1256</v>
      </c>
      <c r="N3344" s="1" t="str">
        <f>HYPERLINK("https://klocwork.india.ti.com:443/review/insight-review.html#issuedetails_goto:problemid=150545,project=MCU_PLUS_SDK_AM263X,searchquery=taxonomy:'C and C++' build:Build_Apr_13_2023_11_11_AM grouping:off ","KW Issue Link")</f>
        <v>KW Issue Link</v>
      </c>
      <c r="O3344" s="1" t="s">
        <v>1083</v>
      </c>
    </row>
    <row r="3345" spans="1:15" ht="60" x14ac:dyDescent="0.25">
      <c r="A3345" s="1" t="s">
        <v>1257</v>
      </c>
      <c r="B3345" s="1"/>
      <c r="C3345" s="1" t="s">
        <v>4565</v>
      </c>
      <c r="D3345" s="1">
        <v>150546</v>
      </c>
      <c r="E3345" s="1">
        <v>1189</v>
      </c>
      <c r="F3345" s="1" t="s">
        <v>4572</v>
      </c>
      <c r="G3345" s="1" t="s">
        <v>4573</v>
      </c>
      <c r="H3345" s="1" t="s">
        <v>141</v>
      </c>
      <c r="I3345" s="1" t="s">
        <v>65</v>
      </c>
      <c r="J3345" s="1">
        <v>3</v>
      </c>
      <c r="K3345" s="1" t="s">
        <v>142</v>
      </c>
      <c r="L3345" s="1" t="s">
        <v>153</v>
      </c>
      <c r="M3345" s="1" t="s">
        <v>1256</v>
      </c>
      <c r="N3345" s="1" t="str">
        <f>HYPERLINK("https://klocwork.india.ti.com:443/review/insight-review.html#issuedetails_goto:problemid=150546,project=MCU_PLUS_SDK_AM263X,searchquery=taxonomy:'C and C++' build:Build_Apr_13_2023_11_11_AM grouping:off ","KW Issue Link")</f>
        <v>KW Issue Link</v>
      </c>
      <c r="O3345" s="1" t="s">
        <v>1083</v>
      </c>
    </row>
    <row r="3346" spans="1:15" ht="60" x14ac:dyDescent="0.25">
      <c r="A3346" s="1" t="s">
        <v>1257</v>
      </c>
      <c r="B3346" s="1"/>
      <c r="C3346" s="1" t="s">
        <v>4565</v>
      </c>
      <c r="D3346" s="1">
        <v>150547</v>
      </c>
      <c r="E3346" s="1">
        <v>1248</v>
      </c>
      <c r="F3346" s="1" t="s">
        <v>4574</v>
      </c>
      <c r="G3346" s="1" t="s">
        <v>4575</v>
      </c>
      <c r="H3346" s="1" t="s">
        <v>141</v>
      </c>
      <c r="I3346" s="1" t="s">
        <v>65</v>
      </c>
      <c r="J3346" s="1">
        <v>3</v>
      </c>
      <c r="K3346" s="1" t="s">
        <v>142</v>
      </c>
      <c r="L3346" s="1" t="s">
        <v>153</v>
      </c>
      <c r="M3346" s="1" t="s">
        <v>1256</v>
      </c>
      <c r="N3346" s="1" t="str">
        <f>HYPERLINK("https://klocwork.india.ti.com:443/review/insight-review.html#issuedetails_goto:problemid=150547,project=MCU_PLUS_SDK_AM263X,searchquery=taxonomy:'C and C++' build:Build_Apr_13_2023_11_11_AM grouping:off ","KW Issue Link")</f>
        <v>KW Issue Link</v>
      </c>
      <c r="O3346" s="1" t="s">
        <v>1083</v>
      </c>
    </row>
    <row r="3347" spans="1:15" ht="60" x14ac:dyDescent="0.25">
      <c r="A3347" s="1" t="s">
        <v>1257</v>
      </c>
      <c r="B3347" s="1"/>
      <c r="C3347" s="1" t="s">
        <v>4565</v>
      </c>
      <c r="D3347" s="1">
        <v>150548</v>
      </c>
      <c r="E3347" s="1">
        <v>1310</v>
      </c>
      <c r="F3347" s="1" t="s">
        <v>4576</v>
      </c>
      <c r="G3347" s="1" t="s">
        <v>4577</v>
      </c>
      <c r="H3347" s="1" t="s">
        <v>141</v>
      </c>
      <c r="I3347" s="1" t="s">
        <v>65</v>
      </c>
      <c r="J3347" s="1">
        <v>3</v>
      </c>
      <c r="K3347" s="1" t="s">
        <v>142</v>
      </c>
      <c r="L3347" s="1" t="s">
        <v>153</v>
      </c>
      <c r="M3347" s="1" t="s">
        <v>1256</v>
      </c>
      <c r="N3347" s="1" t="str">
        <f>HYPERLINK("https://klocwork.india.ti.com:443/review/insight-review.html#issuedetails_goto:problemid=150548,project=MCU_PLUS_SDK_AM263X,searchquery=taxonomy:'C and C++' build:Build_Apr_13_2023_11_11_AM grouping:off ","KW Issue Link")</f>
        <v>KW Issue Link</v>
      </c>
      <c r="O3347" s="1" t="s">
        <v>1083</v>
      </c>
    </row>
    <row r="3348" spans="1:15" ht="60" x14ac:dyDescent="0.25">
      <c r="A3348" s="1" t="s">
        <v>1257</v>
      </c>
      <c r="B3348" s="1"/>
      <c r="C3348" s="1" t="s">
        <v>4565</v>
      </c>
      <c r="D3348" s="1">
        <v>150549</v>
      </c>
      <c r="E3348" s="1">
        <v>1374</v>
      </c>
      <c r="F3348" s="1" t="s">
        <v>4578</v>
      </c>
      <c r="G3348" s="1" t="s">
        <v>4579</v>
      </c>
      <c r="H3348" s="1" t="s">
        <v>141</v>
      </c>
      <c r="I3348" s="1" t="s">
        <v>65</v>
      </c>
      <c r="J3348" s="1">
        <v>3</v>
      </c>
      <c r="K3348" s="1" t="s">
        <v>142</v>
      </c>
      <c r="L3348" s="1" t="s">
        <v>153</v>
      </c>
      <c r="M3348" s="1" t="s">
        <v>1256</v>
      </c>
      <c r="N3348" s="1" t="str">
        <f>HYPERLINK("https://klocwork.india.ti.com:443/review/insight-review.html#issuedetails_goto:problemid=150549,project=MCU_PLUS_SDK_AM263X,searchquery=taxonomy:'C and C++' build:Build_Apr_13_2023_11_11_AM grouping:off ","KW Issue Link")</f>
        <v>KW Issue Link</v>
      </c>
      <c r="O3348" s="1" t="s">
        <v>1083</v>
      </c>
    </row>
    <row r="3349" spans="1:15" ht="60" x14ac:dyDescent="0.25">
      <c r="A3349" s="1" t="s">
        <v>1257</v>
      </c>
      <c r="B3349" s="1"/>
      <c r="C3349" s="1" t="s">
        <v>4565</v>
      </c>
      <c r="D3349" s="1">
        <v>150550</v>
      </c>
      <c r="E3349" s="1">
        <v>1660</v>
      </c>
      <c r="F3349" s="1" t="s">
        <v>4580</v>
      </c>
      <c r="G3349" s="1" t="s">
        <v>4581</v>
      </c>
      <c r="H3349" s="1" t="s">
        <v>141</v>
      </c>
      <c r="I3349" s="1" t="s">
        <v>65</v>
      </c>
      <c r="J3349" s="1">
        <v>3</v>
      </c>
      <c r="K3349" s="1" t="s">
        <v>142</v>
      </c>
      <c r="L3349" s="1" t="s">
        <v>153</v>
      </c>
      <c r="M3349" s="1" t="s">
        <v>1256</v>
      </c>
      <c r="N3349" s="1" t="str">
        <f>HYPERLINK("https://klocwork.india.ti.com:443/review/insight-review.html#issuedetails_goto:problemid=150550,project=MCU_PLUS_SDK_AM263X,searchquery=taxonomy:'C and C++' build:Build_Apr_13_2023_11_11_AM grouping:off ","KW Issue Link")</f>
        <v>KW Issue Link</v>
      </c>
      <c r="O3349" s="1" t="s">
        <v>1083</v>
      </c>
    </row>
    <row r="3350" spans="1:15" ht="60" x14ac:dyDescent="0.25">
      <c r="A3350" s="1" t="s">
        <v>1257</v>
      </c>
      <c r="B3350" s="1"/>
      <c r="C3350" s="1" t="s">
        <v>4565</v>
      </c>
      <c r="D3350" s="1">
        <v>150551</v>
      </c>
      <c r="E3350" s="1">
        <v>1783</v>
      </c>
      <c r="F3350" s="1" t="s">
        <v>4582</v>
      </c>
      <c r="G3350" s="1" t="s">
        <v>4583</v>
      </c>
      <c r="H3350" s="1" t="s">
        <v>141</v>
      </c>
      <c r="I3350" s="1" t="s">
        <v>65</v>
      </c>
      <c r="J3350" s="1">
        <v>3</v>
      </c>
      <c r="K3350" s="1" t="s">
        <v>142</v>
      </c>
      <c r="L3350" s="1" t="s">
        <v>153</v>
      </c>
      <c r="M3350" s="1" t="s">
        <v>1256</v>
      </c>
      <c r="N3350" s="1" t="str">
        <f>HYPERLINK("https://klocwork.india.ti.com:443/review/insight-review.html#issuedetails_goto:problemid=150551,project=MCU_PLUS_SDK_AM263X,searchquery=taxonomy:'C and C++' build:Build_Apr_13_2023_11_11_AM grouping:off ","KW Issue Link")</f>
        <v>KW Issue Link</v>
      </c>
      <c r="O3350" s="1" t="s">
        <v>1083</v>
      </c>
    </row>
    <row r="3351" spans="1:15" ht="60" x14ac:dyDescent="0.25">
      <c r="A3351" s="1" t="s">
        <v>1257</v>
      </c>
      <c r="B3351" s="1"/>
      <c r="C3351" s="1" t="s">
        <v>4565</v>
      </c>
      <c r="D3351" s="1">
        <v>150552</v>
      </c>
      <c r="E3351" s="1">
        <v>2004</v>
      </c>
      <c r="F3351" s="1" t="s">
        <v>4584</v>
      </c>
      <c r="G3351" s="1" t="s">
        <v>4585</v>
      </c>
      <c r="H3351" s="1" t="s">
        <v>141</v>
      </c>
      <c r="I3351" s="1" t="s">
        <v>65</v>
      </c>
      <c r="J3351" s="1">
        <v>3</v>
      </c>
      <c r="K3351" s="1" t="s">
        <v>142</v>
      </c>
      <c r="L3351" s="1" t="s">
        <v>153</v>
      </c>
      <c r="M3351" s="1" t="s">
        <v>1256</v>
      </c>
      <c r="N3351" s="1" t="str">
        <f>HYPERLINK("https://klocwork.india.ti.com:443/review/insight-review.html#issuedetails_goto:problemid=150552,project=MCU_PLUS_SDK_AM263X,searchquery=taxonomy:'C and C++' build:Build_Apr_13_2023_11_11_AM grouping:off ","KW Issue Link")</f>
        <v>KW Issue Link</v>
      </c>
      <c r="O3351" s="1" t="s">
        <v>1083</v>
      </c>
    </row>
    <row r="3352" spans="1:15" ht="60" x14ac:dyDescent="0.25">
      <c r="A3352" s="1" t="s">
        <v>1257</v>
      </c>
      <c r="B3352" s="1"/>
      <c r="C3352" s="1" t="s">
        <v>4565</v>
      </c>
      <c r="D3352" s="1">
        <v>150553</v>
      </c>
      <c r="E3352" s="1">
        <v>2120</v>
      </c>
      <c r="F3352" s="1" t="s">
        <v>4586</v>
      </c>
      <c r="G3352" s="1" t="s">
        <v>4587</v>
      </c>
      <c r="H3352" s="1" t="s">
        <v>141</v>
      </c>
      <c r="I3352" s="1" t="s">
        <v>65</v>
      </c>
      <c r="J3352" s="1">
        <v>3</v>
      </c>
      <c r="K3352" s="1" t="s">
        <v>142</v>
      </c>
      <c r="L3352" s="1" t="s">
        <v>153</v>
      </c>
      <c r="M3352" s="1" t="s">
        <v>1256</v>
      </c>
      <c r="N3352" s="1" t="str">
        <f>HYPERLINK("https://klocwork.india.ti.com:443/review/insight-review.html#issuedetails_goto:problemid=150553,project=MCU_PLUS_SDK_AM263X,searchquery=taxonomy:'C and C++' build:Build_Apr_13_2023_11_11_AM grouping:off ","KW Issue Link")</f>
        <v>KW Issue Link</v>
      </c>
      <c r="O3352" s="1" t="s">
        <v>1083</v>
      </c>
    </row>
    <row r="3353" spans="1:15" ht="60" x14ac:dyDescent="0.25">
      <c r="A3353" s="1" t="s">
        <v>1257</v>
      </c>
      <c r="B3353" s="1"/>
      <c r="C3353" s="1" t="s">
        <v>4565</v>
      </c>
      <c r="D3353" s="1">
        <v>150554</v>
      </c>
      <c r="E3353" s="1">
        <v>2190</v>
      </c>
      <c r="F3353" s="1" t="s">
        <v>4588</v>
      </c>
      <c r="G3353" s="1" t="s">
        <v>4589</v>
      </c>
      <c r="H3353" s="1" t="s">
        <v>141</v>
      </c>
      <c r="I3353" s="1" t="s">
        <v>65</v>
      </c>
      <c r="J3353" s="1">
        <v>3</v>
      </c>
      <c r="K3353" s="1" t="s">
        <v>142</v>
      </c>
      <c r="L3353" s="1" t="s">
        <v>153</v>
      </c>
      <c r="M3353" s="1" t="s">
        <v>1256</v>
      </c>
      <c r="N3353" s="1" t="str">
        <f>HYPERLINK("https://klocwork.india.ti.com:443/review/insight-review.html#issuedetails_goto:problemid=150554,project=MCU_PLUS_SDK_AM263X,searchquery=taxonomy:'C and C++' build:Build_Apr_13_2023_11_11_AM grouping:off ","KW Issue Link")</f>
        <v>KW Issue Link</v>
      </c>
      <c r="O3353" s="1" t="s">
        <v>1083</v>
      </c>
    </row>
    <row r="3354" spans="1:15" ht="60" x14ac:dyDescent="0.25">
      <c r="A3354" s="1" t="s">
        <v>1257</v>
      </c>
      <c r="B3354" s="1"/>
      <c r="C3354" s="1" t="s">
        <v>4565</v>
      </c>
      <c r="D3354" s="1">
        <v>150555</v>
      </c>
      <c r="E3354" s="1">
        <v>2620</v>
      </c>
      <c r="F3354" s="1" t="s">
        <v>4590</v>
      </c>
      <c r="G3354" s="1" t="s">
        <v>4591</v>
      </c>
      <c r="H3354" s="1" t="s">
        <v>141</v>
      </c>
      <c r="I3354" s="1" t="s">
        <v>65</v>
      </c>
      <c r="J3354" s="1">
        <v>3</v>
      </c>
      <c r="K3354" s="1" t="s">
        <v>142</v>
      </c>
      <c r="L3354" s="1" t="s">
        <v>153</v>
      </c>
      <c r="M3354" s="1" t="s">
        <v>1256</v>
      </c>
      <c r="N3354" s="1" t="str">
        <f>HYPERLINK("https://klocwork.india.ti.com:443/review/insight-review.html#issuedetails_goto:problemid=150555,project=MCU_PLUS_SDK_AM263X,searchquery=taxonomy:'C and C++' build:Build_Apr_13_2023_11_11_AM grouping:off ","KW Issue Link")</f>
        <v>KW Issue Link</v>
      </c>
      <c r="O3354" s="1" t="s">
        <v>1083</v>
      </c>
    </row>
    <row r="3355" spans="1:15" ht="60" x14ac:dyDescent="0.25">
      <c r="A3355" s="1" t="s">
        <v>1257</v>
      </c>
      <c r="B3355" s="1"/>
      <c r="C3355" s="1" t="s">
        <v>4565</v>
      </c>
      <c r="D3355" s="1">
        <v>150556</v>
      </c>
      <c r="E3355" s="1">
        <v>2803</v>
      </c>
      <c r="F3355" s="1" t="s">
        <v>4592</v>
      </c>
      <c r="G3355" s="1" t="s">
        <v>4593</v>
      </c>
      <c r="H3355" s="1" t="s">
        <v>141</v>
      </c>
      <c r="I3355" s="1" t="s">
        <v>65</v>
      </c>
      <c r="J3355" s="1">
        <v>3</v>
      </c>
      <c r="K3355" s="1" t="s">
        <v>142</v>
      </c>
      <c r="L3355" s="1" t="s">
        <v>153</v>
      </c>
      <c r="M3355" s="1" t="s">
        <v>1256</v>
      </c>
      <c r="N3355" s="1" t="str">
        <f>HYPERLINK("https://klocwork.india.ti.com:443/review/insight-review.html#issuedetails_goto:problemid=150556,project=MCU_PLUS_SDK_AM263X,searchquery=taxonomy:'C and C++' build:Build_Apr_13_2023_11_11_AM grouping:off ","KW Issue Link")</f>
        <v>KW Issue Link</v>
      </c>
      <c r="O3355" s="1" t="s">
        <v>1083</v>
      </c>
    </row>
    <row r="3356" spans="1:15" ht="60" x14ac:dyDescent="0.25">
      <c r="A3356" s="1" t="s">
        <v>1257</v>
      </c>
      <c r="B3356" s="1"/>
      <c r="C3356" s="1" t="s">
        <v>4565</v>
      </c>
      <c r="D3356" s="1">
        <v>150557</v>
      </c>
      <c r="E3356" s="1">
        <v>3409</v>
      </c>
      <c r="F3356" s="1" t="s">
        <v>4594</v>
      </c>
      <c r="G3356" s="1" t="s">
        <v>4595</v>
      </c>
      <c r="H3356" s="1" t="s">
        <v>141</v>
      </c>
      <c r="I3356" s="1" t="s">
        <v>65</v>
      </c>
      <c r="J3356" s="1">
        <v>3</v>
      </c>
      <c r="K3356" s="1" t="s">
        <v>142</v>
      </c>
      <c r="L3356" s="1" t="s">
        <v>153</v>
      </c>
      <c r="M3356" s="1" t="s">
        <v>1256</v>
      </c>
      <c r="N3356" s="1" t="str">
        <f>HYPERLINK("https://klocwork.india.ti.com:443/review/insight-review.html#issuedetails_goto:problemid=150557,project=MCU_PLUS_SDK_AM263X,searchquery=taxonomy:'C and C++' build:Build_Apr_13_2023_11_11_AM grouping:off ","KW Issue Link")</f>
        <v>KW Issue Link</v>
      </c>
      <c r="O3356" s="1" t="s">
        <v>1083</v>
      </c>
    </row>
    <row r="3357" spans="1:15" ht="60" x14ac:dyDescent="0.25">
      <c r="A3357" s="1" t="s">
        <v>157</v>
      </c>
      <c r="B3357" s="1"/>
      <c r="C3357" s="1" t="s">
        <v>4565</v>
      </c>
      <c r="D3357" s="1">
        <v>150567</v>
      </c>
      <c r="E3357" s="1">
        <v>237</v>
      </c>
      <c r="F3357" s="1" t="s">
        <v>4596</v>
      </c>
      <c r="G3357" s="1" t="s">
        <v>4567</v>
      </c>
      <c r="H3357" s="1" t="s">
        <v>141</v>
      </c>
      <c r="I3357" s="1" t="s">
        <v>65</v>
      </c>
      <c r="J3357" s="1">
        <v>3</v>
      </c>
      <c r="K3357" s="1" t="s">
        <v>142</v>
      </c>
      <c r="L3357" s="1" t="s">
        <v>153</v>
      </c>
      <c r="M3357" s="1" t="s">
        <v>28</v>
      </c>
      <c r="N3357" s="1" t="str">
        <f>HYPERLINK("https://klocwork.india.ti.com:443/review/insight-review.html#issuedetails_goto:problemid=150567,project=MCU_PLUS_SDK_AM263X,searchquery=taxonomy:'C and C++' build:Build_Apr_13_2023_11_11_AM grouping:off ","KW Issue Link")</f>
        <v>KW Issue Link</v>
      </c>
      <c r="O3357" s="1" t="s">
        <v>1083</v>
      </c>
    </row>
    <row r="3358" spans="1:15" ht="60" x14ac:dyDescent="0.25">
      <c r="A3358" s="1" t="s">
        <v>1252</v>
      </c>
      <c r="B3358" s="1"/>
      <c r="C3358" s="1" t="s">
        <v>4565</v>
      </c>
      <c r="D3358" s="1">
        <v>150773</v>
      </c>
      <c r="E3358" s="1">
        <v>308</v>
      </c>
      <c r="F3358" s="1" t="s">
        <v>4597</v>
      </c>
      <c r="G3358" s="1" t="s">
        <v>4569</v>
      </c>
      <c r="H3358" s="1" t="s">
        <v>141</v>
      </c>
      <c r="I3358" s="1" t="s">
        <v>65</v>
      </c>
      <c r="J3358" s="1">
        <v>3</v>
      </c>
      <c r="K3358" s="1" t="s">
        <v>142</v>
      </c>
      <c r="L3358" s="1" t="s">
        <v>153</v>
      </c>
      <c r="M3358" s="1" t="s">
        <v>1256</v>
      </c>
      <c r="N3358" s="1" t="str">
        <f>HYPERLINK("https://klocwork.india.ti.com:443/review/insight-review.html#issuedetails_goto:problemid=150773,project=MCU_PLUS_SDK_AM263X,searchquery=taxonomy:'C and C++' build:Build_Apr_13_2023_11_11_AM grouping:off ","KW Issue Link")</f>
        <v>KW Issue Link</v>
      </c>
      <c r="O3358" s="1" t="s">
        <v>1083</v>
      </c>
    </row>
    <row r="3359" spans="1:15" ht="60" x14ac:dyDescent="0.25">
      <c r="A3359" s="1" t="s">
        <v>1266</v>
      </c>
      <c r="B3359" s="1"/>
      <c r="C3359" s="1" t="s">
        <v>4565</v>
      </c>
      <c r="D3359" s="1">
        <v>150774</v>
      </c>
      <c r="E3359" s="1">
        <v>308</v>
      </c>
      <c r="F3359" s="1" t="s">
        <v>4598</v>
      </c>
      <c r="G3359" s="1" t="s">
        <v>4569</v>
      </c>
      <c r="H3359" s="1" t="s">
        <v>141</v>
      </c>
      <c r="I3359" s="1" t="s">
        <v>65</v>
      </c>
      <c r="J3359" s="1">
        <v>3</v>
      </c>
      <c r="K3359" s="1" t="s">
        <v>142</v>
      </c>
      <c r="L3359" s="1" t="s">
        <v>153</v>
      </c>
      <c r="M3359" s="1" t="s">
        <v>1256</v>
      </c>
      <c r="N3359" s="1" t="str">
        <f>HYPERLINK("https://klocwork.india.ti.com:443/review/insight-review.html#issuedetails_goto:problemid=150774,project=MCU_PLUS_SDK_AM263X,searchquery=taxonomy:'C and C++' build:Build_Apr_13_2023_11_11_AM grouping:off ","KW Issue Link")</f>
        <v>KW Issue Link</v>
      </c>
      <c r="O3359" s="1" t="s">
        <v>1083</v>
      </c>
    </row>
    <row r="3360" spans="1:15" ht="60" x14ac:dyDescent="0.25">
      <c r="A3360" s="1" t="s">
        <v>1266</v>
      </c>
      <c r="B3360" s="1"/>
      <c r="C3360" s="1" t="s">
        <v>4565</v>
      </c>
      <c r="D3360" s="1">
        <v>150775</v>
      </c>
      <c r="E3360" s="1">
        <v>1374</v>
      </c>
      <c r="F3360" s="1" t="s">
        <v>4599</v>
      </c>
      <c r="G3360" s="1" t="s">
        <v>4579</v>
      </c>
      <c r="H3360" s="1" t="s">
        <v>141</v>
      </c>
      <c r="I3360" s="1" t="s">
        <v>65</v>
      </c>
      <c r="J3360" s="1">
        <v>3</v>
      </c>
      <c r="K3360" s="1" t="s">
        <v>142</v>
      </c>
      <c r="L3360" s="1" t="s">
        <v>153</v>
      </c>
      <c r="M3360" s="1" t="s">
        <v>1256</v>
      </c>
      <c r="N3360" s="1" t="str">
        <f>HYPERLINK("https://klocwork.india.ti.com:443/review/insight-review.html#issuedetails_goto:problemid=150775,project=MCU_PLUS_SDK_AM263X,searchquery=taxonomy:'C and C++' build:Build_Apr_13_2023_11_11_AM grouping:off ","KW Issue Link")</f>
        <v>KW Issue Link</v>
      </c>
      <c r="O3360" s="1" t="s">
        <v>1083</v>
      </c>
    </row>
    <row r="3361" spans="1:15" ht="60" x14ac:dyDescent="0.25">
      <c r="A3361" s="1" t="s">
        <v>1266</v>
      </c>
      <c r="B3361" s="1"/>
      <c r="C3361" s="1" t="s">
        <v>4565</v>
      </c>
      <c r="D3361" s="1">
        <v>150776</v>
      </c>
      <c r="E3361" s="1">
        <v>1783</v>
      </c>
      <c r="F3361" s="1" t="s">
        <v>4600</v>
      </c>
      <c r="G3361" s="1" t="s">
        <v>4583</v>
      </c>
      <c r="H3361" s="1" t="s">
        <v>141</v>
      </c>
      <c r="I3361" s="1" t="s">
        <v>65</v>
      </c>
      <c r="J3361" s="1">
        <v>3</v>
      </c>
      <c r="K3361" s="1" t="s">
        <v>142</v>
      </c>
      <c r="L3361" s="1" t="s">
        <v>153</v>
      </c>
      <c r="M3361" s="1" t="s">
        <v>1256</v>
      </c>
      <c r="N3361" s="1" t="str">
        <f>HYPERLINK("https://klocwork.india.ti.com:443/review/insight-review.html#issuedetails_goto:problemid=150776,project=MCU_PLUS_SDK_AM263X,searchquery=taxonomy:'C and C++' build:Build_Apr_13_2023_11_11_AM grouping:off ","KW Issue Link")</f>
        <v>KW Issue Link</v>
      </c>
      <c r="O3361" s="1" t="s">
        <v>1083</v>
      </c>
    </row>
    <row r="3362" spans="1:15" ht="60" x14ac:dyDescent="0.25">
      <c r="A3362" s="1" t="s">
        <v>1266</v>
      </c>
      <c r="B3362" s="1"/>
      <c r="C3362" s="1" t="s">
        <v>4565</v>
      </c>
      <c r="D3362" s="1">
        <v>150777</v>
      </c>
      <c r="E3362" s="1">
        <v>2004</v>
      </c>
      <c r="F3362" s="1" t="s">
        <v>4601</v>
      </c>
      <c r="G3362" s="1" t="s">
        <v>4585</v>
      </c>
      <c r="H3362" s="1" t="s">
        <v>141</v>
      </c>
      <c r="I3362" s="1" t="s">
        <v>65</v>
      </c>
      <c r="J3362" s="1">
        <v>3</v>
      </c>
      <c r="K3362" s="1" t="s">
        <v>142</v>
      </c>
      <c r="L3362" s="1" t="s">
        <v>153</v>
      </c>
      <c r="M3362" s="1" t="s">
        <v>1256</v>
      </c>
      <c r="N3362" s="1" t="str">
        <f>HYPERLINK("https://klocwork.india.ti.com:443/review/insight-review.html#issuedetails_goto:problemid=150777,project=MCU_PLUS_SDK_AM263X,searchquery=taxonomy:'C and C++' build:Build_Apr_13_2023_11_11_AM grouping:off ","KW Issue Link")</f>
        <v>KW Issue Link</v>
      </c>
      <c r="O3362" s="1" t="s">
        <v>1083</v>
      </c>
    </row>
    <row r="3363" spans="1:15" ht="60" x14ac:dyDescent="0.25">
      <c r="A3363" s="1" t="s">
        <v>1266</v>
      </c>
      <c r="B3363" s="1"/>
      <c r="C3363" s="1" t="s">
        <v>4565</v>
      </c>
      <c r="D3363" s="1">
        <v>150778</v>
      </c>
      <c r="E3363" s="1">
        <v>2190</v>
      </c>
      <c r="F3363" s="1" t="s">
        <v>4602</v>
      </c>
      <c r="G3363" s="1" t="s">
        <v>4589</v>
      </c>
      <c r="H3363" s="1" t="s">
        <v>141</v>
      </c>
      <c r="I3363" s="1" t="s">
        <v>65</v>
      </c>
      <c r="J3363" s="1">
        <v>3</v>
      </c>
      <c r="K3363" s="1" t="s">
        <v>142</v>
      </c>
      <c r="L3363" s="1" t="s">
        <v>153</v>
      </c>
      <c r="M3363" s="1" t="s">
        <v>1256</v>
      </c>
      <c r="N3363" s="1" t="str">
        <f>HYPERLINK("https://klocwork.india.ti.com:443/review/insight-review.html#issuedetails_goto:problemid=150778,project=MCU_PLUS_SDK_AM263X,searchquery=taxonomy:'C and C++' build:Build_Apr_13_2023_11_11_AM grouping:off ","KW Issue Link")</f>
        <v>KW Issue Link</v>
      </c>
      <c r="O3363" s="1" t="s">
        <v>1083</v>
      </c>
    </row>
    <row r="3364" spans="1:15" ht="60" x14ac:dyDescent="0.25">
      <c r="A3364" s="1" t="s">
        <v>1266</v>
      </c>
      <c r="B3364" s="1"/>
      <c r="C3364" s="1" t="s">
        <v>4565</v>
      </c>
      <c r="D3364" s="1">
        <v>150779</v>
      </c>
      <c r="E3364" s="1">
        <v>2370</v>
      </c>
      <c r="F3364" s="1" t="s">
        <v>4603</v>
      </c>
      <c r="G3364" s="1" t="s">
        <v>4604</v>
      </c>
      <c r="H3364" s="1" t="s">
        <v>141</v>
      </c>
      <c r="I3364" s="1" t="s">
        <v>65</v>
      </c>
      <c r="J3364" s="1">
        <v>3</v>
      </c>
      <c r="K3364" s="1" t="s">
        <v>142</v>
      </c>
      <c r="L3364" s="1" t="s">
        <v>153</v>
      </c>
      <c r="M3364" s="1" t="s">
        <v>1256</v>
      </c>
      <c r="N3364" s="1" t="str">
        <f>HYPERLINK("https://klocwork.india.ti.com:443/review/insight-review.html#issuedetails_goto:problemid=150779,project=MCU_PLUS_SDK_AM263X,searchquery=taxonomy:'C and C++' build:Build_Apr_13_2023_11_11_AM grouping:off ","KW Issue Link")</f>
        <v>KW Issue Link</v>
      </c>
      <c r="O3364" s="1" t="s">
        <v>1083</v>
      </c>
    </row>
    <row r="3365" spans="1:15" ht="60" x14ac:dyDescent="0.25">
      <c r="A3365" s="1" t="s">
        <v>1266</v>
      </c>
      <c r="B3365" s="1"/>
      <c r="C3365" s="1" t="s">
        <v>4565</v>
      </c>
      <c r="D3365" s="1">
        <v>150780</v>
      </c>
      <c r="E3365" s="1">
        <v>2620</v>
      </c>
      <c r="F3365" s="1" t="s">
        <v>4605</v>
      </c>
      <c r="G3365" s="1" t="s">
        <v>4591</v>
      </c>
      <c r="H3365" s="1" t="s">
        <v>141</v>
      </c>
      <c r="I3365" s="1" t="s">
        <v>65</v>
      </c>
      <c r="J3365" s="1">
        <v>3</v>
      </c>
      <c r="K3365" s="1" t="s">
        <v>142</v>
      </c>
      <c r="L3365" s="1" t="s">
        <v>153</v>
      </c>
      <c r="M3365" s="1" t="s">
        <v>1256</v>
      </c>
      <c r="N3365" s="1" t="str">
        <f>HYPERLINK("https://klocwork.india.ti.com:443/review/insight-review.html#issuedetails_goto:problemid=150780,project=MCU_PLUS_SDK_AM263X,searchquery=taxonomy:'C and C++' build:Build_Apr_13_2023_11_11_AM grouping:off ","KW Issue Link")</f>
        <v>KW Issue Link</v>
      </c>
      <c r="O3365" s="1" t="s">
        <v>1083</v>
      </c>
    </row>
    <row r="3366" spans="1:15" ht="60" x14ac:dyDescent="0.25">
      <c r="A3366" s="1" t="s">
        <v>1266</v>
      </c>
      <c r="B3366" s="1"/>
      <c r="C3366" s="1" t="s">
        <v>4565</v>
      </c>
      <c r="D3366" s="1">
        <v>150781</v>
      </c>
      <c r="E3366" s="1">
        <v>2916</v>
      </c>
      <c r="F3366" s="1" t="s">
        <v>4606</v>
      </c>
      <c r="G3366" s="1" t="s">
        <v>4607</v>
      </c>
      <c r="H3366" s="1" t="s">
        <v>141</v>
      </c>
      <c r="I3366" s="1" t="s">
        <v>65</v>
      </c>
      <c r="J3366" s="1">
        <v>3</v>
      </c>
      <c r="K3366" s="1" t="s">
        <v>142</v>
      </c>
      <c r="L3366" s="1" t="s">
        <v>153</v>
      </c>
      <c r="M3366" s="1" t="s">
        <v>1256</v>
      </c>
      <c r="N3366" s="1" t="str">
        <f>HYPERLINK("https://klocwork.india.ti.com:443/review/insight-review.html#issuedetails_goto:problemid=150781,project=MCU_PLUS_SDK_AM263X,searchquery=taxonomy:'C and C++' build:Build_Apr_13_2023_11_11_AM grouping:off ","KW Issue Link")</f>
        <v>KW Issue Link</v>
      </c>
      <c r="O3366" s="1" t="s">
        <v>1083</v>
      </c>
    </row>
    <row r="3367" spans="1:15" ht="60" x14ac:dyDescent="0.25">
      <c r="A3367" s="1" t="s">
        <v>1266</v>
      </c>
      <c r="B3367" s="1"/>
      <c r="C3367" s="1" t="s">
        <v>4565</v>
      </c>
      <c r="D3367" s="1">
        <v>150782</v>
      </c>
      <c r="E3367" s="1">
        <v>3205</v>
      </c>
      <c r="F3367" s="1" t="s">
        <v>4608</v>
      </c>
      <c r="G3367" s="1" t="s">
        <v>4609</v>
      </c>
      <c r="H3367" s="1" t="s">
        <v>141</v>
      </c>
      <c r="I3367" s="1" t="s">
        <v>65</v>
      </c>
      <c r="J3367" s="1">
        <v>3</v>
      </c>
      <c r="K3367" s="1" t="s">
        <v>142</v>
      </c>
      <c r="L3367" s="1" t="s">
        <v>153</v>
      </c>
      <c r="M3367" s="1" t="s">
        <v>1256</v>
      </c>
      <c r="N3367" s="1" t="str">
        <f>HYPERLINK("https://klocwork.india.ti.com:443/review/insight-review.html#issuedetails_goto:problemid=150782,project=MCU_PLUS_SDK_AM263X,searchquery=taxonomy:'C and C++' build:Build_Apr_13_2023_11_11_AM grouping:off ","KW Issue Link")</f>
        <v>KW Issue Link</v>
      </c>
      <c r="O3367" s="1" t="s">
        <v>1083</v>
      </c>
    </row>
    <row r="3368" spans="1:15" ht="60" x14ac:dyDescent="0.25">
      <c r="A3368" s="1" t="s">
        <v>1268</v>
      </c>
      <c r="B3368" s="1"/>
      <c r="C3368" s="1" t="s">
        <v>4565</v>
      </c>
      <c r="D3368" s="1">
        <v>150783</v>
      </c>
      <c r="E3368" s="1">
        <v>308</v>
      </c>
      <c r="F3368" s="1" t="s">
        <v>4610</v>
      </c>
      <c r="G3368" s="1" t="s">
        <v>4569</v>
      </c>
      <c r="H3368" s="1" t="s">
        <v>141</v>
      </c>
      <c r="I3368" s="1" t="s">
        <v>65</v>
      </c>
      <c r="J3368" s="1">
        <v>3</v>
      </c>
      <c r="K3368" s="1" t="s">
        <v>142</v>
      </c>
      <c r="L3368" s="1" t="s">
        <v>153</v>
      </c>
      <c r="M3368" s="1" t="s">
        <v>1256</v>
      </c>
      <c r="N3368" s="1" t="str">
        <f>HYPERLINK("https://klocwork.india.ti.com:443/review/insight-review.html#issuedetails_goto:problemid=150783,project=MCU_PLUS_SDK_AM263X,searchquery=taxonomy:'C and C++' build:Build_Apr_13_2023_11_11_AM grouping:off ","KW Issue Link")</f>
        <v>KW Issue Link</v>
      </c>
      <c r="O3368" s="1" t="s">
        <v>1083</v>
      </c>
    </row>
    <row r="3369" spans="1:15" ht="60" x14ac:dyDescent="0.25">
      <c r="A3369" s="1" t="s">
        <v>1268</v>
      </c>
      <c r="B3369" s="1"/>
      <c r="C3369" s="1" t="s">
        <v>4565</v>
      </c>
      <c r="D3369" s="1">
        <v>150784</v>
      </c>
      <c r="E3369" s="1">
        <v>1374</v>
      </c>
      <c r="F3369" s="1" t="s">
        <v>4611</v>
      </c>
      <c r="G3369" s="1" t="s">
        <v>4579</v>
      </c>
      <c r="H3369" s="1" t="s">
        <v>141</v>
      </c>
      <c r="I3369" s="1" t="s">
        <v>65</v>
      </c>
      <c r="J3369" s="1">
        <v>3</v>
      </c>
      <c r="K3369" s="1" t="s">
        <v>142</v>
      </c>
      <c r="L3369" s="1" t="s">
        <v>153</v>
      </c>
      <c r="M3369" s="1" t="s">
        <v>1256</v>
      </c>
      <c r="N3369" s="1" t="str">
        <f>HYPERLINK("https://klocwork.india.ti.com:443/review/insight-review.html#issuedetails_goto:problemid=150784,project=MCU_PLUS_SDK_AM263X,searchquery=taxonomy:'C and C++' build:Build_Apr_13_2023_11_11_AM grouping:off ","KW Issue Link")</f>
        <v>KW Issue Link</v>
      </c>
      <c r="O3369" s="1" t="s">
        <v>1083</v>
      </c>
    </row>
    <row r="3370" spans="1:15" ht="60" x14ac:dyDescent="0.25">
      <c r="A3370" s="1" t="s">
        <v>1268</v>
      </c>
      <c r="B3370" s="1"/>
      <c r="C3370" s="1" t="s">
        <v>4565</v>
      </c>
      <c r="D3370" s="1">
        <v>150785</v>
      </c>
      <c r="E3370" s="1">
        <v>1783</v>
      </c>
      <c r="F3370" s="1" t="s">
        <v>4612</v>
      </c>
      <c r="G3370" s="1" t="s">
        <v>4583</v>
      </c>
      <c r="H3370" s="1" t="s">
        <v>141</v>
      </c>
      <c r="I3370" s="1" t="s">
        <v>65</v>
      </c>
      <c r="J3370" s="1">
        <v>3</v>
      </c>
      <c r="K3370" s="1" t="s">
        <v>142</v>
      </c>
      <c r="L3370" s="1" t="s">
        <v>153</v>
      </c>
      <c r="M3370" s="1" t="s">
        <v>1256</v>
      </c>
      <c r="N3370" s="1" t="str">
        <f>HYPERLINK("https://klocwork.india.ti.com:443/review/insight-review.html#issuedetails_goto:problemid=150785,project=MCU_PLUS_SDK_AM263X,searchquery=taxonomy:'C and C++' build:Build_Apr_13_2023_11_11_AM grouping:off ","KW Issue Link")</f>
        <v>KW Issue Link</v>
      </c>
      <c r="O3370" s="1" t="s">
        <v>1083</v>
      </c>
    </row>
    <row r="3371" spans="1:15" ht="60" x14ac:dyDescent="0.25">
      <c r="A3371" s="1" t="s">
        <v>1268</v>
      </c>
      <c r="B3371" s="1"/>
      <c r="C3371" s="1" t="s">
        <v>4565</v>
      </c>
      <c r="D3371" s="1">
        <v>150786</v>
      </c>
      <c r="E3371" s="1">
        <v>2004</v>
      </c>
      <c r="F3371" s="1" t="s">
        <v>4613</v>
      </c>
      <c r="G3371" s="1" t="s">
        <v>4585</v>
      </c>
      <c r="H3371" s="1" t="s">
        <v>141</v>
      </c>
      <c r="I3371" s="1" t="s">
        <v>65</v>
      </c>
      <c r="J3371" s="1">
        <v>3</v>
      </c>
      <c r="K3371" s="1" t="s">
        <v>142</v>
      </c>
      <c r="L3371" s="1" t="s">
        <v>153</v>
      </c>
      <c r="M3371" s="1" t="s">
        <v>1256</v>
      </c>
      <c r="N3371" s="1" t="str">
        <f>HYPERLINK("https://klocwork.india.ti.com:443/review/insight-review.html#issuedetails_goto:problemid=150786,project=MCU_PLUS_SDK_AM263X,searchquery=taxonomy:'C and C++' build:Build_Apr_13_2023_11_11_AM grouping:off ","KW Issue Link")</f>
        <v>KW Issue Link</v>
      </c>
      <c r="O3371" s="1" t="s">
        <v>1083</v>
      </c>
    </row>
    <row r="3372" spans="1:15" ht="60" x14ac:dyDescent="0.25">
      <c r="A3372" s="1" t="s">
        <v>1268</v>
      </c>
      <c r="B3372" s="1"/>
      <c r="C3372" s="1" t="s">
        <v>4565</v>
      </c>
      <c r="D3372" s="1">
        <v>150787</v>
      </c>
      <c r="E3372" s="1">
        <v>2190</v>
      </c>
      <c r="F3372" s="1" t="s">
        <v>4614</v>
      </c>
      <c r="G3372" s="1" t="s">
        <v>4589</v>
      </c>
      <c r="H3372" s="1" t="s">
        <v>141</v>
      </c>
      <c r="I3372" s="1" t="s">
        <v>65</v>
      </c>
      <c r="J3372" s="1">
        <v>3</v>
      </c>
      <c r="K3372" s="1" t="s">
        <v>142</v>
      </c>
      <c r="L3372" s="1" t="s">
        <v>153</v>
      </c>
      <c r="M3372" s="1" t="s">
        <v>1256</v>
      </c>
      <c r="N3372" s="1" t="str">
        <f>HYPERLINK("https://klocwork.india.ti.com:443/review/insight-review.html#issuedetails_goto:problemid=150787,project=MCU_PLUS_SDK_AM263X,searchquery=taxonomy:'C and C++' build:Build_Apr_13_2023_11_11_AM grouping:off ","KW Issue Link")</f>
        <v>KW Issue Link</v>
      </c>
      <c r="O3372" s="1" t="s">
        <v>1083</v>
      </c>
    </row>
    <row r="3373" spans="1:15" ht="60" x14ac:dyDescent="0.25">
      <c r="A3373" s="1" t="s">
        <v>1268</v>
      </c>
      <c r="B3373" s="1"/>
      <c r="C3373" s="1" t="s">
        <v>4565</v>
      </c>
      <c r="D3373" s="1">
        <v>150788</v>
      </c>
      <c r="E3373" s="1">
        <v>2620</v>
      </c>
      <c r="F3373" s="1" t="s">
        <v>4615</v>
      </c>
      <c r="G3373" s="1" t="s">
        <v>4591</v>
      </c>
      <c r="H3373" s="1" t="s">
        <v>141</v>
      </c>
      <c r="I3373" s="1" t="s">
        <v>65</v>
      </c>
      <c r="J3373" s="1">
        <v>3</v>
      </c>
      <c r="K3373" s="1" t="s">
        <v>142</v>
      </c>
      <c r="L3373" s="1" t="s">
        <v>153</v>
      </c>
      <c r="M3373" s="1" t="s">
        <v>1256</v>
      </c>
      <c r="N3373" s="1" t="str">
        <f>HYPERLINK("https://klocwork.india.ti.com:443/review/insight-review.html#issuedetails_goto:problemid=150788,project=MCU_PLUS_SDK_AM263X,searchquery=taxonomy:'C and C++' build:Build_Apr_13_2023_11_11_AM grouping:off ","KW Issue Link")</f>
        <v>KW Issue Link</v>
      </c>
      <c r="O3373" s="1" t="s">
        <v>1083</v>
      </c>
    </row>
    <row r="3374" spans="1:15" ht="60" x14ac:dyDescent="0.25">
      <c r="A3374" s="1" t="s">
        <v>1268</v>
      </c>
      <c r="B3374" s="1"/>
      <c r="C3374" s="1" t="s">
        <v>4565</v>
      </c>
      <c r="D3374" s="1">
        <v>150789</v>
      </c>
      <c r="E3374" s="1">
        <v>2916</v>
      </c>
      <c r="F3374" s="1" t="s">
        <v>4616</v>
      </c>
      <c r="G3374" s="1" t="s">
        <v>4607</v>
      </c>
      <c r="H3374" s="1" t="s">
        <v>141</v>
      </c>
      <c r="I3374" s="1" t="s">
        <v>65</v>
      </c>
      <c r="J3374" s="1">
        <v>3</v>
      </c>
      <c r="K3374" s="1" t="s">
        <v>142</v>
      </c>
      <c r="L3374" s="1" t="s">
        <v>153</v>
      </c>
      <c r="M3374" s="1" t="s">
        <v>1256</v>
      </c>
      <c r="N3374" s="1" t="str">
        <f>HYPERLINK("https://klocwork.india.ti.com:443/review/insight-review.html#issuedetails_goto:problemid=150789,project=MCU_PLUS_SDK_AM263X,searchquery=taxonomy:'C and C++' build:Build_Apr_13_2023_11_11_AM grouping:off ","KW Issue Link")</f>
        <v>KW Issue Link</v>
      </c>
      <c r="O3374" s="1" t="s">
        <v>1083</v>
      </c>
    </row>
    <row r="3375" spans="1:15" ht="60" x14ac:dyDescent="0.25">
      <c r="A3375" s="1" t="s">
        <v>1268</v>
      </c>
      <c r="B3375" s="1"/>
      <c r="C3375" s="1" t="s">
        <v>4565</v>
      </c>
      <c r="D3375" s="1">
        <v>150790</v>
      </c>
      <c r="E3375" s="1">
        <v>3205</v>
      </c>
      <c r="F3375" s="1" t="s">
        <v>4617</v>
      </c>
      <c r="G3375" s="1" t="s">
        <v>4609</v>
      </c>
      <c r="H3375" s="1" t="s">
        <v>141</v>
      </c>
      <c r="I3375" s="1" t="s">
        <v>65</v>
      </c>
      <c r="J3375" s="1">
        <v>3</v>
      </c>
      <c r="K3375" s="1" t="s">
        <v>142</v>
      </c>
      <c r="L3375" s="1" t="s">
        <v>153</v>
      </c>
      <c r="M3375" s="1" t="s">
        <v>1256</v>
      </c>
      <c r="N3375" s="1" t="str">
        <f>HYPERLINK("https://klocwork.india.ti.com:443/review/insight-review.html#issuedetails_goto:problemid=150790,project=MCU_PLUS_SDK_AM263X,searchquery=taxonomy:'C and C++' build:Build_Apr_13_2023_11_11_AM grouping:off ","KW Issue Link")</f>
        <v>KW Issue Link</v>
      </c>
      <c r="O3375" s="1" t="s">
        <v>1083</v>
      </c>
    </row>
    <row r="3376" spans="1:15" ht="60" x14ac:dyDescent="0.25">
      <c r="A3376" s="1" t="s">
        <v>199</v>
      </c>
      <c r="B3376" s="1"/>
      <c r="C3376" s="1" t="s">
        <v>4565</v>
      </c>
      <c r="D3376" s="1">
        <v>150884</v>
      </c>
      <c r="E3376" s="1">
        <v>2493</v>
      </c>
      <c r="F3376" s="1" t="s">
        <v>4618</v>
      </c>
      <c r="G3376" s="1" t="s">
        <v>4604</v>
      </c>
      <c r="H3376" s="1" t="s">
        <v>141</v>
      </c>
      <c r="I3376" s="1" t="s">
        <v>63</v>
      </c>
      <c r="J3376" s="1">
        <v>1</v>
      </c>
      <c r="K3376" s="1" t="s">
        <v>142</v>
      </c>
      <c r="L3376" s="1" t="s">
        <v>153</v>
      </c>
      <c r="M3376" s="1" t="s">
        <v>28</v>
      </c>
      <c r="N3376" s="1" t="str">
        <f>HYPERLINK("https://klocwork.india.ti.com:443/review/insight-review.html#issuedetails_goto:problemid=150884,project=MCU_PLUS_SDK_AM263X,searchquery=taxonomy:'C and C++' build:Build_Apr_13_2023_11_11_AM grouping:off ","KW Issue Link")</f>
        <v>KW Issue Link</v>
      </c>
      <c r="O3376" s="1" t="s">
        <v>1083</v>
      </c>
    </row>
    <row r="3377" spans="1:15" ht="60" x14ac:dyDescent="0.25">
      <c r="A3377" s="1" t="s">
        <v>199</v>
      </c>
      <c r="B3377" s="1"/>
      <c r="C3377" s="1" t="s">
        <v>4565</v>
      </c>
      <c r="D3377" s="1">
        <v>150885</v>
      </c>
      <c r="E3377" s="1">
        <v>2497</v>
      </c>
      <c r="F3377" s="1" t="s">
        <v>4619</v>
      </c>
      <c r="G3377" s="1" t="s">
        <v>4604</v>
      </c>
      <c r="H3377" s="1" t="s">
        <v>141</v>
      </c>
      <c r="I3377" s="1" t="s">
        <v>63</v>
      </c>
      <c r="J3377" s="1">
        <v>1</v>
      </c>
      <c r="K3377" s="1" t="s">
        <v>142</v>
      </c>
      <c r="L3377" s="1" t="s">
        <v>153</v>
      </c>
      <c r="M3377" s="1" t="s">
        <v>28</v>
      </c>
      <c r="N3377" s="1" t="str">
        <f>HYPERLINK("https://klocwork.india.ti.com:443/review/insight-review.html#issuedetails_goto:problemid=150885,project=MCU_PLUS_SDK_AM263X,searchquery=taxonomy:'C and C++' build:Build_Apr_13_2023_11_11_AM grouping:off ","KW Issue Link")</f>
        <v>KW Issue Link</v>
      </c>
      <c r="O3377" s="1" t="s">
        <v>1083</v>
      </c>
    </row>
    <row r="3378" spans="1:15" ht="60" x14ac:dyDescent="0.25">
      <c r="A3378" s="1" t="s">
        <v>199</v>
      </c>
      <c r="B3378" s="1"/>
      <c r="C3378" s="1" t="s">
        <v>4565</v>
      </c>
      <c r="D3378" s="1">
        <v>150886</v>
      </c>
      <c r="E3378" s="1">
        <v>2753</v>
      </c>
      <c r="F3378" s="1" t="s">
        <v>4620</v>
      </c>
      <c r="G3378" s="1" t="s">
        <v>4591</v>
      </c>
      <c r="H3378" s="1" t="s">
        <v>141</v>
      </c>
      <c r="I3378" s="1" t="s">
        <v>63</v>
      </c>
      <c r="J3378" s="1">
        <v>1</v>
      </c>
      <c r="K3378" s="1" t="s">
        <v>142</v>
      </c>
      <c r="L3378" s="1" t="s">
        <v>153</v>
      </c>
      <c r="M3378" s="1" t="s">
        <v>28</v>
      </c>
      <c r="N3378" s="1" t="str">
        <f>HYPERLINK("https://klocwork.india.ti.com:443/review/insight-review.html#issuedetails_goto:problemid=150886,project=MCU_PLUS_SDK_AM263X,searchquery=taxonomy:'C and C++' build:Build_Apr_13_2023_11_11_AM grouping:off ","KW Issue Link")</f>
        <v>KW Issue Link</v>
      </c>
      <c r="O3378" s="1" t="s">
        <v>1083</v>
      </c>
    </row>
    <row r="3379" spans="1:15" ht="60" x14ac:dyDescent="0.25">
      <c r="A3379" s="1" t="s">
        <v>1252</v>
      </c>
      <c r="B3379" s="1"/>
      <c r="C3379" s="1" t="s">
        <v>4621</v>
      </c>
      <c r="D3379" s="1">
        <v>151160</v>
      </c>
      <c r="E3379" s="1">
        <v>277</v>
      </c>
      <c r="F3379" s="1" t="s">
        <v>4622</v>
      </c>
      <c r="G3379" s="1" t="s">
        <v>4623</v>
      </c>
      <c r="H3379" s="1" t="s">
        <v>141</v>
      </c>
      <c r="I3379" s="1" t="s">
        <v>65</v>
      </c>
      <c r="J3379" s="1">
        <v>3</v>
      </c>
      <c r="K3379" s="1" t="s">
        <v>142</v>
      </c>
      <c r="L3379" s="1" t="s">
        <v>153</v>
      </c>
      <c r="M3379" s="1" t="s">
        <v>1256</v>
      </c>
      <c r="N3379" s="1" t="str">
        <f>HYPERLINK("https://klocwork.india.ti.com:443/review/insight-review.html#issuedetails_goto:problemid=151160,project=MCU_PLUS_SDK_AM263X,searchquery=taxonomy:'C and C++' build:Build_Apr_13_2023_11_11_AM grouping:off ","KW Issue Link")</f>
        <v>KW Issue Link</v>
      </c>
      <c r="O3379" s="1" t="s">
        <v>1083</v>
      </c>
    </row>
    <row r="3380" spans="1:15" ht="60" x14ac:dyDescent="0.25">
      <c r="A3380" s="1" t="s">
        <v>1266</v>
      </c>
      <c r="B3380" s="1"/>
      <c r="C3380" s="1" t="s">
        <v>4621</v>
      </c>
      <c r="D3380" s="1">
        <v>151161</v>
      </c>
      <c r="E3380" s="1">
        <v>424</v>
      </c>
      <c r="F3380" s="1" t="s">
        <v>4624</v>
      </c>
      <c r="G3380" s="1" t="s">
        <v>4625</v>
      </c>
      <c r="H3380" s="1" t="s">
        <v>141</v>
      </c>
      <c r="I3380" s="1" t="s">
        <v>65</v>
      </c>
      <c r="J3380" s="1">
        <v>3</v>
      </c>
      <c r="K3380" s="1" t="s">
        <v>142</v>
      </c>
      <c r="L3380" s="1" t="s">
        <v>153</v>
      </c>
      <c r="M3380" s="1" t="s">
        <v>1256</v>
      </c>
      <c r="N3380" s="1" t="str">
        <f>HYPERLINK("https://klocwork.india.ti.com:443/review/insight-review.html#issuedetails_goto:problemid=151161,project=MCU_PLUS_SDK_AM263X,searchquery=taxonomy:'C and C++' build:Build_Apr_13_2023_11_11_AM grouping:off ","KW Issue Link")</f>
        <v>KW Issue Link</v>
      </c>
      <c r="O3380" s="1" t="s">
        <v>1083</v>
      </c>
    </row>
    <row r="3381" spans="1:15" ht="60" x14ac:dyDescent="0.25">
      <c r="A3381" s="1" t="s">
        <v>1266</v>
      </c>
      <c r="B3381" s="1"/>
      <c r="C3381" s="1" t="s">
        <v>4621</v>
      </c>
      <c r="D3381" s="1">
        <v>151162</v>
      </c>
      <c r="E3381" s="1">
        <v>874</v>
      </c>
      <c r="F3381" s="1" t="s">
        <v>4626</v>
      </c>
      <c r="G3381" s="1" t="s">
        <v>4627</v>
      </c>
      <c r="H3381" s="1" t="s">
        <v>141</v>
      </c>
      <c r="I3381" s="1" t="s">
        <v>65</v>
      </c>
      <c r="J3381" s="1">
        <v>3</v>
      </c>
      <c r="K3381" s="1" t="s">
        <v>142</v>
      </c>
      <c r="L3381" s="1" t="s">
        <v>153</v>
      </c>
      <c r="M3381" s="1" t="s">
        <v>1256</v>
      </c>
      <c r="N3381" s="1" t="str">
        <f>HYPERLINK("https://klocwork.india.ti.com:443/review/insight-review.html#issuedetails_goto:problemid=151162,project=MCU_PLUS_SDK_AM263X,searchquery=taxonomy:'C and C++' build:Build_Apr_13_2023_11_11_AM grouping:off ","KW Issue Link")</f>
        <v>KW Issue Link</v>
      </c>
      <c r="O3381" s="1" t="s">
        <v>1083</v>
      </c>
    </row>
    <row r="3382" spans="1:15" ht="60" x14ac:dyDescent="0.25">
      <c r="A3382" s="1" t="s">
        <v>1266</v>
      </c>
      <c r="B3382" s="1"/>
      <c r="C3382" s="1" t="s">
        <v>4621</v>
      </c>
      <c r="D3382" s="1">
        <v>151163</v>
      </c>
      <c r="E3382" s="1">
        <v>1073</v>
      </c>
      <c r="F3382" s="1" t="s">
        <v>4628</v>
      </c>
      <c r="G3382" s="1" t="s">
        <v>4629</v>
      </c>
      <c r="H3382" s="1" t="s">
        <v>141</v>
      </c>
      <c r="I3382" s="1" t="s">
        <v>65</v>
      </c>
      <c r="J3382" s="1">
        <v>3</v>
      </c>
      <c r="K3382" s="1" t="s">
        <v>142</v>
      </c>
      <c r="L3382" s="1" t="s">
        <v>153</v>
      </c>
      <c r="M3382" s="1" t="s">
        <v>1256</v>
      </c>
      <c r="N3382" s="1" t="str">
        <f>HYPERLINK("https://klocwork.india.ti.com:443/review/insight-review.html#issuedetails_goto:problemid=151163,project=MCU_PLUS_SDK_AM263X,searchquery=taxonomy:'C and C++' build:Build_Apr_13_2023_11_11_AM grouping:off ","KW Issue Link")</f>
        <v>KW Issue Link</v>
      </c>
      <c r="O3382" s="1" t="s">
        <v>1083</v>
      </c>
    </row>
    <row r="3383" spans="1:15" ht="60" x14ac:dyDescent="0.25">
      <c r="A3383" s="1" t="s">
        <v>1266</v>
      </c>
      <c r="B3383" s="1"/>
      <c r="C3383" s="1" t="s">
        <v>4621</v>
      </c>
      <c r="D3383" s="1">
        <v>151164</v>
      </c>
      <c r="E3383" s="1">
        <v>1332</v>
      </c>
      <c r="F3383" s="1" t="s">
        <v>4630</v>
      </c>
      <c r="G3383" s="1" t="s">
        <v>4631</v>
      </c>
      <c r="H3383" s="1" t="s">
        <v>141</v>
      </c>
      <c r="I3383" s="1" t="s">
        <v>65</v>
      </c>
      <c r="J3383" s="1">
        <v>3</v>
      </c>
      <c r="K3383" s="1" t="s">
        <v>142</v>
      </c>
      <c r="L3383" s="1" t="s">
        <v>153</v>
      </c>
      <c r="M3383" s="1" t="s">
        <v>1256</v>
      </c>
      <c r="N3383" s="1" t="str">
        <f>HYPERLINK("https://klocwork.india.ti.com:443/review/insight-review.html#issuedetails_goto:problemid=151164,project=MCU_PLUS_SDK_AM263X,searchquery=taxonomy:'C and C++' build:Build_Apr_13_2023_11_11_AM grouping:off ","KW Issue Link")</f>
        <v>KW Issue Link</v>
      </c>
      <c r="O3383" s="1" t="s">
        <v>1083</v>
      </c>
    </row>
    <row r="3384" spans="1:15" ht="60" x14ac:dyDescent="0.25">
      <c r="A3384" s="1" t="s">
        <v>1266</v>
      </c>
      <c r="B3384" s="1"/>
      <c r="C3384" s="1" t="s">
        <v>4621</v>
      </c>
      <c r="D3384" s="1">
        <v>151165</v>
      </c>
      <c r="E3384" s="1">
        <v>1460</v>
      </c>
      <c r="F3384" s="1" t="s">
        <v>4632</v>
      </c>
      <c r="G3384" s="1" t="s">
        <v>4633</v>
      </c>
      <c r="H3384" s="1" t="s">
        <v>141</v>
      </c>
      <c r="I3384" s="1" t="s">
        <v>65</v>
      </c>
      <c r="J3384" s="1">
        <v>3</v>
      </c>
      <c r="K3384" s="1" t="s">
        <v>142</v>
      </c>
      <c r="L3384" s="1" t="s">
        <v>153</v>
      </c>
      <c r="M3384" s="1" t="s">
        <v>1256</v>
      </c>
      <c r="N3384" s="1" t="str">
        <f>HYPERLINK("https://klocwork.india.ti.com:443/review/insight-review.html#issuedetails_goto:problemid=151165,project=MCU_PLUS_SDK_AM263X,searchquery=taxonomy:'C and C++' build:Build_Apr_13_2023_11_11_AM grouping:off ","KW Issue Link")</f>
        <v>KW Issue Link</v>
      </c>
      <c r="O3384" s="1" t="s">
        <v>1083</v>
      </c>
    </row>
    <row r="3385" spans="1:15" ht="60" x14ac:dyDescent="0.25">
      <c r="A3385" s="1" t="s">
        <v>1268</v>
      </c>
      <c r="B3385" s="1"/>
      <c r="C3385" s="1" t="s">
        <v>4621</v>
      </c>
      <c r="D3385" s="1">
        <v>151166</v>
      </c>
      <c r="E3385" s="1">
        <v>424</v>
      </c>
      <c r="F3385" s="1" t="s">
        <v>4634</v>
      </c>
      <c r="G3385" s="1" t="s">
        <v>4625</v>
      </c>
      <c r="H3385" s="1" t="s">
        <v>141</v>
      </c>
      <c r="I3385" s="1" t="s">
        <v>65</v>
      </c>
      <c r="J3385" s="1">
        <v>3</v>
      </c>
      <c r="K3385" s="1" t="s">
        <v>142</v>
      </c>
      <c r="L3385" s="1" t="s">
        <v>153</v>
      </c>
      <c r="M3385" s="1" t="s">
        <v>1256</v>
      </c>
      <c r="N3385" s="1" t="str">
        <f>HYPERLINK("https://klocwork.india.ti.com:443/review/insight-review.html#issuedetails_goto:problemid=151166,project=MCU_PLUS_SDK_AM263X,searchquery=taxonomy:'C and C++' build:Build_Apr_13_2023_11_11_AM grouping:off ","KW Issue Link")</f>
        <v>KW Issue Link</v>
      </c>
      <c r="O3385" s="1" t="s">
        <v>1083</v>
      </c>
    </row>
    <row r="3386" spans="1:15" ht="60" x14ac:dyDescent="0.25">
      <c r="A3386" s="1" t="s">
        <v>1268</v>
      </c>
      <c r="B3386" s="1"/>
      <c r="C3386" s="1" t="s">
        <v>4621</v>
      </c>
      <c r="D3386" s="1">
        <v>151167</v>
      </c>
      <c r="E3386" s="1">
        <v>1073</v>
      </c>
      <c r="F3386" s="1" t="s">
        <v>4635</v>
      </c>
      <c r="G3386" s="1" t="s">
        <v>4629</v>
      </c>
      <c r="H3386" s="1" t="s">
        <v>141</v>
      </c>
      <c r="I3386" s="1" t="s">
        <v>65</v>
      </c>
      <c r="J3386" s="1">
        <v>3</v>
      </c>
      <c r="K3386" s="1" t="s">
        <v>142</v>
      </c>
      <c r="L3386" s="1" t="s">
        <v>153</v>
      </c>
      <c r="M3386" s="1" t="s">
        <v>1256</v>
      </c>
      <c r="N3386" s="1" t="str">
        <f>HYPERLINK("https://klocwork.india.ti.com:443/review/insight-review.html#issuedetails_goto:problemid=151167,project=MCU_PLUS_SDK_AM263X,searchquery=taxonomy:'C and C++' build:Build_Apr_13_2023_11_11_AM grouping:off ","KW Issue Link")</f>
        <v>KW Issue Link</v>
      </c>
      <c r="O3386" s="1" t="s">
        <v>1083</v>
      </c>
    </row>
    <row r="3387" spans="1:15" ht="60" x14ac:dyDescent="0.25">
      <c r="A3387" s="1" t="s">
        <v>1268</v>
      </c>
      <c r="B3387" s="1"/>
      <c r="C3387" s="1" t="s">
        <v>4621</v>
      </c>
      <c r="D3387" s="1">
        <v>151168</v>
      </c>
      <c r="E3387" s="1">
        <v>1332</v>
      </c>
      <c r="F3387" s="1" t="s">
        <v>4636</v>
      </c>
      <c r="G3387" s="1" t="s">
        <v>4631</v>
      </c>
      <c r="H3387" s="1" t="s">
        <v>141</v>
      </c>
      <c r="I3387" s="1" t="s">
        <v>65</v>
      </c>
      <c r="J3387" s="1">
        <v>3</v>
      </c>
      <c r="K3387" s="1" t="s">
        <v>142</v>
      </c>
      <c r="L3387" s="1" t="s">
        <v>153</v>
      </c>
      <c r="M3387" s="1" t="s">
        <v>1256</v>
      </c>
      <c r="N3387" s="1" t="str">
        <f>HYPERLINK("https://klocwork.india.ti.com:443/review/insight-review.html#issuedetails_goto:problemid=151168,project=MCU_PLUS_SDK_AM263X,searchquery=taxonomy:'C and C++' build:Build_Apr_13_2023_11_11_AM grouping:off ","KW Issue Link")</f>
        <v>KW Issue Link</v>
      </c>
      <c r="O3387" s="1" t="s">
        <v>1083</v>
      </c>
    </row>
    <row r="3388" spans="1:15" ht="60" x14ac:dyDescent="0.25">
      <c r="A3388" s="1" t="s">
        <v>1268</v>
      </c>
      <c r="B3388" s="1"/>
      <c r="C3388" s="1" t="s">
        <v>4621</v>
      </c>
      <c r="D3388" s="1">
        <v>151169</v>
      </c>
      <c r="E3388" s="1">
        <v>1460</v>
      </c>
      <c r="F3388" s="1" t="s">
        <v>4637</v>
      </c>
      <c r="G3388" s="1" t="s">
        <v>4633</v>
      </c>
      <c r="H3388" s="1" t="s">
        <v>141</v>
      </c>
      <c r="I3388" s="1" t="s">
        <v>65</v>
      </c>
      <c r="J3388" s="1">
        <v>3</v>
      </c>
      <c r="K3388" s="1" t="s">
        <v>142</v>
      </c>
      <c r="L3388" s="1" t="s">
        <v>153</v>
      </c>
      <c r="M3388" s="1" t="s">
        <v>1256</v>
      </c>
      <c r="N3388" s="1" t="str">
        <f>HYPERLINK("https://klocwork.india.ti.com:443/review/insight-review.html#issuedetails_goto:problemid=151169,project=MCU_PLUS_SDK_AM263X,searchquery=taxonomy:'C and C++' build:Build_Apr_13_2023_11_11_AM grouping:off ","KW Issue Link")</f>
        <v>KW Issue Link</v>
      </c>
      <c r="O3388" s="1" t="s">
        <v>1083</v>
      </c>
    </row>
    <row r="3389" spans="1:15" ht="60" x14ac:dyDescent="0.25">
      <c r="A3389" s="1" t="s">
        <v>136</v>
      </c>
      <c r="B3389" s="1"/>
      <c r="C3389" s="1" t="s">
        <v>4621</v>
      </c>
      <c r="D3389" s="1">
        <v>151210</v>
      </c>
      <c r="E3389" s="1">
        <v>468</v>
      </c>
      <c r="F3389" s="1" t="s">
        <v>4638</v>
      </c>
      <c r="G3389" s="1" t="s">
        <v>4625</v>
      </c>
      <c r="H3389" s="1" t="s">
        <v>141</v>
      </c>
      <c r="I3389" s="1" t="s">
        <v>66</v>
      </c>
      <c r="J3389" s="1">
        <v>4</v>
      </c>
      <c r="K3389" s="1" t="s">
        <v>142</v>
      </c>
      <c r="L3389" s="1" t="s">
        <v>153</v>
      </c>
      <c r="M3389" s="1" t="s">
        <v>28</v>
      </c>
      <c r="N3389" s="1" t="str">
        <f>HYPERLINK("https://klocwork.india.ti.com:443/review/insight-review.html#issuedetails_goto:problemid=151210,project=MCU_PLUS_SDK_AM263X,searchquery=taxonomy:'C and C++' build:Build_Apr_13_2023_11_11_AM grouping:off ","KW Issue Link")</f>
        <v>KW Issue Link</v>
      </c>
      <c r="O3389" s="1" t="s">
        <v>1083</v>
      </c>
    </row>
    <row r="3390" spans="1:15" ht="60" x14ac:dyDescent="0.25">
      <c r="A3390" s="1" t="s">
        <v>136</v>
      </c>
      <c r="B3390" s="1"/>
      <c r="C3390" s="1" t="s">
        <v>4621</v>
      </c>
      <c r="D3390" s="1">
        <v>151211</v>
      </c>
      <c r="E3390" s="1">
        <v>504</v>
      </c>
      <c r="F3390" s="1" t="s">
        <v>4639</v>
      </c>
      <c r="G3390" s="1" t="s">
        <v>4625</v>
      </c>
      <c r="H3390" s="1" t="s">
        <v>141</v>
      </c>
      <c r="I3390" s="1" t="s">
        <v>66</v>
      </c>
      <c r="J3390" s="1">
        <v>4</v>
      </c>
      <c r="K3390" s="1" t="s">
        <v>142</v>
      </c>
      <c r="L3390" s="1" t="s">
        <v>153</v>
      </c>
      <c r="M3390" s="1" t="s">
        <v>28</v>
      </c>
      <c r="N3390" s="1" t="str">
        <f>HYPERLINK("https://klocwork.india.ti.com:443/review/insight-review.html#issuedetails_goto:problemid=151211,project=MCU_PLUS_SDK_AM263X,searchquery=taxonomy:'C and C++' build:Build_Apr_13_2023_11_11_AM grouping:off ","KW Issue Link")</f>
        <v>KW Issue Link</v>
      </c>
      <c r="O3390" s="1" t="s">
        <v>1083</v>
      </c>
    </row>
    <row r="3391" spans="1:15" ht="60" x14ac:dyDescent="0.25">
      <c r="A3391" s="1" t="s">
        <v>136</v>
      </c>
      <c r="B3391" s="1"/>
      <c r="C3391" s="1" t="s">
        <v>4621</v>
      </c>
      <c r="D3391" s="1">
        <v>151212</v>
      </c>
      <c r="E3391" s="1">
        <v>1126</v>
      </c>
      <c r="F3391" s="1" t="s">
        <v>4639</v>
      </c>
      <c r="G3391" s="1" t="s">
        <v>4629</v>
      </c>
      <c r="H3391" s="1" t="s">
        <v>141</v>
      </c>
      <c r="I3391" s="1" t="s">
        <v>66</v>
      </c>
      <c r="J3391" s="1">
        <v>4</v>
      </c>
      <c r="K3391" s="1" t="s">
        <v>142</v>
      </c>
      <c r="L3391" s="1" t="s">
        <v>153</v>
      </c>
      <c r="M3391" s="1" t="s">
        <v>28</v>
      </c>
      <c r="N3391" s="1" t="str">
        <f>HYPERLINK("https://klocwork.india.ti.com:443/review/insight-review.html#issuedetails_goto:problemid=151212,project=MCU_PLUS_SDK_AM263X,searchquery=taxonomy:'C and C++' build:Build_Apr_13_2023_11_11_AM grouping:off ","KW Issue Link")</f>
        <v>KW Issue Link</v>
      </c>
      <c r="O3391" s="1" t="s">
        <v>1083</v>
      </c>
    </row>
    <row r="3392" spans="1:15" ht="60" x14ac:dyDescent="0.25">
      <c r="A3392" s="1" t="s">
        <v>136</v>
      </c>
      <c r="B3392" s="1"/>
      <c r="C3392" s="1" t="s">
        <v>4621</v>
      </c>
      <c r="D3392" s="1">
        <v>151213</v>
      </c>
      <c r="E3392" s="1">
        <v>1159</v>
      </c>
      <c r="F3392" s="1" t="s">
        <v>4640</v>
      </c>
      <c r="G3392" s="1" t="s">
        <v>4629</v>
      </c>
      <c r="H3392" s="1" t="s">
        <v>141</v>
      </c>
      <c r="I3392" s="1" t="s">
        <v>66</v>
      </c>
      <c r="J3392" s="1">
        <v>4</v>
      </c>
      <c r="K3392" s="1" t="s">
        <v>142</v>
      </c>
      <c r="L3392" s="1" t="s">
        <v>153</v>
      </c>
      <c r="M3392" s="1" t="s">
        <v>28</v>
      </c>
      <c r="N3392" s="1" t="str">
        <f>HYPERLINK("https://klocwork.india.ti.com:443/review/insight-review.html#issuedetails_goto:problemid=151213,project=MCU_PLUS_SDK_AM263X,searchquery=taxonomy:'C and C++' build:Build_Apr_13_2023_11_11_AM grouping:off ","KW Issue Link")</f>
        <v>KW Issue Link</v>
      </c>
      <c r="O3392" s="1" t="s">
        <v>1083</v>
      </c>
    </row>
    <row r="3393" spans="1:15" ht="60" x14ac:dyDescent="0.25">
      <c r="A3393" s="1" t="s">
        <v>136</v>
      </c>
      <c r="B3393" s="1"/>
      <c r="C3393" s="1" t="s">
        <v>4621</v>
      </c>
      <c r="D3393" s="1">
        <v>151214</v>
      </c>
      <c r="E3393" s="1">
        <v>1187</v>
      </c>
      <c r="F3393" s="1" t="s">
        <v>4639</v>
      </c>
      <c r="G3393" s="1" t="s">
        <v>4629</v>
      </c>
      <c r="H3393" s="1" t="s">
        <v>141</v>
      </c>
      <c r="I3393" s="1" t="s">
        <v>66</v>
      </c>
      <c r="J3393" s="1">
        <v>4</v>
      </c>
      <c r="K3393" s="1" t="s">
        <v>142</v>
      </c>
      <c r="L3393" s="1" t="s">
        <v>153</v>
      </c>
      <c r="M3393" s="1" t="s">
        <v>28</v>
      </c>
      <c r="N3393" s="1" t="str">
        <f>HYPERLINK("https://klocwork.india.ti.com:443/review/insight-review.html#issuedetails_goto:problemid=151214,project=MCU_PLUS_SDK_AM263X,searchquery=taxonomy:'C and C++' build:Build_Apr_13_2023_11_11_AM grouping:off ","KW Issue Link")</f>
        <v>KW Issue Link</v>
      </c>
      <c r="O3393" s="1" t="s">
        <v>1083</v>
      </c>
    </row>
    <row r="3394" spans="1:15" ht="60" x14ac:dyDescent="0.25">
      <c r="A3394" s="1" t="s">
        <v>136</v>
      </c>
      <c r="B3394" s="1"/>
      <c r="C3394" s="1" t="s">
        <v>4621</v>
      </c>
      <c r="D3394" s="1">
        <v>151215</v>
      </c>
      <c r="E3394" s="1">
        <v>1353</v>
      </c>
      <c r="F3394" s="1" t="s">
        <v>4641</v>
      </c>
      <c r="G3394" s="1" t="s">
        <v>4631</v>
      </c>
      <c r="H3394" s="1" t="s">
        <v>141</v>
      </c>
      <c r="I3394" s="1" t="s">
        <v>66</v>
      </c>
      <c r="J3394" s="1">
        <v>4</v>
      </c>
      <c r="K3394" s="1" t="s">
        <v>142</v>
      </c>
      <c r="L3394" s="1" t="s">
        <v>153</v>
      </c>
      <c r="M3394" s="1" t="s">
        <v>28</v>
      </c>
      <c r="N3394" s="1" t="str">
        <f>HYPERLINK("https://klocwork.india.ti.com:443/review/insight-review.html#issuedetails_goto:problemid=151215,project=MCU_PLUS_SDK_AM263X,searchquery=taxonomy:'C and C++' build:Build_Apr_13_2023_11_11_AM grouping:off ","KW Issue Link")</f>
        <v>KW Issue Link</v>
      </c>
      <c r="O3394" s="1" t="s">
        <v>1083</v>
      </c>
    </row>
    <row r="3395" spans="1:15" ht="60" x14ac:dyDescent="0.25">
      <c r="A3395" s="1" t="s">
        <v>136</v>
      </c>
      <c r="B3395" s="1"/>
      <c r="C3395" s="1" t="s">
        <v>4621</v>
      </c>
      <c r="D3395" s="1">
        <v>151216</v>
      </c>
      <c r="E3395" s="1">
        <v>1389</v>
      </c>
      <c r="F3395" s="1" t="s">
        <v>4642</v>
      </c>
      <c r="G3395" s="1" t="s">
        <v>4631</v>
      </c>
      <c r="H3395" s="1" t="s">
        <v>141</v>
      </c>
      <c r="I3395" s="1" t="s">
        <v>66</v>
      </c>
      <c r="J3395" s="1">
        <v>4</v>
      </c>
      <c r="K3395" s="1" t="s">
        <v>142</v>
      </c>
      <c r="L3395" s="1" t="s">
        <v>153</v>
      </c>
      <c r="M3395" s="1" t="s">
        <v>28</v>
      </c>
      <c r="N3395" s="1" t="str">
        <f>HYPERLINK("https://klocwork.india.ti.com:443/review/insight-review.html#issuedetails_goto:problemid=151216,project=MCU_PLUS_SDK_AM263X,searchquery=taxonomy:'C and C++' build:Build_Apr_13_2023_11_11_AM grouping:off ","KW Issue Link")</f>
        <v>KW Issue Link</v>
      </c>
      <c r="O3395" s="1" t="s">
        <v>1083</v>
      </c>
    </row>
    <row r="3396" spans="1:15" ht="60" x14ac:dyDescent="0.25">
      <c r="A3396" s="1" t="s">
        <v>136</v>
      </c>
      <c r="B3396" s="1"/>
      <c r="C3396" s="1" t="s">
        <v>4621</v>
      </c>
      <c r="D3396" s="1">
        <v>151217</v>
      </c>
      <c r="E3396" s="1">
        <v>1517</v>
      </c>
      <c r="F3396" s="1" t="s">
        <v>4639</v>
      </c>
      <c r="G3396" s="1" t="s">
        <v>4633</v>
      </c>
      <c r="H3396" s="1" t="s">
        <v>141</v>
      </c>
      <c r="I3396" s="1" t="s">
        <v>66</v>
      </c>
      <c r="J3396" s="1">
        <v>4</v>
      </c>
      <c r="K3396" s="1" t="s">
        <v>142</v>
      </c>
      <c r="L3396" s="1" t="s">
        <v>153</v>
      </c>
      <c r="M3396" s="1" t="s">
        <v>28</v>
      </c>
      <c r="N3396" s="1" t="str">
        <f>HYPERLINK("https://klocwork.india.ti.com:443/review/insight-review.html#issuedetails_goto:problemid=151217,project=MCU_PLUS_SDK_AM263X,searchquery=taxonomy:'C and C++' build:Build_Apr_13_2023_11_11_AM grouping:off ","KW Issue Link")</f>
        <v>KW Issue Link</v>
      </c>
      <c r="O3396" s="1" t="s">
        <v>1083</v>
      </c>
    </row>
    <row r="3397" spans="1:15" ht="60" x14ac:dyDescent="0.25">
      <c r="A3397" s="1" t="s">
        <v>136</v>
      </c>
      <c r="B3397" s="1"/>
      <c r="C3397" s="1" t="s">
        <v>4621</v>
      </c>
      <c r="D3397" s="1">
        <v>151218</v>
      </c>
      <c r="E3397" s="1">
        <v>1589</v>
      </c>
      <c r="F3397" s="1" t="s">
        <v>4639</v>
      </c>
      <c r="G3397" s="1" t="s">
        <v>4633</v>
      </c>
      <c r="H3397" s="1" t="s">
        <v>141</v>
      </c>
      <c r="I3397" s="1" t="s">
        <v>66</v>
      </c>
      <c r="J3397" s="1">
        <v>4</v>
      </c>
      <c r="K3397" s="1" t="s">
        <v>142</v>
      </c>
      <c r="L3397" s="1" t="s">
        <v>153</v>
      </c>
      <c r="M3397" s="1" t="s">
        <v>28</v>
      </c>
      <c r="N3397" s="1" t="str">
        <f>HYPERLINK("https://klocwork.india.ti.com:443/review/insight-review.html#issuedetails_goto:problemid=151218,project=MCU_PLUS_SDK_AM263X,searchquery=taxonomy:'C and C++' build:Build_Apr_13_2023_11_11_AM grouping:off ","KW Issue Link")</f>
        <v>KW Issue Link</v>
      </c>
      <c r="O3397" s="1" t="s">
        <v>1083</v>
      </c>
    </row>
    <row r="3398" spans="1:15" ht="60" x14ac:dyDescent="0.25">
      <c r="A3398" s="1" t="s">
        <v>155</v>
      </c>
      <c r="B3398" s="1"/>
      <c r="C3398" s="1" t="s">
        <v>4621</v>
      </c>
      <c r="D3398" s="1">
        <v>151219</v>
      </c>
      <c r="E3398" s="1">
        <v>512</v>
      </c>
      <c r="F3398" s="1" t="s">
        <v>156</v>
      </c>
      <c r="G3398" s="1" t="s">
        <v>4625</v>
      </c>
      <c r="H3398" s="1" t="s">
        <v>141</v>
      </c>
      <c r="I3398" s="1" t="s">
        <v>65</v>
      </c>
      <c r="J3398" s="1">
        <v>3</v>
      </c>
      <c r="K3398" s="1" t="s">
        <v>142</v>
      </c>
      <c r="L3398" s="1" t="s">
        <v>153</v>
      </c>
      <c r="M3398" s="1" t="s">
        <v>28</v>
      </c>
      <c r="N3398" s="1" t="str">
        <f>HYPERLINK("https://klocwork.india.ti.com:443/review/insight-review.html#issuedetails_goto:problemid=151219,project=MCU_PLUS_SDK_AM263X,searchquery=taxonomy:'C and C++' build:Build_Apr_13_2023_11_11_AM grouping:off ","KW Issue Link")</f>
        <v>KW Issue Link</v>
      </c>
      <c r="O3398" s="1" t="s">
        <v>1083</v>
      </c>
    </row>
    <row r="3399" spans="1:15" ht="60" x14ac:dyDescent="0.25">
      <c r="A3399" s="1" t="s">
        <v>155</v>
      </c>
      <c r="B3399" s="1"/>
      <c r="C3399" s="1" t="s">
        <v>4621</v>
      </c>
      <c r="D3399" s="1">
        <v>151220</v>
      </c>
      <c r="E3399" s="1">
        <v>662</v>
      </c>
      <c r="F3399" s="1" t="s">
        <v>156</v>
      </c>
      <c r="G3399" s="1" t="s">
        <v>4643</v>
      </c>
      <c r="H3399" s="1" t="s">
        <v>141</v>
      </c>
      <c r="I3399" s="1" t="s">
        <v>65</v>
      </c>
      <c r="J3399" s="1">
        <v>3</v>
      </c>
      <c r="K3399" s="1" t="s">
        <v>142</v>
      </c>
      <c r="L3399" s="1" t="s">
        <v>153</v>
      </c>
      <c r="M3399" s="1" t="s">
        <v>28</v>
      </c>
      <c r="N3399" s="1" t="str">
        <f>HYPERLINK("https://klocwork.india.ti.com:443/review/insight-review.html#issuedetails_goto:problemid=151220,project=MCU_PLUS_SDK_AM263X,searchquery=taxonomy:'C and C++' build:Build_Apr_13_2023_11_11_AM grouping:off ","KW Issue Link")</f>
        <v>KW Issue Link</v>
      </c>
      <c r="O3399" s="1" t="s">
        <v>1083</v>
      </c>
    </row>
    <row r="3400" spans="1:15" ht="60" x14ac:dyDescent="0.25">
      <c r="A3400" s="1" t="s">
        <v>155</v>
      </c>
      <c r="B3400" s="1"/>
      <c r="C3400" s="1" t="s">
        <v>4621</v>
      </c>
      <c r="D3400" s="1">
        <v>151221</v>
      </c>
      <c r="E3400" s="1">
        <v>681</v>
      </c>
      <c r="F3400" s="1" t="s">
        <v>156</v>
      </c>
      <c r="G3400" s="1" t="s">
        <v>4643</v>
      </c>
      <c r="H3400" s="1" t="s">
        <v>141</v>
      </c>
      <c r="I3400" s="1" t="s">
        <v>65</v>
      </c>
      <c r="J3400" s="1">
        <v>3</v>
      </c>
      <c r="K3400" s="1" t="s">
        <v>142</v>
      </c>
      <c r="L3400" s="1" t="s">
        <v>153</v>
      </c>
      <c r="M3400" s="1" t="s">
        <v>28</v>
      </c>
      <c r="N3400" s="1" t="str">
        <f>HYPERLINK("https://klocwork.india.ti.com:443/review/insight-review.html#issuedetails_goto:problemid=151221,project=MCU_PLUS_SDK_AM263X,searchquery=taxonomy:'C and C++' build:Build_Apr_13_2023_11_11_AM grouping:off ","KW Issue Link")</f>
        <v>KW Issue Link</v>
      </c>
      <c r="O3400" s="1" t="s">
        <v>1083</v>
      </c>
    </row>
    <row r="3401" spans="1:15" ht="60" x14ac:dyDescent="0.25">
      <c r="A3401" s="1" t="s">
        <v>155</v>
      </c>
      <c r="B3401" s="1"/>
      <c r="C3401" s="1" t="s">
        <v>4621</v>
      </c>
      <c r="D3401" s="1">
        <v>151222</v>
      </c>
      <c r="E3401" s="1">
        <v>686</v>
      </c>
      <c r="F3401" s="1" t="s">
        <v>156</v>
      </c>
      <c r="G3401" s="1" t="s">
        <v>4643</v>
      </c>
      <c r="H3401" s="1" t="s">
        <v>141</v>
      </c>
      <c r="I3401" s="1" t="s">
        <v>65</v>
      </c>
      <c r="J3401" s="1">
        <v>3</v>
      </c>
      <c r="K3401" s="1" t="s">
        <v>142</v>
      </c>
      <c r="L3401" s="1" t="s">
        <v>153</v>
      </c>
      <c r="M3401" s="1" t="s">
        <v>28</v>
      </c>
      <c r="N3401" s="1" t="str">
        <f>HYPERLINK("https://klocwork.india.ti.com:443/review/insight-review.html#issuedetails_goto:problemid=151222,project=MCU_PLUS_SDK_AM263X,searchquery=taxonomy:'C and C++' build:Build_Apr_13_2023_11_11_AM grouping:off ","KW Issue Link")</f>
        <v>KW Issue Link</v>
      </c>
      <c r="O3401" s="1" t="s">
        <v>1083</v>
      </c>
    </row>
    <row r="3402" spans="1:15" ht="60" x14ac:dyDescent="0.25">
      <c r="A3402" s="1" t="s">
        <v>155</v>
      </c>
      <c r="B3402" s="1"/>
      <c r="C3402" s="1" t="s">
        <v>4621</v>
      </c>
      <c r="D3402" s="1">
        <v>151223</v>
      </c>
      <c r="E3402" s="1">
        <v>1090</v>
      </c>
      <c r="F3402" s="1" t="s">
        <v>156</v>
      </c>
      <c r="G3402" s="1" t="s">
        <v>4629</v>
      </c>
      <c r="H3402" s="1" t="s">
        <v>141</v>
      </c>
      <c r="I3402" s="1" t="s">
        <v>65</v>
      </c>
      <c r="J3402" s="1">
        <v>3</v>
      </c>
      <c r="K3402" s="1" t="s">
        <v>142</v>
      </c>
      <c r="L3402" s="1" t="s">
        <v>153</v>
      </c>
      <c r="M3402" s="1" t="s">
        <v>28</v>
      </c>
      <c r="N3402" s="1" t="str">
        <f>HYPERLINK("https://klocwork.india.ti.com:443/review/insight-review.html#issuedetails_goto:problemid=151223,project=MCU_PLUS_SDK_AM263X,searchquery=taxonomy:'C and C++' build:Build_Apr_13_2023_11_11_AM grouping:off ","KW Issue Link")</f>
        <v>KW Issue Link</v>
      </c>
      <c r="O3402" s="1" t="s">
        <v>1083</v>
      </c>
    </row>
    <row r="3403" spans="1:15" ht="60" x14ac:dyDescent="0.25">
      <c r="A3403" s="1" t="s">
        <v>155</v>
      </c>
      <c r="B3403" s="1"/>
      <c r="C3403" s="1" t="s">
        <v>4621</v>
      </c>
      <c r="D3403" s="1">
        <v>151224</v>
      </c>
      <c r="E3403" s="1">
        <v>1236</v>
      </c>
      <c r="F3403" s="1" t="s">
        <v>156</v>
      </c>
      <c r="G3403" s="1" t="s">
        <v>4629</v>
      </c>
      <c r="H3403" s="1" t="s">
        <v>141</v>
      </c>
      <c r="I3403" s="1" t="s">
        <v>65</v>
      </c>
      <c r="J3403" s="1">
        <v>3</v>
      </c>
      <c r="K3403" s="1" t="s">
        <v>142</v>
      </c>
      <c r="L3403" s="1" t="s">
        <v>153</v>
      </c>
      <c r="M3403" s="1" t="s">
        <v>28</v>
      </c>
      <c r="N3403" s="1" t="str">
        <f>HYPERLINK("https://klocwork.india.ti.com:443/review/insight-review.html#issuedetails_goto:problemid=151224,project=MCU_PLUS_SDK_AM263X,searchquery=taxonomy:'C and C++' build:Build_Apr_13_2023_11_11_AM grouping:off ","KW Issue Link")</f>
        <v>KW Issue Link</v>
      </c>
      <c r="O3403" s="1" t="s">
        <v>1083</v>
      </c>
    </row>
    <row r="3404" spans="1:15" ht="60" x14ac:dyDescent="0.25">
      <c r="A3404" s="1" t="s">
        <v>155</v>
      </c>
      <c r="B3404" s="1"/>
      <c r="C3404" s="1" t="s">
        <v>4621</v>
      </c>
      <c r="D3404" s="1">
        <v>151225</v>
      </c>
      <c r="E3404" s="1">
        <v>1348</v>
      </c>
      <c r="F3404" s="1" t="s">
        <v>156</v>
      </c>
      <c r="G3404" s="1" t="s">
        <v>4631</v>
      </c>
      <c r="H3404" s="1" t="s">
        <v>141</v>
      </c>
      <c r="I3404" s="1" t="s">
        <v>65</v>
      </c>
      <c r="J3404" s="1">
        <v>3</v>
      </c>
      <c r="K3404" s="1" t="s">
        <v>142</v>
      </c>
      <c r="L3404" s="1" t="s">
        <v>153</v>
      </c>
      <c r="M3404" s="1" t="s">
        <v>28</v>
      </c>
      <c r="N3404" s="1" t="str">
        <f>HYPERLINK("https://klocwork.india.ti.com:443/review/insight-review.html#issuedetails_goto:problemid=151225,project=MCU_PLUS_SDK_AM263X,searchquery=taxonomy:'C and C++' build:Build_Apr_13_2023_11_11_AM grouping:off ","KW Issue Link")</f>
        <v>KW Issue Link</v>
      </c>
      <c r="O3404" s="1" t="s">
        <v>1083</v>
      </c>
    </row>
    <row r="3405" spans="1:15" ht="60" x14ac:dyDescent="0.25">
      <c r="A3405" s="1" t="s">
        <v>155</v>
      </c>
      <c r="B3405" s="1"/>
      <c r="C3405" s="1" t="s">
        <v>4621</v>
      </c>
      <c r="D3405" s="1">
        <v>151226</v>
      </c>
      <c r="E3405" s="1">
        <v>1409</v>
      </c>
      <c r="F3405" s="1" t="s">
        <v>156</v>
      </c>
      <c r="G3405" s="1" t="s">
        <v>4631</v>
      </c>
      <c r="H3405" s="1" t="s">
        <v>141</v>
      </c>
      <c r="I3405" s="1" t="s">
        <v>65</v>
      </c>
      <c r="J3405" s="1">
        <v>3</v>
      </c>
      <c r="K3405" s="1" t="s">
        <v>142</v>
      </c>
      <c r="L3405" s="1" t="s">
        <v>153</v>
      </c>
      <c r="M3405" s="1" t="s">
        <v>28</v>
      </c>
      <c r="N3405" s="1" t="str">
        <f>HYPERLINK("https://klocwork.india.ti.com:443/review/insight-review.html#issuedetails_goto:problemid=151226,project=MCU_PLUS_SDK_AM263X,searchquery=taxonomy:'C and C++' build:Build_Apr_13_2023_11_11_AM grouping:off ","KW Issue Link")</f>
        <v>KW Issue Link</v>
      </c>
      <c r="O3405" s="1" t="s">
        <v>1083</v>
      </c>
    </row>
    <row r="3406" spans="1:15" ht="60" x14ac:dyDescent="0.25">
      <c r="A3406" s="1" t="s">
        <v>155</v>
      </c>
      <c r="B3406" s="1"/>
      <c r="C3406" s="1" t="s">
        <v>4621</v>
      </c>
      <c r="D3406" s="1">
        <v>151227</v>
      </c>
      <c r="E3406" s="1">
        <v>1475</v>
      </c>
      <c r="F3406" s="1" t="s">
        <v>156</v>
      </c>
      <c r="G3406" s="1" t="s">
        <v>4633</v>
      </c>
      <c r="H3406" s="1" t="s">
        <v>141</v>
      </c>
      <c r="I3406" s="1" t="s">
        <v>65</v>
      </c>
      <c r="J3406" s="1">
        <v>3</v>
      </c>
      <c r="K3406" s="1" t="s">
        <v>142</v>
      </c>
      <c r="L3406" s="1" t="s">
        <v>153</v>
      </c>
      <c r="M3406" s="1" t="s">
        <v>28</v>
      </c>
      <c r="N3406" s="1" t="str">
        <f>HYPERLINK("https://klocwork.india.ti.com:443/review/insight-review.html#issuedetails_goto:problemid=151227,project=MCU_PLUS_SDK_AM263X,searchquery=taxonomy:'C and C++' build:Build_Apr_13_2023_11_11_AM grouping:off ","KW Issue Link")</f>
        <v>KW Issue Link</v>
      </c>
      <c r="O3406" s="1" t="s">
        <v>1083</v>
      </c>
    </row>
    <row r="3407" spans="1:15" ht="60" x14ac:dyDescent="0.25">
      <c r="A3407" s="1" t="s">
        <v>155</v>
      </c>
      <c r="B3407" s="1"/>
      <c r="C3407" s="1" t="s">
        <v>4621</v>
      </c>
      <c r="D3407" s="1">
        <v>151228</v>
      </c>
      <c r="E3407" s="1">
        <v>1613</v>
      </c>
      <c r="F3407" s="1" t="s">
        <v>156</v>
      </c>
      <c r="G3407" s="1" t="s">
        <v>4633</v>
      </c>
      <c r="H3407" s="1" t="s">
        <v>141</v>
      </c>
      <c r="I3407" s="1" t="s">
        <v>65</v>
      </c>
      <c r="J3407" s="1">
        <v>3</v>
      </c>
      <c r="K3407" s="1" t="s">
        <v>142</v>
      </c>
      <c r="L3407" s="1" t="s">
        <v>153</v>
      </c>
      <c r="M3407" s="1" t="s">
        <v>28</v>
      </c>
      <c r="N3407" s="1" t="str">
        <f>HYPERLINK("https://klocwork.india.ti.com:443/review/insight-review.html#issuedetails_goto:problemid=151228,project=MCU_PLUS_SDK_AM263X,searchquery=taxonomy:'C and C++' build:Build_Apr_13_2023_11_11_AM grouping:off ","KW Issue Link")</f>
        <v>KW Issue Link</v>
      </c>
      <c r="O3407" s="1" t="s">
        <v>1083</v>
      </c>
    </row>
    <row r="3408" spans="1:15" ht="75" x14ac:dyDescent="0.25">
      <c r="A3408" s="1" t="s">
        <v>149</v>
      </c>
      <c r="B3408" s="1"/>
      <c r="C3408" s="1" t="s">
        <v>4621</v>
      </c>
      <c r="D3408" s="1">
        <v>151246</v>
      </c>
      <c r="E3408" s="1">
        <v>660</v>
      </c>
      <c r="F3408" s="1" t="s">
        <v>4644</v>
      </c>
      <c r="G3408" s="1" t="s">
        <v>4643</v>
      </c>
      <c r="H3408" s="1" t="s">
        <v>141</v>
      </c>
      <c r="I3408" s="1" t="s">
        <v>65</v>
      </c>
      <c r="J3408" s="1">
        <v>3</v>
      </c>
      <c r="K3408" s="1" t="s">
        <v>142</v>
      </c>
      <c r="L3408" s="1" t="s">
        <v>153</v>
      </c>
      <c r="M3408" s="1" t="s">
        <v>28</v>
      </c>
      <c r="N3408" s="1" t="str">
        <f>HYPERLINK("https://klocwork.india.ti.com:443/review/insight-review.html#issuedetails_goto:problemid=151246,project=MCU_PLUS_SDK_AM263X,searchquery=taxonomy:'C and C++' build:Build_Apr_13_2023_11_11_AM grouping:off ","KW Issue Link")</f>
        <v>KW Issue Link</v>
      </c>
      <c r="O3408" s="1" t="s">
        <v>1083</v>
      </c>
    </row>
    <row r="3409" spans="1:15" ht="105" x14ac:dyDescent="0.25">
      <c r="A3409" s="1" t="s">
        <v>149</v>
      </c>
      <c r="B3409" s="1"/>
      <c r="C3409" s="1" t="s">
        <v>4621</v>
      </c>
      <c r="D3409" s="1">
        <v>151247</v>
      </c>
      <c r="E3409" s="1">
        <v>675</v>
      </c>
      <c r="F3409" s="1" t="s">
        <v>4645</v>
      </c>
      <c r="G3409" s="1" t="s">
        <v>4643</v>
      </c>
      <c r="H3409" s="1" t="s">
        <v>141</v>
      </c>
      <c r="I3409" s="1" t="s">
        <v>65</v>
      </c>
      <c r="J3409" s="1">
        <v>3</v>
      </c>
      <c r="K3409" s="1" t="s">
        <v>142</v>
      </c>
      <c r="L3409" s="1" t="s">
        <v>153</v>
      </c>
      <c r="M3409" s="1" t="s">
        <v>28</v>
      </c>
      <c r="N3409" s="1" t="str">
        <f>HYPERLINK("https://klocwork.india.ti.com:443/review/insight-review.html#issuedetails_goto:problemid=151247,project=MCU_PLUS_SDK_AM263X,searchquery=taxonomy:'C and C++' build:Build_Apr_13_2023_11_11_AM grouping:off ","KW Issue Link")</f>
        <v>KW Issue Link</v>
      </c>
      <c r="O3409" s="1" t="s">
        <v>1083</v>
      </c>
    </row>
    <row r="3410" spans="1:15" ht="75" x14ac:dyDescent="0.25">
      <c r="A3410" s="1" t="s">
        <v>149</v>
      </c>
      <c r="B3410" s="1"/>
      <c r="C3410" s="1" t="s">
        <v>4621</v>
      </c>
      <c r="D3410" s="1">
        <v>151248</v>
      </c>
      <c r="E3410" s="1">
        <v>684</v>
      </c>
      <c r="F3410" s="1" t="s">
        <v>4644</v>
      </c>
      <c r="G3410" s="1" t="s">
        <v>4643</v>
      </c>
      <c r="H3410" s="1" t="s">
        <v>141</v>
      </c>
      <c r="I3410" s="1" t="s">
        <v>65</v>
      </c>
      <c r="J3410" s="1">
        <v>3</v>
      </c>
      <c r="K3410" s="1" t="s">
        <v>142</v>
      </c>
      <c r="L3410" s="1" t="s">
        <v>153</v>
      </c>
      <c r="M3410" s="1" t="s">
        <v>28</v>
      </c>
      <c r="N3410" s="1" t="str">
        <f>HYPERLINK("https://klocwork.india.ti.com:443/review/insight-review.html#issuedetails_goto:problemid=151248,project=MCU_PLUS_SDK_AM263X,searchquery=taxonomy:'C and C++' build:Build_Apr_13_2023_11_11_AM grouping:off ","KW Issue Link")</f>
        <v>KW Issue Link</v>
      </c>
      <c r="O3410" s="1" t="s">
        <v>1083</v>
      </c>
    </row>
    <row r="3411" spans="1:15" ht="75" x14ac:dyDescent="0.25">
      <c r="A3411" s="1" t="s">
        <v>149</v>
      </c>
      <c r="B3411" s="1"/>
      <c r="C3411" s="1" t="s">
        <v>4621</v>
      </c>
      <c r="D3411" s="1">
        <v>151249</v>
      </c>
      <c r="E3411" s="1">
        <v>1088</v>
      </c>
      <c r="F3411" s="1" t="s">
        <v>4644</v>
      </c>
      <c r="G3411" s="1" t="s">
        <v>4629</v>
      </c>
      <c r="H3411" s="1" t="s">
        <v>141</v>
      </c>
      <c r="I3411" s="1" t="s">
        <v>65</v>
      </c>
      <c r="J3411" s="1">
        <v>3</v>
      </c>
      <c r="K3411" s="1" t="s">
        <v>142</v>
      </c>
      <c r="L3411" s="1" t="s">
        <v>153</v>
      </c>
      <c r="M3411" s="1" t="s">
        <v>28</v>
      </c>
      <c r="N3411" s="1" t="str">
        <f>HYPERLINK("https://klocwork.india.ti.com:443/review/insight-review.html#issuedetails_goto:problemid=151249,project=MCU_PLUS_SDK_AM263X,searchquery=taxonomy:'C and C++' build:Build_Apr_13_2023_11_11_AM grouping:off ","KW Issue Link")</f>
        <v>KW Issue Link</v>
      </c>
      <c r="O3411" s="1" t="s">
        <v>1083</v>
      </c>
    </row>
    <row r="3412" spans="1:15" ht="75" x14ac:dyDescent="0.25">
      <c r="A3412" s="1" t="s">
        <v>149</v>
      </c>
      <c r="B3412" s="1"/>
      <c r="C3412" s="1" t="s">
        <v>4621</v>
      </c>
      <c r="D3412" s="1">
        <v>151250</v>
      </c>
      <c r="E3412" s="1">
        <v>1234</v>
      </c>
      <c r="F3412" s="1" t="s">
        <v>4644</v>
      </c>
      <c r="G3412" s="1" t="s">
        <v>4629</v>
      </c>
      <c r="H3412" s="1" t="s">
        <v>141</v>
      </c>
      <c r="I3412" s="1" t="s">
        <v>65</v>
      </c>
      <c r="J3412" s="1">
        <v>3</v>
      </c>
      <c r="K3412" s="1" t="s">
        <v>142</v>
      </c>
      <c r="L3412" s="1" t="s">
        <v>153</v>
      </c>
      <c r="M3412" s="1" t="s">
        <v>28</v>
      </c>
      <c r="N3412" s="1" t="str">
        <f>HYPERLINK("https://klocwork.india.ti.com:443/review/insight-review.html#issuedetails_goto:problemid=151250,project=MCU_PLUS_SDK_AM263X,searchquery=taxonomy:'C and C++' build:Build_Apr_13_2023_11_11_AM grouping:off ","KW Issue Link")</f>
        <v>KW Issue Link</v>
      </c>
      <c r="O3412" s="1" t="s">
        <v>1083</v>
      </c>
    </row>
    <row r="3413" spans="1:15" ht="75" x14ac:dyDescent="0.25">
      <c r="A3413" s="1" t="s">
        <v>149</v>
      </c>
      <c r="B3413" s="1"/>
      <c r="C3413" s="1" t="s">
        <v>4621</v>
      </c>
      <c r="D3413" s="1">
        <v>151251</v>
      </c>
      <c r="E3413" s="1">
        <v>1346</v>
      </c>
      <c r="F3413" s="1" t="s">
        <v>4644</v>
      </c>
      <c r="G3413" s="1" t="s">
        <v>4631</v>
      </c>
      <c r="H3413" s="1" t="s">
        <v>141</v>
      </c>
      <c r="I3413" s="1" t="s">
        <v>65</v>
      </c>
      <c r="J3413" s="1">
        <v>3</v>
      </c>
      <c r="K3413" s="1" t="s">
        <v>142</v>
      </c>
      <c r="L3413" s="1" t="s">
        <v>153</v>
      </c>
      <c r="M3413" s="1" t="s">
        <v>28</v>
      </c>
      <c r="N3413" s="1" t="str">
        <f>HYPERLINK("https://klocwork.india.ti.com:443/review/insight-review.html#issuedetails_goto:problemid=151251,project=MCU_PLUS_SDK_AM263X,searchquery=taxonomy:'C and C++' build:Build_Apr_13_2023_11_11_AM grouping:off ","KW Issue Link")</f>
        <v>KW Issue Link</v>
      </c>
      <c r="O3413" s="1" t="s">
        <v>1083</v>
      </c>
    </row>
    <row r="3414" spans="1:15" ht="75" x14ac:dyDescent="0.25">
      <c r="A3414" s="1" t="s">
        <v>149</v>
      </c>
      <c r="B3414" s="1"/>
      <c r="C3414" s="1" t="s">
        <v>4621</v>
      </c>
      <c r="D3414" s="1">
        <v>151252</v>
      </c>
      <c r="E3414" s="1">
        <v>1407</v>
      </c>
      <c r="F3414" s="1" t="s">
        <v>4644</v>
      </c>
      <c r="G3414" s="1" t="s">
        <v>4631</v>
      </c>
      <c r="H3414" s="1" t="s">
        <v>141</v>
      </c>
      <c r="I3414" s="1" t="s">
        <v>65</v>
      </c>
      <c r="J3414" s="1">
        <v>3</v>
      </c>
      <c r="K3414" s="1" t="s">
        <v>142</v>
      </c>
      <c r="L3414" s="1" t="s">
        <v>153</v>
      </c>
      <c r="M3414" s="1" t="s">
        <v>28</v>
      </c>
      <c r="N3414" s="1" t="str">
        <f>HYPERLINK("https://klocwork.india.ti.com:443/review/insight-review.html#issuedetails_goto:problemid=151252,project=MCU_PLUS_SDK_AM263X,searchquery=taxonomy:'C and C++' build:Build_Apr_13_2023_11_11_AM grouping:off ","KW Issue Link")</f>
        <v>KW Issue Link</v>
      </c>
      <c r="O3414" s="1" t="s">
        <v>1083</v>
      </c>
    </row>
    <row r="3415" spans="1:15" ht="75" x14ac:dyDescent="0.25">
      <c r="A3415" s="1" t="s">
        <v>149</v>
      </c>
      <c r="B3415" s="1"/>
      <c r="C3415" s="1" t="s">
        <v>4621</v>
      </c>
      <c r="D3415" s="1">
        <v>151253</v>
      </c>
      <c r="E3415" s="1">
        <v>1473</v>
      </c>
      <c r="F3415" s="1" t="s">
        <v>4644</v>
      </c>
      <c r="G3415" s="1" t="s">
        <v>4633</v>
      </c>
      <c r="H3415" s="1" t="s">
        <v>141</v>
      </c>
      <c r="I3415" s="1" t="s">
        <v>65</v>
      </c>
      <c r="J3415" s="1">
        <v>3</v>
      </c>
      <c r="K3415" s="1" t="s">
        <v>142</v>
      </c>
      <c r="L3415" s="1" t="s">
        <v>153</v>
      </c>
      <c r="M3415" s="1" t="s">
        <v>28</v>
      </c>
      <c r="N3415" s="1" t="str">
        <f>HYPERLINK("https://klocwork.india.ti.com:443/review/insight-review.html#issuedetails_goto:problemid=151253,project=MCU_PLUS_SDK_AM263X,searchquery=taxonomy:'C and C++' build:Build_Apr_13_2023_11_11_AM grouping:off ","KW Issue Link")</f>
        <v>KW Issue Link</v>
      </c>
      <c r="O3415" s="1" t="s">
        <v>1083</v>
      </c>
    </row>
    <row r="3416" spans="1:15" ht="75" x14ac:dyDescent="0.25">
      <c r="A3416" s="1" t="s">
        <v>149</v>
      </c>
      <c r="B3416" s="1"/>
      <c r="C3416" s="1" t="s">
        <v>4621</v>
      </c>
      <c r="D3416" s="1">
        <v>151254</v>
      </c>
      <c r="E3416" s="1">
        <v>1611</v>
      </c>
      <c r="F3416" s="1" t="s">
        <v>4644</v>
      </c>
      <c r="G3416" s="1" t="s">
        <v>4633</v>
      </c>
      <c r="H3416" s="1" t="s">
        <v>141</v>
      </c>
      <c r="I3416" s="1" t="s">
        <v>65</v>
      </c>
      <c r="J3416" s="1">
        <v>3</v>
      </c>
      <c r="K3416" s="1" t="s">
        <v>142</v>
      </c>
      <c r="L3416" s="1" t="s">
        <v>153</v>
      </c>
      <c r="M3416" s="1" t="s">
        <v>28</v>
      </c>
      <c r="N3416" s="1" t="str">
        <f>HYPERLINK("https://klocwork.india.ti.com:443/review/insight-review.html#issuedetails_goto:problemid=151254,project=MCU_PLUS_SDK_AM263X,searchquery=taxonomy:'C and C++' build:Build_Apr_13_2023_11_11_AM grouping:off ","KW Issue Link")</f>
        <v>KW Issue Link</v>
      </c>
      <c r="O3416" s="1" t="s">
        <v>1083</v>
      </c>
    </row>
    <row r="3417" spans="1:15" ht="60" x14ac:dyDescent="0.25">
      <c r="A3417" s="1" t="s">
        <v>1257</v>
      </c>
      <c r="B3417" s="1"/>
      <c r="C3417" s="1" t="s">
        <v>4621</v>
      </c>
      <c r="D3417" s="1">
        <v>151255</v>
      </c>
      <c r="E3417" s="1">
        <v>874</v>
      </c>
      <c r="F3417" s="1" t="s">
        <v>4646</v>
      </c>
      <c r="G3417" s="1" t="s">
        <v>4627</v>
      </c>
      <c r="H3417" s="1" t="s">
        <v>141</v>
      </c>
      <c r="I3417" s="1" t="s">
        <v>65</v>
      </c>
      <c r="J3417" s="1">
        <v>3</v>
      </c>
      <c r="K3417" s="1" t="s">
        <v>142</v>
      </c>
      <c r="L3417" s="1" t="s">
        <v>153</v>
      </c>
      <c r="M3417" s="1" t="s">
        <v>1256</v>
      </c>
      <c r="N3417" s="1" t="str">
        <f>HYPERLINK("https://klocwork.india.ti.com:443/review/insight-review.html#issuedetails_goto:problemid=151255,project=MCU_PLUS_SDK_AM263X,searchquery=taxonomy:'C and C++' build:Build_Apr_13_2023_11_11_AM grouping:off ","KW Issue Link")</f>
        <v>KW Issue Link</v>
      </c>
      <c r="O3417" s="1" t="s">
        <v>1083</v>
      </c>
    </row>
    <row r="3418" spans="1:15" ht="60" x14ac:dyDescent="0.25">
      <c r="A3418" s="1" t="s">
        <v>1257</v>
      </c>
      <c r="B3418" s="1"/>
      <c r="C3418" s="1" t="s">
        <v>4621</v>
      </c>
      <c r="D3418" s="1">
        <v>151256</v>
      </c>
      <c r="E3418" s="1">
        <v>1073</v>
      </c>
      <c r="F3418" s="1" t="s">
        <v>4647</v>
      </c>
      <c r="G3418" s="1" t="s">
        <v>4629</v>
      </c>
      <c r="H3418" s="1" t="s">
        <v>141</v>
      </c>
      <c r="I3418" s="1" t="s">
        <v>65</v>
      </c>
      <c r="J3418" s="1">
        <v>3</v>
      </c>
      <c r="K3418" s="1" t="s">
        <v>142</v>
      </c>
      <c r="L3418" s="1" t="s">
        <v>153</v>
      </c>
      <c r="M3418" s="1" t="s">
        <v>1256</v>
      </c>
      <c r="N3418" s="1" t="str">
        <f>HYPERLINK("https://klocwork.india.ti.com:443/review/insight-review.html#issuedetails_goto:problemid=151256,project=MCU_PLUS_SDK_AM263X,searchquery=taxonomy:'C and C++' build:Build_Apr_13_2023_11_11_AM grouping:off ","KW Issue Link")</f>
        <v>KW Issue Link</v>
      </c>
      <c r="O3418" s="1" t="s">
        <v>1083</v>
      </c>
    </row>
    <row r="3419" spans="1:15" ht="60" x14ac:dyDescent="0.25">
      <c r="A3419" s="1" t="s">
        <v>1257</v>
      </c>
      <c r="B3419" s="1"/>
      <c r="C3419" s="1" t="s">
        <v>4621</v>
      </c>
      <c r="D3419" s="1">
        <v>151257</v>
      </c>
      <c r="E3419" s="1">
        <v>1460</v>
      </c>
      <c r="F3419" s="1" t="s">
        <v>4648</v>
      </c>
      <c r="G3419" s="1" t="s">
        <v>4633</v>
      </c>
      <c r="H3419" s="1" t="s">
        <v>141</v>
      </c>
      <c r="I3419" s="1" t="s">
        <v>65</v>
      </c>
      <c r="J3419" s="1">
        <v>3</v>
      </c>
      <c r="K3419" s="1" t="s">
        <v>142</v>
      </c>
      <c r="L3419" s="1" t="s">
        <v>153</v>
      </c>
      <c r="M3419" s="1" t="s">
        <v>1256</v>
      </c>
      <c r="N3419" s="1" t="str">
        <f>HYPERLINK("https://klocwork.india.ti.com:443/review/insight-review.html#issuedetails_goto:problemid=151257,project=MCU_PLUS_SDK_AM263X,searchquery=taxonomy:'C and C++' build:Build_Apr_13_2023_11_11_AM grouping:off ","KW Issue Link")</f>
        <v>KW Issue Link</v>
      </c>
      <c r="O3419" s="1" t="s">
        <v>1083</v>
      </c>
    </row>
    <row r="3420" spans="1:15" ht="60" x14ac:dyDescent="0.25">
      <c r="A3420" s="1" t="s">
        <v>1042</v>
      </c>
      <c r="B3420" s="1"/>
      <c r="C3420" s="1" t="s">
        <v>4621</v>
      </c>
      <c r="D3420" s="1">
        <v>151271</v>
      </c>
      <c r="E3420" s="1">
        <v>986</v>
      </c>
      <c r="F3420" s="1" t="s">
        <v>4649</v>
      </c>
      <c r="G3420" s="1" t="s">
        <v>4627</v>
      </c>
      <c r="H3420" s="1" t="s">
        <v>141</v>
      </c>
      <c r="I3420" s="1" t="s">
        <v>63</v>
      </c>
      <c r="J3420" s="1">
        <v>1</v>
      </c>
      <c r="K3420" s="1" t="s">
        <v>142</v>
      </c>
      <c r="L3420" s="1" t="s">
        <v>153</v>
      </c>
      <c r="M3420" s="1" t="s">
        <v>28</v>
      </c>
      <c r="N3420" s="1" t="str">
        <f>HYPERLINK("https://klocwork.india.ti.com:443/review/insight-review.html#issuedetails_goto:problemid=151271,project=MCU_PLUS_SDK_AM263X,searchquery=taxonomy:'C and C++' build:Build_Apr_13_2023_11_11_AM grouping:off ","KW Issue Link")</f>
        <v>KW Issue Link</v>
      </c>
      <c r="O3420" s="1" t="s">
        <v>1083</v>
      </c>
    </row>
    <row r="3421" spans="1:15" ht="60" x14ac:dyDescent="0.25">
      <c r="A3421" s="1" t="s">
        <v>1042</v>
      </c>
      <c r="B3421" s="1"/>
      <c r="C3421" s="1" t="s">
        <v>4621</v>
      </c>
      <c r="D3421" s="1">
        <v>151272</v>
      </c>
      <c r="E3421" s="1">
        <v>986</v>
      </c>
      <c r="F3421" s="1" t="s">
        <v>4649</v>
      </c>
      <c r="G3421" s="1" t="s">
        <v>4627</v>
      </c>
      <c r="H3421" s="1" t="s">
        <v>141</v>
      </c>
      <c r="I3421" s="1" t="s">
        <v>63</v>
      </c>
      <c r="J3421" s="1">
        <v>1</v>
      </c>
      <c r="K3421" s="1" t="s">
        <v>142</v>
      </c>
      <c r="L3421" s="1" t="s">
        <v>153</v>
      </c>
      <c r="M3421" s="1" t="s">
        <v>28</v>
      </c>
      <c r="N3421" s="1" t="str">
        <f>HYPERLINK("https://klocwork.india.ti.com:443/review/insight-review.html#issuedetails_goto:problemid=151272,project=MCU_PLUS_SDK_AM263X,searchquery=taxonomy:'C and C++' build:Build_Apr_13_2023_11_11_AM grouping:off ","KW Issue Link")</f>
        <v>KW Issue Link</v>
      </c>
      <c r="O3421" s="1" t="s">
        <v>1083</v>
      </c>
    </row>
    <row r="3422" spans="1:15" ht="90" x14ac:dyDescent="0.25">
      <c r="A3422" s="1" t="s">
        <v>157</v>
      </c>
      <c r="B3422" s="1"/>
      <c r="C3422" s="1" t="s">
        <v>4621</v>
      </c>
      <c r="D3422" s="1">
        <v>151273</v>
      </c>
      <c r="E3422" s="1">
        <v>1287</v>
      </c>
      <c r="F3422" s="1" t="s">
        <v>4650</v>
      </c>
      <c r="G3422" s="1" t="s">
        <v>4651</v>
      </c>
      <c r="H3422" s="1" t="s">
        <v>141</v>
      </c>
      <c r="I3422" s="1" t="s">
        <v>65</v>
      </c>
      <c r="J3422" s="1">
        <v>3</v>
      </c>
      <c r="K3422" s="1" t="s">
        <v>142</v>
      </c>
      <c r="L3422" s="1" t="s">
        <v>153</v>
      </c>
      <c r="M3422" s="1" t="s">
        <v>28</v>
      </c>
      <c r="N3422" s="1" t="str">
        <f>HYPERLINK("https://klocwork.india.ti.com:443/review/insight-review.html#issuedetails_goto:problemid=151273,project=MCU_PLUS_SDK_AM263X,searchquery=taxonomy:'C and C++' build:Build_Apr_13_2023_11_11_AM grouping:off ","KW Issue Link")</f>
        <v>KW Issue Link</v>
      </c>
      <c r="O3422" s="1" t="s">
        <v>1083</v>
      </c>
    </row>
    <row r="3423" spans="1:15" ht="90" x14ac:dyDescent="0.25">
      <c r="A3423" s="1" t="s">
        <v>157</v>
      </c>
      <c r="B3423" s="1"/>
      <c r="C3423" s="1" t="s">
        <v>4621</v>
      </c>
      <c r="D3423" s="1">
        <v>151274</v>
      </c>
      <c r="E3423" s="1">
        <v>1390</v>
      </c>
      <c r="F3423" s="1" t="s">
        <v>4652</v>
      </c>
      <c r="G3423" s="1" t="s">
        <v>4631</v>
      </c>
      <c r="H3423" s="1" t="s">
        <v>141</v>
      </c>
      <c r="I3423" s="1" t="s">
        <v>65</v>
      </c>
      <c r="J3423" s="1">
        <v>3</v>
      </c>
      <c r="K3423" s="1" t="s">
        <v>142</v>
      </c>
      <c r="L3423" s="1" t="s">
        <v>153</v>
      </c>
      <c r="M3423" s="1" t="s">
        <v>28</v>
      </c>
      <c r="N3423" s="1" t="str">
        <f>HYPERLINK("https://klocwork.india.ti.com:443/review/insight-review.html#issuedetails_goto:problemid=151274,project=MCU_PLUS_SDK_AM263X,searchquery=taxonomy:'C and C++' build:Build_Apr_13_2023_11_11_AM grouping:off ","KW Issue Link")</f>
        <v>KW Issue Link</v>
      </c>
      <c r="O3423" s="1" t="s">
        <v>1083</v>
      </c>
    </row>
    <row r="3424" spans="1:15" ht="60" x14ac:dyDescent="0.25">
      <c r="A3424" s="1" t="s">
        <v>1257</v>
      </c>
      <c r="B3424" s="1"/>
      <c r="C3424" s="1" t="s">
        <v>4653</v>
      </c>
      <c r="D3424" s="1">
        <v>152388</v>
      </c>
      <c r="E3424" s="1">
        <v>229</v>
      </c>
      <c r="F3424" s="1" t="s">
        <v>4654</v>
      </c>
      <c r="G3424" s="1" t="s">
        <v>4655</v>
      </c>
      <c r="H3424" s="1" t="s">
        <v>141</v>
      </c>
      <c r="I3424" s="1" t="s">
        <v>65</v>
      </c>
      <c r="J3424" s="1">
        <v>3</v>
      </c>
      <c r="K3424" s="1" t="s">
        <v>142</v>
      </c>
      <c r="L3424" s="1" t="s">
        <v>153</v>
      </c>
      <c r="M3424" s="1" t="s">
        <v>1256</v>
      </c>
      <c r="N3424" s="1" t="str">
        <f>HYPERLINK("https://klocwork.india.ti.com:443/review/insight-review.html#issuedetails_goto:problemid=152388,project=MCU_PLUS_SDK_AM263X,searchquery=taxonomy:'C and C++' build:Build_Apr_13_2023_11_11_AM grouping:off ","KW Issue Link")</f>
        <v>KW Issue Link</v>
      </c>
      <c r="O3424" s="1" t="s">
        <v>1083</v>
      </c>
    </row>
    <row r="3425" spans="1:15" ht="60" x14ac:dyDescent="0.25">
      <c r="A3425" s="1" t="s">
        <v>1257</v>
      </c>
      <c r="B3425" s="1"/>
      <c r="C3425" s="1" t="s">
        <v>4653</v>
      </c>
      <c r="D3425" s="1">
        <v>152389</v>
      </c>
      <c r="E3425" s="1">
        <v>570</v>
      </c>
      <c r="F3425" s="1" t="s">
        <v>4656</v>
      </c>
      <c r="G3425" s="1" t="s">
        <v>4657</v>
      </c>
      <c r="H3425" s="1" t="s">
        <v>141</v>
      </c>
      <c r="I3425" s="1" t="s">
        <v>65</v>
      </c>
      <c r="J3425" s="1">
        <v>3</v>
      </c>
      <c r="K3425" s="1" t="s">
        <v>142</v>
      </c>
      <c r="L3425" s="1" t="s">
        <v>153</v>
      </c>
      <c r="M3425" s="1" t="s">
        <v>1256</v>
      </c>
      <c r="N3425" s="1" t="str">
        <f>HYPERLINK("https://klocwork.india.ti.com:443/review/insight-review.html#issuedetails_goto:problemid=152389,project=MCU_PLUS_SDK_AM263X,searchquery=taxonomy:'C and C++' build:Build_Apr_13_2023_11_11_AM grouping:off ","KW Issue Link")</f>
        <v>KW Issue Link</v>
      </c>
      <c r="O3425" s="1" t="s">
        <v>1083</v>
      </c>
    </row>
    <row r="3426" spans="1:15" ht="60" x14ac:dyDescent="0.25">
      <c r="A3426" s="1" t="s">
        <v>1257</v>
      </c>
      <c r="B3426" s="1"/>
      <c r="C3426" s="1" t="s">
        <v>4653</v>
      </c>
      <c r="D3426" s="1">
        <v>152390</v>
      </c>
      <c r="E3426" s="1">
        <v>726</v>
      </c>
      <c r="F3426" s="1" t="s">
        <v>4658</v>
      </c>
      <c r="G3426" s="1" t="s">
        <v>4659</v>
      </c>
      <c r="H3426" s="1" t="s">
        <v>141</v>
      </c>
      <c r="I3426" s="1" t="s">
        <v>65</v>
      </c>
      <c r="J3426" s="1">
        <v>3</v>
      </c>
      <c r="K3426" s="1" t="s">
        <v>142</v>
      </c>
      <c r="L3426" s="1" t="s">
        <v>153</v>
      </c>
      <c r="M3426" s="1" t="s">
        <v>1256</v>
      </c>
      <c r="N3426" s="1" t="str">
        <f>HYPERLINK("https://klocwork.india.ti.com:443/review/insight-review.html#issuedetails_goto:problemid=152390,project=MCU_PLUS_SDK_AM263X,searchquery=taxonomy:'C and C++' build:Build_Apr_13_2023_11_11_AM grouping:off ","KW Issue Link")</f>
        <v>KW Issue Link</v>
      </c>
      <c r="O3426" s="1" t="s">
        <v>1083</v>
      </c>
    </row>
    <row r="3427" spans="1:15" ht="60" x14ac:dyDescent="0.25">
      <c r="A3427" s="1" t="s">
        <v>1257</v>
      </c>
      <c r="B3427" s="1"/>
      <c r="C3427" s="1" t="s">
        <v>4653</v>
      </c>
      <c r="D3427" s="1">
        <v>152391</v>
      </c>
      <c r="E3427" s="1">
        <v>858</v>
      </c>
      <c r="F3427" s="1" t="s">
        <v>4660</v>
      </c>
      <c r="G3427" s="1" t="s">
        <v>4661</v>
      </c>
      <c r="H3427" s="1" t="s">
        <v>141</v>
      </c>
      <c r="I3427" s="1" t="s">
        <v>65</v>
      </c>
      <c r="J3427" s="1">
        <v>3</v>
      </c>
      <c r="K3427" s="1" t="s">
        <v>142</v>
      </c>
      <c r="L3427" s="1" t="s">
        <v>153</v>
      </c>
      <c r="M3427" s="1" t="s">
        <v>1256</v>
      </c>
      <c r="N3427" s="1" t="str">
        <f>HYPERLINK("https://klocwork.india.ti.com:443/review/insight-review.html#issuedetails_goto:problemid=152391,project=MCU_PLUS_SDK_AM263X,searchquery=taxonomy:'C and C++' build:Build_Apr_13_2023_11_11_AM grouping:off ","KW Issue Link")</f>
        <v>KW Issue Link</v>
      </c>
      <c r="O3427" s="1" t="s">
        <v>1083</v>
      </c>
    </row>
    <row r="3428" spans="1:15" ht="60" x14ac:dyDescent="0.25">
      <c r="A3428" s="1" t="s">
        <v>1257</v>
      </c>
      <c r="B3428" s="1"/>
      <c r="C3428" s="1" t="s">
        <v>4653</v>
      </c>
      <c r="D3428" s="1">
        <v>152392</v>
      </c>
      <c r="E3428" s="1">
        <v>1291</v>
      </c>
      <c r="F3428" s="1" t="s">
        <v>4662</v>
      </c>
      <c r="G3428" s="1" t="s">
        <v>4663</v>
      </c>
      <c r="H3428" s="1" t="s">
        <v>141</v>
      </c>
      <c r="I3428" s="1" t="s">
        <v>65</v>
      </c>
      <c r="J3428" s="1">
        <v>3</v>
      </c>
      <c r="K3428" s="1" t="s">
        <v>142</v>
      </c>
      <c r="L3428" s="1" t="s">
        <v>153</v>
      </c>
      <c r="M3428" s="1" t="s">
        <v>1256</v>
      </c>
      <c r="N3428" s="1" t="str">
        <f>HYPERLINK("https://klocwork.india.ti.com:443/review/insight-review.html#issuedetails_goto:problemid=152392,project=MCU_PLUS_SDK_AM263X,searchquery=taxonomy:'C and C++' build:Build_Apr_13_2023_11_11_AM grouping:off ","KW Issue Link")</f>
        <v>KW Issue Link</v>
      </c>
      <c r="O3428" s="1" t="s">
        <v>1083</v>
      </c>
    </row>
    <row r="3429" spans="1:15" ht="60" x14ac:dyDescent="0.25">
      <c r="A3429" s="1" t="s">
        <v>1257</v>
      </c>
      <c r="B3429" s="1"/>
      <c r="C3429" s="1" t="s">
        <v>4653</v>
      </c>
      <c r="D3429" s="1">
        <v>152393</v>
      </c>
      <c r="E3429" s="1">
        <v>1732</v>
      </c>
      <c r="F3429" s="1" t="s">
        <v>4664</v>
      </c>
      <c r="G3429" s="1" t="s">
        <v>4665</v>
      </c>
      <c r="H3429" s="1" t="s">
        <v>141</v>
      </c>
      <c r="I3429" s="1" t="s">
        <v>65</v>
      </c>
      <c r="J3429" s="1">
        <v>3</v>
      </c>
      <c r="K3429" s="1" t="s">
        <v>142</v>
      </c>
      <c r="L3429" s="1" t="s">
        <v>153</v>
      </c>
      <c r="M3429" s="1" t="s">
        <v>1256</v>
      </c>
      <c r="N3429" s="1" t="str">
        <f>HYPERLINK("https://klocwork.india.ti.com:443/review/insight-review.html#issuedetails_goto:problemid=152393,project=MCU_PLUS_SDK_AM263X,searchquery=taxonomy:'C and C++' build:Build_Apr_13_2023_11_11_AM grouping:off ","KW Issue Link")</f>
        <v>KW Issue Link</v>
      </c>
      <c r="O3429" s="1" t="s">
        <v>1083</v>
      </c>
    </row>
    <row r="3430" spans="1:15" ht="60" x14ac:dyDescent="0.25">
      <c r="A3430" s="1" t="s">
        <v>1257</v>
      </c>
      <c r="B3430" s="1"/>
      <c r="C3430" s="1" t="s">
        <v>4653</v>
      </c>
      <c r="D3430" s="1">
        <v>152394</v>
      </c>
      <c r="E3430" s="1">
        <v>1966</v>
      </c>
      <c r="F3430" s="1" t="s">
        <v>4666</v>
      </c>
      <c r="G3430" s="1" t="s">
        <v>4667</v>
      </c>
      <c r="H3430" s="1" t="s">
        <v>141</v>
      </c>
      <c r="I3430" s="1" t="s">
        <v>65</v>
      </c>
      <c r="J3430" s="1">
        <v>3</v>
      </c>
      <c r="K3430" s="1" t="s">
        <v>142</v>
      </c>
      <c r="L3430" s="1" t="s">
        <v>153</v>
      </c>
      <c r="M3430" s="1" t="s">
        <v>1256</v>
      </c>
      <c r="N3430" s="1" t="str">
        <f>HYPERLINK("https://klocwork.india.ti.com:443/review/insight-review.html#issuedetails_goto:problemid=152394,project=MCU_PLUS_SDK_AM263X,searchquery=taxonomy:'C and C++' build:Build_Apr_13_2023_11_11_AM grouping:off ","KW Issue Link")</f>
        <v>KW Issue Link</v>
      </c>
      <c r="O3430" s="1" t="s">
        <v>1083</v>
      </c>
    </row>
    <row r="3431" spans="1:15" ht="60" x14ac:dyDescent="0.25">
      <c r="A3431" s="1" t="s">
        <v>1257</v>
      </c>
      <c r="B3431" s="1"/>
      <c r="C3431" s="1" t="s">
        <v>4653</v>
      </c>
      <c r="D3431" s="1">
        <v>152395</v>
      </c>
      <c r="E3431" s="1">
        <v>2026</v>
      </c>
      <c r="F3431" s="1" t="s">
        <v>4668</v>
      </c>
      <c r="G3431" s="1" t="s">
        <v>4669</v>
      </c>
      <c r="H3431" s="1" t="s">
        <v>141</v>
      </c>
      <c r="I3431" s="1" t="s">
        <v>65</v>
      </c>
      <c r="J3431" s="1">
        <v>3</v>
      </c>
      <c r="K3431" s="1" t="s">
        <v>142</v>
      </c>
      <c r="L3431" s="1" t="s">
        <v>153</v>
      </c>
      <c r="M3431" s="1" t="s">
        <v>1256</v>
      </c>
      <c r="N3431" s="1" t="str">
        <f>HYPERLINK("https://klocwork.india.ti.com:443/review/insight-review.html#issuedetails_goto:problemid=152395,project=MCU_PLUS_SDK_AM263X,searchquery=taxonomy:'C and C++' build:Build_Apr_13_2023_11_11_AM grouping:off ","KW Issue Link")</f>
        <v>KW Issue Link</v>
      </c>
      <c r="O3431" s="1" t="s">
        <v>1083</v>
      </c>
    </row>
    <row r="3432" spans="1:15" ht="60" x14ac:dyDescent="0.25">
      <c r="A3432" s="1" t="s">
        <v>1257</v>
      </c>
      <c r="B3432" s="1"/>
      <c r="C3432" s="1" t="s">
        <v>4653</v>
      </c>
      <c r="D3432" s="1">
        <v>152396</v>
      </c>
      <c r="E3432" s="1">
        <v>2219</v>
      </c>
      <c r="F3432" s="1" t="s">
        <v>4670</v>
      </c>
      <c r="G3432" s="1" t="s">
        <v>4671</v>
      </c>
      <c r="H3432" s="1" t="s">
        <v>141</v>
      </c>
      <c r="I3432" s="1" t="s">
        <v>65</v>
      </c>
      <c r="J3432" s="1">
        <v>3</v>
      </c>
      <c r="K3432" s="1" t="s">
        <v>142</v>
      </c>
      <c r="L3432" s="1" t="s">
        <v>153</v>
      </c>
      <c r="M3432" s="1" t="s">
        <v>1256</v>
      </c>
      <c r="N3432" s="1" t="str">
        <f>HYPERLINK("https://klocwork.india.ti.com:443/review/insight-review.html#issuedetails_goto:problemid=152396,project=MCU_PLUS_SDK_AM263X,searchquery=taxonomy:'C and C++' build:Build_Apr_13_2023_11_11_AM grouping:off ","KW Issue Link")</f>
        <v>KW Issue Link</v>
      </c>
      <c r="O3432" s="1" t="s">
        <v>1083</v>
      </c>
    </row>
    <row r="3433" spans="1:15" ht="60" x14ac:dyDescent="0.25">
      <c r="A3433" s="1" t="s">
        <v>1257</v>
      </c>
      <c r="B3433" s="1"/>
      <c r="C3433" s="1" t="s">
        <v>4653</v>
      </c>
      <c r="D3433" s="1">
        <v>152397</v>
      </c>
      <c r="E3433" s="1">
        <v>2462</v>
      </c>
      <c r="F3433" s="1" t="s">
        <v>4672</v>
      </c>
      <c r="G3433" s="1" t="s">
        <v>4673</v>
      </c>
      <c r="H3433" s="1" t="s">
        <v>141</v>
      </c>
      <c r="I3433" s="1" t="s">
        <v>65</v>
      </c>
      <c r="J3433" s="1">
        <v>3</v>
      </c>
      <c r="K3433" s="1" t="s">
        <v>142</v>
      </c>
      <c r="L3433" s="1" t="s">
        <v>153</v>
      </c>
      <c r="M3433" s="1" t="s">
        <v>1256</v>
      </c>
      <c r="N3433" s="1" t="str">
        <f>HYPERLINK("https://klocwork.india.ti.com:443/review/insight-review.html#issuedetails_goto:problemid=152397,project=MCU_PLUS_SDK_AM263X,searchquery=taxonomy:'C and C++' build:Build_Apr_13_2023_11_11_AM grouping:off ","KW Issue Link")</f>
        <v>KW Issue Link</v>
      </c>
      <c r="O3433" s="1" t="s">
        <v>1083</v>
      </c>
    </row>
    <row r="3434" spans="1:15" ht="60" x14ac:dyDescent="0.25">
      <c r="A3434" s="1" t="s">
        <v>1257</v>
      </c>
      <c r="B3434" s="1"/>
      <c r="C3434" s="1" t="s">
        <v>4653</v>
      </c>
      <c r="D3434" s="1">
        <v>152398</v>
      </c>
      <c r="E3434" s="1">
        <v>2542</v>
      </c>
      <c r="F3434" s="1" t="s">
        <v>4674</v>
      </c>
      <c r="G3434" s="1" t="s">
        <v>4675</v>
      </c>
      <c r="H3434" s="1" t="s">
        <v>141</v>
      </c>
      <c r="I3434" s="1" t="s">
        <v>65</v>
      </c>
      <c r="J3434" s="1">
        <v>3</v>
      </c>
      <c r="K3434" s="1" t="s">
        <v>142</v>
      </c>
      <c r="L3434" s="1" t="s">
        <v>153</v>
      </c>
      <c r="M3434" s="1" t="s">
        <v>1256</v>
      </c>
      <c r="N3434" s="1" t="str">
        <f>HYPERLINK("https://klocwork.india.ti.com:443/review/insight-review.html#issuedetails_goto:problemid=152398,project=MCU_PLUS_SDK_AM263X,searchquery=taxonomy:'C and C++' build:Build_Apr_13_2023_11_11_AM grouping:off ","KW Issue Link")</f>
        <v>KW Issue Link</v>
      </c>
      <c r="O3434" s="1" t="s">
        <v>1083</v>
      </c>
    </row>
    <row r="3435" spans="1:15" ht="60" x14ac:dyDescent="0.25">
      <c r="A3435" s="1" t="s">
        <v>1257</v>
      </c>
      <c r="B3435" s="1"/>
      <c r="C3435" s="1" t="s">
        <v>4653</v>
      </c>
      <c r="D3435" s="1">
        <v>152399</v>
      </c>
      <c r="E3435" s="1">
        <v>2689</v>
      </c>
      <c r="F3435" s="1" t="s">
        <v>4676</v>
      </c>
      <c r="G3435" s="1" t="s">
        <v>4677</v>
      </c>
      <c r="H3435" s="1" t="s">
        <v>141</v>
      </c>
      <c r="I3435" s="1" t="s">
        <v>65</v>
      </c>
      <c r="J3435" s="1">
        <v>3</v>
      </c>
      <c r="K3435" s="1" t="s">
        <v>142</v>
      </c>
      <c r="L3435" s="1" t="s">
        <v>153</v>
      </c>
      <c r="M3435" s="1" t="s">
        <v>1256</v>
      </c>
      <c r="N3435" s="1" t="str">
        <f>HYPERLINK("https://klocwork.india.ti.com:443/review/insight-review.html#issuedetails_goto:problemid=152399,project=MCU_PLUS_SDK_AM263X,searchquery=taxonomy:'C and C++' build:Build_Apr_13_2023_11_11_AM grouping:off ","KW Issue Link")</f>
        <v>KW Issue Link</v>
      </c>
      <c r="O3435" s="1" t="s">
        <v>1083</v>
      </c>
    </row>
    <row r="3436" spans="1:15" ht="60" x14ac:dyDescent="0.25">
      <c r="A3436" s="1" t="s">
        <v>1257</v>
      </c>
      <c r="B3436" s="1"/>
      <c r="C3436" s="1" t="s">
        <v>4653</v>
      </c>
      <c r="D3436" s="1">
        <v>152400</v>
      </c>
      <c r="E3436" s="1">
        <v>3024</v>
      </c>
      <c r="F3436" s="1" t="s">
        <v>4678</v>
      </c>
      <c r="G3436" s="1" t="s">
        <v>4679</v>
      </c>
      <c r="H3436" s="1" t="s">
        <v>141</v>
      </c>
      <c r="I3436" s="1" t="s">
        <v>65</v>
      </c>
      <c r="J3436" s="1">
        <v>3</v>
      </c>
      <c r="K3436" s="1" t="s">
        <v>142</v>
      </c>
      <c r="L3436" s="1" t="s">
        <v>153</v>
      </c>
      <c r="M3436" s="1" t="s">
        <v>1256</v>
      </c>
      <c r="N3436" s="1" t="str">
        <f>HYPERLINK("https://klocwork.india.ti.com:443/review/insight-review.html#issuedetails_goto:problemid=152400,project=MCU_PLUS_SDK_AM263X,searchquery=taxonomy:'C and C++' build:Build_Apr_13_2023_11_11_AM grouping:off ","KW Issue Link")</f>
        <v>KW Issue Link</v>
      </c>
      <c r="O3436" s="1" t="s">
        <v>1083</v>
      </c>
    </row>
    <row r="3437" spans="1:15" ht="60" x14ac:dyDescent="0.25">
      <c r="A3437" s="1" t="s">
        <v>1257</v>
      </c>
      <c r="B3437" s="1"/>
      <c r="C3437" s="1" t="s">
        <v>4653</v>
      </c>
      <c r="D3437" s="1">
        <v>152401</v>
      </c>
      <c r="E3437" s="1">
        <v>3237</v>
      </c>
      <c r="F3437" s="1" t="s">
        <v>4680</v>
      </c>
      <c r="G3437" s="1" t="s">
        <v>4681</v>
      </c>
      <c r="H3437" s="1" t="s">
        <v>141</v>
      </c>
      <c r="I3437" s="1" t="s">
        <v>65</v>
      </c>
      <c r="J3437" s="1">
        <v>3</v>
      </c>
      <c r="K3437" s="1" t="s">
        <v>142</v>
      </c>
      <c r="L3437" s="1" t="s">
        <v>153</v>
      </c>
      <c r="M3437" s="1" t="s">
        <v>1256</v>
      </c>
      <c r="N3437" s="1" t="str">
        <f>HYPERLINK("https://klocwork.india.ti.com:443/review/insight-review.html#issuedetails_goto:problemid=152401,project=MCU_PLUS_SDK_AM263X,searchquery=taxonomy:'C and C++' build:Build_Apr_13_2023_11_11_AM grouping:off ","KW Issue Link")</f>
        <v>KW Issue Link</v>
      </c>
      <c r="O3437" s="1" t="s">
        <v>1083</v>
      </c>
    </row>
    <row r="3438" spans="1:15" ht="60" x14ac:dyDescent="0.25">
      <c r="A3438" s="1" t="s">
        <v>1266</v>
      </c>
      <c r="B3438" s="1"/>
      <c r="C3438" s="1" t="s">
        <v>4653</v>
      </c>
      <c r="D3438" s="1">
        <v>152402</v>
      </c>
      <c r="E3438" s="1">
        <v>229</v>
      </c>
      <c r="F3438" s="1" t="s">
        <v>4682</v>
      </c>
      <c r="G3438" s="1" t="s">
        <v>4655</v>
      </c>
      <c r="H3438" s="1" t="s">
        <v>141</v>
      </c>
      <c r="I3438" s="1" t="s">
        <v>65</v>
      </c>
      <c r="J3438" s="1">
        <v>3</v>
      </c>
      <c r="K3438" s="1" t="s">
        <v>142</v>
      </c>
      <c r="L3438" s="1" t="s">
        <v>153</v>
      </c>
      <c r="M3438" s="1" t="s">
        <v>1256</v>
      </c>
      <c r="N3438" s="1" t="str">
        <f>HYPERLINK("https://klocwork.india.ti.com:443/review/insight-review.html#issuedetails_goto:problemid=152402,project=MCU_PLUS_SDK_AM263X,searchquery=taxonomy:'C and C++' build:Build_Apr_13_2023_11_11_AM grouping:off ","KW Issue Link")</f>
        <v>KW Issue Link</v>
      </c>
      <c r="O3438" s="1" t="s">
        <v>1083</v>
      </c>
    </row>
    <row r="3439" spans="1:15" ht="60" x14ac:dyDescent="0.25">
      <c r="A3439" s="1" t="s">
        <v>1266</v>
      </c>
      <c r="B3439" s="1"/>
      <c r="C3439" s="1" t="s">
        <v>4653</v>
      </c>
      <c r="D3439" s="1">
        <v>152403</v>
      </c>
      <c r="E3439" s="1">
        <v>570</v>
      </c>
      <c r="F3439" s="1" t="s">
        <v>4683</v>
      </c>
      <c r="G3439" s="1" t="s">
        <v>4657</v>
      </c>
      <c r="H3439" s="1" t="s">
        <v>141</v>
      </c>
      <c r="I3439" s="1" t="s">
        <v>65</v>
      </c>
      <c r="J3439" s="1">
        <v>3</v>
      </c>
      <c r="K3439" s="1" t="s">
        <v>142</v>
      </c>
      <c r="L3439" s="1" t="s">
        <v>153</v>
      </c>
      <c r="M3439" s="1" t="s">
        <v>1256</v>
      </c>
      <c r="N3439" s="1" t="str">
        <f>HYPERLINK("https://klocwork.india.ti.com:443/review/insight-review.html#issuedetails_goto:problemid=152403,project=MCU_PLUS_SDK_AM263X,searchquery=taxonomy:'C and C++' build:Build_Apr_13_2023_11_11_AM grouping:off ","KW Issue Link")</f>
        <v>KW Issue Link</v>
      </c>
      <c r="O3439" s="1" t="s">
        <v>1083</v>
      </c>
    </row>
    <row r="3440" spans="1:15" ht="60" x14ac:dyDescent="0.25">
      <c r="A3440" s="1" t="s">
        <v>1266</v>
      </c>
      <c r="B3440" s="1"/>
      <c r="C3440" s="1" t="s">
        <v>4653</v>
      </c>
      <c r="D3440" s="1">
        <v>152404</v>
      </c>
      <c r="E3440" s="1">
        <v>726</v>
      </c>
      <c r="F3440" s="1" t="s">
        <v>4684</v>
      </c>
      <c r="G3440" s="1" t="s">
        <v>4659</v>
      </c>
      <c r="H3440" s="1" t="s">
        <v>141</v>
      </c>
      <c r="I3440" s="1" t="s">
        <v>65</v>
      </c>
      <c r="J3440" s="1">
        <v>3</v>
      </c>
      <c r="K3440" s="1" t="s">
        <v>142</v>
      </c>
      <c r="L3440" s="1" t="s">
        <v>153</v>
      </c>
      <c r="M3440" s="1" t="s">
        <v>1256</v>
      </c>
      <c r="N3440" s="1" t="str">
        <f>HYPERLINK("https://klocwork.india.ti.com:443/review/insight-review.html#issuedetails_goto:problemid=152404,project=MCU_PLUS_SDK_AM263X,searchquery=taxonomy:'C and C++' build:Build_Apr_13_2023_11_11_AM grouping:off ","KW Issue Link")</f>
        <v>KW Issue Link</v>
      </c>
      <c r="O3440" s="1" t="s">
        <v>1083</v>
      </c>
    </row>
    <row r="3441" spans="1:15" ht="60" x14ac:dyDescent="0.25">
      <c r="A3441" s="1" t="s">
        <v>1266</v>
      </c>
      <c r="B3441" s="1"/>
      <c r="C3441" s="1" t="s">
        <v>4653</v>
      </c>
      <c r="D3441" s="1">
        <v>152405</v>
      </c>
      <c r="E3441" s="1">
        <v>858</v>
      </c>
      <c r="F3441" s="1" t="s">
        <v>4685</v>
      </c>
      <c r="G3441" s="1" t="s">
        <v>4661</v>
      </c>
      <c r="H3441" s="1" t="s">
        <v>141</v>
      </c>
      <c r="I3441" s="1" t="s">
        <v>65</v>
      </c>
      <c r="J3441" s="1">
        <v>3</v>
      </c>
      <c r="K3441" s="1" t="s">
        <v>142</v>
      </c>
      <c r="L3441" s="1" t="s">
        <v>153</v>
      </c>
      <c r="M3441" s="1" t="s">
        <v>1256</v>
      </c>
      <c r="N3441" s="1" t="str">
        <f>HYPERLINK("https://klocwork.india.ti.com:443/review/insight-review.html#issuedetails_goto:problemid=152405,project=MCU_PLUS_SDK_AM263X,searchquery=taxonomy:'C and C++' build:Build_Apr_13_2023_11_11_AM grouping:off ","KW Issue Link")</f>
        <v>KW Issue Link</v>
      </c>
      <c r="O3441" s="1" t="s">
        <v>1083</v>
      </c>
    </row>
    <row r="3442" spans="1:15" ht="60" x14ac:dyDescent="0.25">
      <c r="A3442" s="1" t="s">
        <v>1266</v>
      </c>
      <c r="B3442" s="1"/>
      <c r="C3442" s="1" t="s">
        <v>4653</v>
      </c>
      <c r="D3442" s="1">
        <v>152406</v>
      </c>
      <c r="E3442" s="1">
        <v>1291</v>
      </c>
      <c r="F3442" s="1" t="s">
        <v>4686</v>
      </c>
      <c r="G3442" s="1" t="s">
        <v>4663</v>
      </c>
      <c r="H3442" s="1" t="s">
        <v>141</v>
      </c>
      <c r="I3442" s="1" t="s">
        <v>65</v>
      </c>
      <c r="J3442" s="1">
        <v>3</v>
      </c>
      <c r="K3442" s="1" t="s">
        <v>142</v>
      </c>
      <c r="L3442" s="1" t="s">
        <v>153</v>
      </c>
      <c r="M3442" s="1" t="s">
        <v>1256</v>
      </c>
      <c r="N3442" s="1" t="str">
        <f>HYPERLINK("https://klocwork.india.ti.com:443/review/insight-review.html#issuedetails_goto:problemid=152406,project=MCU_PLUS_SDK_AM263X,searchquery=taxonomy:'C and C++' build:Build_Apr_13_2023_11_11_AM grouping:off ","KW Issue Link")</f>
        <v>KW Issue Link</v>
      </c>
      <c r="O3442" s="1" t="s">
        <v>1083</v>
      </c>
    </row>
    <row r="3443" spans="1:15" ht="60" x14ac:dyDescent="0.25">
      <c r="A3443" s="1" t="s">
        <v>1266</v>
      </c>
      <c r="B3443" s="1"/>
      <c r="C3443" s="1" t="s">
        <v>4653</v>
      </c>
      <c r="D3443" s="1">
        <v>152407</v>
      </c>
      <c r="E3443" s="1">
        <v>1732</v>
      </c>
      <c r="F3443" s="1" t="s">
        <v>4687</v>
      </c>
      <c r="G3443" s="1" t="s">
        <v>4665</v>
      </c>
      <c r="H3443" s="1" t="s">
        <v>141</v>
      </c>
      <c r="I3443" s="1" t="s">
        <v>65</v>
      </c>
      <c r="J3443" s="1">
        <v>3</v>
      </c>
      <c r="K3443" s="1" t="s">
        <v>142</v>
      </c>
      <c r="L3443" s="1" t="s">
        <v>153</v>
      </c>
      <c r="M3443" s="1" t="s">
        <v>1256</v>
      </c>
      <c r="N3443" s="1" t="str">
        <f>HYPERLINK("https://klocwork.india.ti.com:443/review/insight-review.html#issuedetails_goto:problemid=152407,project=MCU_PLUS_SDK_AM263X,searchquery=taxonomy:'C and C++' build:Build_Apr_13_2023_11_11_AM grouping:off ","KW Issue Link")</f>
        <v>KW Issue Link</v>
      </c>
      <c r="O3443" s="1" t="s">
        <v>1083</v>
      </c>
    </row>
    <row r="3444" spans="1:15" ht="60" x14ac:dyDescent="0.25">
      <c r="A3444" s="1" t="s">
        <v>1266</v>
      </c>
      <c r="B3444" s="1"/>
      <c r="C3444" s="1" t="s">
        <v>4653</v>
      </c>
      <c r="D3444" s="1">
        <v>152408</v>
      </c>
      <c r="E3444" s="1">
        <v>2219</v>
      </c>
      <c r="F3444" s="1" t="s">
        <v>4688</v>
      </c>
      <c r="G3444" s="1" t="s">
        <v>4671</v>
      </c>
      <c r="H3444" s="1" t="s">
        <v>141</v>
      </c>
      <c r="I3444" s="1" t="s">
        <v>65</v>
      </c>
      <c r="J3444" s="1">
        <v>3</v>
      </c>
      <c r="K3444" s="1" t="s">
        <v>142</v>
      </c>
      <c r="L3444" s="1" t="s">
        <v>153</v>
      </c>
      <c r="M3444" s="1" t="s">
        <v>1256</v>
      </c>
      <c r="N3444" s="1" t="str">
        <f>HYPERLINK("https://klocwork.india.ti.com:443/review/insight-review.html#issuedetails_goto:problemid=152408,project=MCU_PLUS_SDK_AM263X,searchquery=taxonomy:'C and C++' build:Build_Apr_13_2023_11_11_AM grouping:off ","KW Issue Link")</f>
        <v>KW Issue Link</v>
      </c>
      <c r="O3444" s="1" t="s">
        <v>1083</v>
      </c>
    </row>
    <row r="3445" spans="1:15" ht="60" x14ac:dyDescent="0.25">
      <c r="A3445" s="1" t="s">
        <v>1266</v>
      </c>
      <c r="B3445" s="1"/>
      <c r="C3445" s="1" t="s">
        <v>4653</v>
      </c>
      <c r="D3445" s="1">
        <v>152409</v>
      </c>
      <c r="E3445" s="1">
        <v>2542</v>
      </c>
      <c r="F3445" s="1" t="s">
        <v>4689</v>
      </c>
      <c r="G3445" s="1" t="s">
        <v>4675</v>
      </c>
      <c r="H3445" s="1" t="s">
        <v>141</v>
      </c>
      <c r="I3445" s="1" t="s">
        <v>65</v>
      </c>
      <c r="J3445" s="1">
        <v>3</v>
      </c>
      <c r="K3445" s="1" t="s">
        <v>142</v>
      </c>
      <c r="L3445" s="1" t="s">
        <v>153</v>
      </c>
      <c r="M3445" s="1" t="s">
        <v>1256</v>
      </c>
      <c r="N3445" s="1" t="str">
        <f>HYPERLINK("https://klocwork.india.ti.com:443/review/insight-review.html#issuedetails_goto:problemid=152409,project=MCU_PLUS_SDK_AM263X,searchquery=taxonomy:'C and C++' build:Build_Apr_13_2023_11_11_AM grouping:off ","KW Issue Link")</f>
        <v>KW Issue Link</v>
      </c>
      <c r="O3445" s="1" t="s">
        <v>1083</v>
      </c>
    </row>
    <row r="3446" spans="1:15" ht="60" x14ac:dyDescent="0.25">
      <c r="A3446" s="1" t="s">
        <v>1266</v>
      </c>
      <c r="B3446" s="1"/>
      <c r="C3446" s="1" t="s">
        <v>4653</v>
      </c>
      <c r="D3446" s="1">
        <v>152410</v>
      </c>
      <c r="E3446" s="1">
        <v>3024</v>
      </c>
      <c r="F3446" s="1" t="s">
        <v>4690</v>
      </c>
      <c r="G3446" s="1" t="s">
        <v>4679</v>
      </c>
      <c r="H3446" s="1" t="s">
        <v>141</v>
      </c>
      <c r="I3446" s="1" t="s">
        <v>65</v>
      </c>
      <c r="J3446" s="1">
        <v>3</v>
      </c>
      <c r="K3446" s="1" t="s">
        <v>142</v>
      </c>
      <c r="L3446" s="1" t="s">
        <v>153</v>
      </c>
      <c r="M3446" s="1" t="s">
        <v>1256</v>
      </c>
      <c r="N3446" s="1" t="str">
        <f>HYPERLINK("https://klocwork.india.ti.com:443/review/insight-review.html#issuedetails_goto:problemid=152410,project=MCU_PLUS_SDK_AM263X,searchquery=taxonomy:'C and C++' build:Build_Apr_13_2023_11_11_AM grouping:off ","KW Issue Link")</f>
        <v>KW Issue Link</v>
      </c>
      <c r="O3446" s="1" t="s">
        <v>1083</v>
      </c>
    </row>
    <row r="3447" spans="1:15" ht="60" x14ac:dyDescent="0.25">
      <c r="A3447" s="1" t="s">
        <v>1268</v>
      </c>
      <c r="B3447" s="1"/>
      <c r="C3447" s="1" t="s">
        <v>4653</v>
      </c>
      <c r="D3447" s="1">
        <v>152411</v>
      </c>
      <c r="E3447" s="1">
        <v>229</v>
      </c>
      <c r="F3447" s="1" t="s">
        <v>4691</v>
      </c>
      <c r="G3447" s="1" t="s">
        <v>4655</v>
      </c>
      <c r="H3447" s="1" t="s">
        <v>141</v>
      </c>
      <c r="I3447" s="1" t="s">
        <v>65</v>
      </c>
      <c r="J3447" s="1">
        <v>3</v>
      </c>
      <c r="K3447" s="1" t="s">
        <v>142</v>
      </c>
      <c r="L3447" s="1" t="s">
        <v>153</v>
      </c>
      <c r="M3447" s="1" t="s">
        <v>1256</v>
      </c>
      <c r="N3447" s="1" t="str">
        <f>HYPERLINK("https://klocwork.india.ti.com:443/review/insight-review.html#issuedetails_goto:problemid=152411,project=MCU_PLUS_SDK_AM263X,searchquery=taxonomy:'C and C++' build:Build_Apr_13_2023_11_11_AM grouping:off ","KW Issue Link")</f>
        <v>KW Issue Link</v>
      </c>
      <c r="O3447" s="1" t="s">
        <v>1083</v>
      </c>
    </row>
    <row r="3448" spans="1:15" ht="60" x14ac:dyDescent="0.25">
      <c r="A3448" s="1" t="s">
        <v>1268</v>
      </c>
      <c r="B3448" s="1"/>
      <c r="C3448" s="1" t="s">
        <v>4653</v>
      </c>
      <c r="D3448" s="1">
        <v>152412</v>
      </c>
      <c r="E3448" s="1">
        <v>726</v>
      </c>
      <c r="F3448" s="1" t="s">
        <v>4692</v>
      </c>
      <c r="G3448" s="1" t="s">
        <v>4659</v>
      </c>
      <c r="H3448" s="1" t="s">
        <v>141</v>
      </c>
      <c r="I3448" s="1" t="s">
        <v>65</v>
      </c>
      <c r="J3448" s="1">
        <v>3</v>
      </c>
      <c r="K3448" s="1" t="s">
        <v>142</v>
      </c>
      <c r="L3448" s="1" t="s">
        <v>153</v>
      </c>
      <c r="M3448" s="1" t="s">
        <v>1256</v>
      </c>
      <c r="N3448" s="1" t="str">
        <f>HYPERLINK("https://klocwork.india.ti.com:443/review/insight-review.html#issuedetails_goto:problemid=152412,project=MCU_PLUS_SDK_AM263X,searchquery=taxonomy:'C and C++' build:Build_Apr_13_2023_11_11_AM grouping:off ","KW Issue Link")</f>
        <v>KW Issue Link</v>
      </c>
      <c r="O3448" s="1" t="s">
        <v>1083</v>
      </c>
    </row>
    <row r="3449" spans="1:15" ht="60" x14ac:dyDescent="0.25">
      <c r="A3449" s="1" t="s">
        <v>1268</v>
      </c>
      <c r="B3449" s="1"/>
      <c r="C3449" s="1" t="s">
        <v>4653</v>
      </c>
      <c r="D3449" s="1">
        <v>152413</v>
      </c>
      <c r="E3449" s="1">
        <v>858</v>
      </c>
      <c r="F3449" s="1" t="s">
        <v>4693</v>
      </c>
      <c r="G3449" s="1" t="s">
        <v>4661</v>
      </c>
      <c r="H3449" s="1" t="s">
        <v>141</v>
      </c>
      <c r="I3449" s="1" t="s">
        <v>65</v>
      </c>
      <c r="J3449" s="1">
        <v>3</v>
      </c>
      <c r="K3449" s="1" t="s">
        <v>142</v>
      </c>
      <c r="L3449" s="1" t="s">
        <v>153</v>
      </c>
      <c r="M3449" s="1" t="s">
        <v>1256</v>
      </c>
      <c r="N3449" s="1" t="str">
        <f>HYPERLINK("https://klocwork.india.ti.com:443/review/insight-review.html#issuedetails_goto:problemid=152413,project=MCU_PLUS_SDK_AM263X,searchquery=taxonomy:'C and C++' build:Build_Apr_13_2023_11_11_AM grouping:off ","KW Issue Link")</f>
        <v>KW Issue Link</v>
      </c>
      <c r="O3449" s="1" t="s">
        <v>1083</v>
      </c>
    </row>
    <row r="3450" spans="1:15" ht="60" x14ac:dyDescent="0.25">
      <c r="A3450" s="1" t="s">
        <v>1268</v>
      </c>
      <c r="B3450" s="1"/>
      <c r="C3450" s="1" t="s">
        <v>4653</v>
      </c>
      <c r="D3450" s="1">
        <v>152414</v>
      </c>
      <c r="E3450" s="1">
        <v>1291</v>
      </c>
      <c r="F3450" s="1" t="s">
        <v>4694</v>
      </c>
      <c r="G3450" s="1" t="s">
        <v>4663</v>
      </c>
      <c r="H3450" s="1" t="s">
        <v>141</v>
      </c>
      <c r="I3450" s="1" t="s">
        <v>65</v>
      </c>
      <c r="J3450" s="1">
        <v>3</v>
      </c>
      <c r="K3450" s="1" t="s">
        <v>142</v>
      </c>
      <c r="L3450" s="1" t="s">
        <v>153</v>
      </c>
      <c r="M3450" s="1" t="s">
        <v>1256</v>
      </c>
      <c r="N3450" s="1" t="str">
        <f>HYPERLINK("https://klocwork.india.ti.com:443/review/insight-review.html#issuedetails_goto:problemid=152414,project=MCU_PLUS_SDK_AM263X,searchquery=taxonomy:'C and C++' build:Build_Apr_13_2023_11_11_AM grouping:off ","KW Issue Link")</f>
        <v>KW Issue Link</v>
      </c>
      <c r="O3450" s="1" t="s">
        <v>1083</v>
      </c>
    </row>
    <row r="3451" spans="1:15" ht="60" x14ac:dyDescent="0.25">
      <c r="A3451" s="1" t="s">
        <v>1268</v>
      </c>
      <c r="B3451" s="1"/>
      <c r="C3451" s="1" t="s">
        <v>4653</v>
      </c>
      <c r="D3451" s="1">
        <v>152415</v>
      </c>
      <c r="E3451" s="1">
        <v>1732</v>
      </c>
      <c r="F3451" s="1" t="s">
        <v>4695</v>
      </c>
      <c r="G3451" s="1" t="s">
        <v>4665</v>
      </c>
      <c r="H3451" s="1" t="s">
        <v>141</v>
      </c>
      <c r="I3451" s="1" t="s">
        <v>65</v>
      </c>
      <c r="J3451" s="1">
        <v>3</v>
      </c>
      <c r="K3451" s="1" t="s">
        <v>142</v>
      </c>
      <c r="L3451" s="1" t="s">
        <v>153</v>
      </c>
      <c r="M3451" s="1" t="s">
        <v>1256</v>
      </c>
      <c r="N3451" s="1" t="str">
        <f>HYPERLINK("https://klocwork.india.ti.com:443/review/insight-review.html#issuedetails_goto:problemid=152415,project=MCU_PLUS_SDK_AM263X,searchquery=taxonomy:'C and C++' build:Build_Apr_13_2023_11_11_AM grouping:off ","KW Issue Link")</f>
        <v>KW Issue Link</v>
      </c>
      <c r="O3451" s="1" t="s">
        <v>1083</v>
      </c>
    </row>
    <row r="3452" spans="1:15" ht="60" x14ac:dyDescent="0.25">
      <c r="A3452" s="1" t="s">
        <v>1268</v>
      </c>
      <c r="B3452" s="1"/>
      <c r="C3452" s="1" t="s">
        <v>4653</v>
      </c>
      <c r="D3452" s="1">
        <v>152416</v>
      </c>
      <c r="E3452" s="1">
        <v>2219</v>
      </c>
      <c r="F3452" s="1" t="s">
        <v>4696</v>
      </c>
      <c r="G3452" s="1" t="s">
        <v>4671</v>
      </c>
      <c r="H3452" s="1" t="s">
        <v>141</v>
      </c>
      <c r="I3452" s="1" t="s">
        <v>65</v>
      </c>
      <c r="J3452" s="1">
        <v>3</v>
      </c>
      <c r="K3452" s="1" t="s">
        <v>142</v>
      </c>
      <c r="L3452" s="1" t="s">
        <v>153</v>
      </c>
      <c r="M3452" s="1" t="s">
        <v>1256</v>
      </c>
      <c r="N3452" s="1" t="str">
        <f>HYPERLINK("https://klocwork.india.ti.com:443/review/insight-review.html#issuedetails_goto:problemid=152416,project=MCU_PLUS_SDK_AM263X,searchquery=taxonomy:'C and C++' build:Build_Apr_13_2023_11_11_AM grouping:off ","KW Issue Link")</f>
        <v>KW Issue Link</v>
      </c>
      <c r="O3452" s="1" t="s">
        <v>1083</v>
      </c>
    </row>
    <row r="3453" spans="1:15" ht="60" x14ac:dyDescent="0.25">
      <c r="A3453" s="1" t="s">
        <v>1268</v>
      </c>
      <c r="B3453" s="1"/>
      <c r="C3453" s="1" t="s">
        <v>4653</v>
      </c>
      <c r="D3453" s="1">
        <v>152417</v>
      </c>
      <c r="E3453" s="1">
        <v>3024</v>
      </c>
      <c r="F3453" s="1" t="s">
        <v>4697</v>
      </c>
      <c r="G3453" s="1" t="s">
        <v>4679</v>
      </c>
      <c r="H3453" s="1" t="s">
        <v>141</v>
      </c>
      <c r="I3453" s="1" t="s">
        <v>65</v>
      </c>
      <c r="J3453" s="1">
        <v>3</v>
      </c>
      <c r="K3453" s="1" t="s">
        <v>142</v>
      </c>
      <c r="L3453" s="1" t="s">
        <v>153</v>
      </c>
      <c r="M3453" s="1" t="s">
        <v>1256</v>
      </c>
      <c r="N3453" s="1" t="str">
        <f>HYPERLINK("https://klocwork.india.ti.com:443/review/insight-review.html#issuedetails_goto:problemid=152417,project=MCU_PLUS_SDK_AM263X,searchquery=taxonomy:'C and C++' build:Build_Apr_13_2023_11_11_AM grouping:off ","KW Issue Link")</f>
        <v>KW Issue Link</v>
      </c>
      <c r="O3453" s="1" t="s">
        <v>1083</v>
      </c>
    </row>
    <row r="3454" spans="1:15" ht="60" x14ac:dyDescent="0.25">
      <c r="A3454" s="1" t="s">
        <v>4698</v>
      </c>
      <c r="B3454" s="1"/>
      <c r="C3454" s="1" t="s">
        <v>4653</v>
      </c>
      <c r="D3454" s="1">
        <v>152433</v>
      </c>
      <c r="E3454" s="1">
        <v>296</v>
      </c>
      <c r="F3454" s="1" t="s">
        <v>4699</v>
      </c>
      <c r="G3454" s="1" t="s">
        <v>4655</v>
      </c>
      <c r="H3454" s="1" t="s">
        <v>141</v>
      </c>
      <c r="I3454" s="1" t="s">
        <v>63</v>
      </c>
      <c r="J3454" s="1">
        <v>1</v>
      </c>
      <c r="K3454" s="1" t="s">
        <v>142</v>
      </c>
      <c r="L3454" s="1" t="s">
        <v>153</v>
      </c>
      <c r="M3454" s="1" t="s">
        <v>28</v>
      </c>
      <c r="N3454" s="1" t="str">
        <f>HYPERLINK("https://klocwork.india.ti.com:443/review/insight-review.html#issuedetails_goto:problemid=152433,project=MCU_PLUS_SDK_AM263X,searchquery=taxonomy:'C and C++' build:Build_Apr_13_2023_11_11_AM grouping:off ","KW Issue Link")</f>
        <v>KW Issue Link</v>
      </c>
      <c r="O3454" s="1" t="s">
        <v>1083</v>
      </c>
    </row>
    <row r="3455" spans="1:15" ht="60" x14ac:dyDescent="0.25">
      <c r="A3455" s="1" t="s">
        <v>4698</v>
      </c>
      <c r="B3455" s="1"/>
      <c r="C3455" s="1" t="s">
        <v>4653</v>
      </c>
      <c r="D3455" s="1">
        <v>152434</v>
      </c>
      <c r="E3455" s="1">
        <v>2976</v>
      </c>
      <c r="F3455" s="1" t="s">
        <v>4699</v>
      </c>
      <c r="G3455" s="1" t="s">
        <v>4700</v>
      </c>
      <c r="H3455" s="1" t="s">
        <v>141</v>
      </c>
      <c r="I3455" s="1" t="s">
        <v>63</v>
      </c>
      <c r="J3455" s="1">
        <v>1</v>
      </c>
      <c r="K3455" s="1" t="s">
        <v>142</v>
      </c>
      <c r="L3455" s="1" t="s">
        <v>153</v>
      </c>
      <c r="M3455" s="1" t="s">
        <v>28</v>
      </c>
      <c r="N3455" s="1" t="str">
        <f>HYPERLINK("https://klocwork.india.ti.com:443/review/insight-review.html#issuedetails_goto:problemid=152434,project=MCU_PLUS_SDK_AM263X,searchquery=taxonomy:'C and C++' build:Build_Apr_13_2023_11_11_AM grouping:off ","KW Issue Link")</f>
        <v>KW Issue Link</v>
      </c>
      <c r="O3455" s="1" t="s">
        <v>1083</v>
      </c>
    </row>
    <row r="3456" spans="1:15" ht="60" x14ac:dyDescent="0.25">
      <c r="A3456" s="1" t="s">
        <v>327</v>
      </c>
      <c r="B3456" s="1"/>
      <c r="C3456" s="1" t="s">
        <v>4653</v>
      </c>
      <c r="D3456" s="1">
        <v>152462</v>
      </c>
      <c r="E3456" s="1">
        <v>320</v>
      </c>
      <c r="F3456" s="1" t="s">
        <v>4701</v>
      </c>
      <c r="G3456" s="1" t="s">
        <v>4655</v>
      </c>
      <c r="H3456" s="1" t="s">
        <v>141</v>
      </c>
      <c r="I3456" s="1" t="s">
        <v>63</v>
      </c>
      <c r="J3456" s="1">
        <v>1</v>
      </c>
      <c r="K3456" s="1" t="s">
        <v>142</v>
      </c>
      <c r="L3456" s="1" t="s">
        <v>153</v>
      </c>
      <c r="M3456" s="1" t="s">
        <v>28</v>
      </c>
      <c r="N3456" s="1" t="str">
        <f>HYPERLINK("https://klocwork.india.ti.com:443/review/insight-review.html#issuedetails_goto:problemid=152462,project=MCU_PLUS_SDK_AM263X,searchquery=taxonomy:'C and C++' build:Build_Apr_13_2023_11_11_AM grouping:off ","KW Issue Link")</f>
        <v>KW Issue Link</v>
      </c>
      <c r="O3456" s="1" t="s">
        <v>1083</v>
      </c>
    </row>
    <row r="3457" spans="1:15" ht="60" x14ac:dyDescent="0.25">
      <c r="A3457" s="1" t="s">
        <v>136</v>
      </c>
      <c r="B3457" s="1"/>
      <c r="C3457" s="1" t="s">
        <v>4653</v>
      </c>
      <c r="D3457" s="1">
        <v>152463</v>
      </c>
      <c r="E3457" s="1">
        <v>352</v>
      </c>
      <c r="F3457" s="1" t="s">
        <v>4702</v>
      </c>
      <c r="G3457" s="1" t="s">
        <v>4655</v>
      </c>
      <c r="H3457" s="1" t="s">
        <v>141</v>
      </c>
      <c r="I3457" s="1" t="s">
        <v>66</v>
      </c>
      <c r="J3457" s="1">
        <v>4</v>
      </c>
      <c r="K3457" s="1" t="s">
        <v>142</v>
      </c>
      <c r="L3457" s="1" t="s">
        <v>153</v>
      </c>
      <c r="M3457" s="1" t="s">
        <v>28</v>
      </c>
      <c r="N3457" s="1" t="str">
        <f>HYPERLINK("https://klocwork.india.ti.com:443/review/insight-review.html#issuedetails_goto:problemid=152463,project=MCU_PLUS_SDK_AM263X,searchquery=taxonomy:'C and C++' build:Build_Apr_13_2023_11_11_AM grouping:off ","KW Issue Link")</f>
        <v>KW Issue Link</v>
      </c>
      <c r="O3457" s="1" t="s">
        <v>1083</v>
      </c>
    </row>
    <row r="3458" spans="1:15" ht="60" x14ac:dyDescent="0.25">
      <c r="A3458" s="1" t="s">
        <v>136</v>
      </c>
      <c r="B3458" s="1"/>
      <c r="C3458" s="1" t="s">
        <v>4653</v>
      </c>
      <c r="D3458" s="1">
        <v>152464</v>
      </c>
      <c r="E3458" s="1">
        <v>2479</v>
      </c>
      <c r="F3458" s="1" t="s">
        <v>4703</v>
      </c>
      <c r="G3458" s="1" t="s">
        <v>4673</v>
      </c>
      <c r="H3458" s="1" t="s">
        <v>141</v>
      </c>
      <c r="I3458" s="1" t="s">
        <v>66</v>
      </c>
      <c r="J3458" s="1">
        <v>4</v>
      </c>
      <c r="K3458" s="1" t="s">
        <v>142</v>
      </c>
      <c r="L3458" s="1" t="s">
        <v>153</v>
      </c>
      <c r="M3458" s="1" t="s">
        <v>28</v>
      </c>
      <c r="N3458" s="1" t="str">
        <f>HYPERLINK("https://klocwork.india.ti.com:443/review/insight-review.html#issuedetails_goto:problemid=152464,project=MCU_PLUS_SDK_AM263X,searchquery=taxonomy:'C and C++' build:Build_Apr_13_2023_11_11_AM grouping:off ","KW Issue Link")</f>
        <v>KW Issue Link</v>
      </c>
      <c r="O3458" s="1" t="s">
        <v>1083</v>
      </c>
    </row>
    <row r="3459" spans="1:15" ht="60" x14ac:dyDescent="0.25">
      <c r="A3459" s="1" t="s">
        <v>136</v>
      </c>
      <c r="B3459" s="1"/>
      <c r="C3459" s="1" t="s">
        <v>4653</v>
      </c>
      <c r="D3459" s="1">
        <v>152465</v>
      </c>
      <c r="E3459" s="1">
        <v>3254</v>
      </c>
      <c r="F3459" s="1" t="s">
        <v>4704</v>
      </c>
      <c r="G3459" s="1" t="s">
        <v>4681</v>
      </c>
      <c r="H3459" s="1" t="s">
        <v>141</v>
      </c>
      <c r="I3459" s="1" t="s">
        <v>66</v>
      </c>
      <c r="J3459" s="1">
        <v>4</v>
      </c>
      <c r="K3459" s="1" t="s">
        <v>142</v>
      </c>
      <c r="L3459" s="1" t="s">
        <v>153</v>
      </c>
      <c r="M3459" s="1" t="s">
        <v>28</v>
      </c>
      <c r="N3459" s="1" t="str">
        <f>HYPERLINK("https://klocwork.india.ti.com:443/review/insight-review.html#issuedetails_goto:problemid=152465,project=MCU_PLUS_SDK_AM263X,searchquery=taxonomy:'C and C++' build:Build_Apr_13_2023_11_11_AM grouping:off ","KW Issue Link")</f>
        <v>KW Issue Link</v>
      </c>
      <c r="O3459" s="1" t="s">
        <v>1083</v>
      </c>
    </row>
    <row r="3460" spans="1:15" ht="135" x14ac:dyDescent="0.25">
      <c r="A3460" s="1" t="s">
        <v>459</v>
      </c>
      <c r="B3460" s="1"/>
      <c r="C3460" s="1" t="s">
        <v>4653</v>
      </c>
      <c r="D3460" s="1">
        <v>152495</v>
      </c>
      <c r="E3460" s="1">
        <v>1060</v>
      </c>
      <c r="F3460" s="1" t="s">
        <v>4705</v>
      </c>
      <c r="G3460" s="1" t="s">
        <v>4661</v>
      </c>
      <c r="H3460" s="1" t="s">
        <v>141</v>
      </c>
      <c r="I3460" s="1" t="s">
        <v>63</v>
      </c>
      <c r="J3460" s="1">
        <v>1</v>
      </c>
      <c r="K3460" s="1" t="s">
        <v>142</v>
      </c>
      <c r="L3460" s="1" t="s">
        <v>153</v>
      </c>
      <c r="M3460" s="1" t="s">
        <v>28</v>
      </c>
      <c r="N3460" s="1" t="str">
        <f>HYPERLINK("https://klocwork.india.ti.com:443/review/insight-review.html#issuedetails_goto:problemid=152495,project=MCU_PLUS_SDK_AM263X,searchquery=taxonomy:'C and C++' build:Build_Apr_13_2023_11_11_AM grouping:off ","KW Issue Link")</f>
        <v>KW Issue Link</v>
      </c>
      <c r="O3460" s="1" t="s">
        <v>1083</v>
      </c>
    </row>
    <row r="3461" spans="1:15" ht="105" x14ac:dyDescent="0.25">
      <c r="A3461" s="1" t="s">
        <v>149</v>
      </c>
      <c r="B3461" s="1"/>
      <c r="C3461" s="1" t="s">
        <v>4653</v>
      </c>
      <c r="D3461" s="1">
        <v>152496</v>
      </c>
      <c r="E3461" s="1">
        <v>1211</v>
      </c>
      <c r="F3461" s="1" t="s">
        <v>4706</v>
      </c>
      <c r="G3461" s="1" t="s">
        <v>4707</v>
      </c>
      <c r="H3461" s="1" t="s">
        <v>141</v>
      </c>
      <c r="I3461" s="1" t="s">
        <v>65</v>
      </c>
      <c r="J3461" s="1">
        <v>3</v>
      </c>
      <c r="K3461" s="1" t="s">
        <v>142</v>
      </c>
      <c r="L3461" s="1" t="s">
        <v>153</v>
      </c>
      <c r="M3461" s="1" t="s">
        <v>28</v>
      </c>
      <c r="N3461" s="1" t="str">
        <f>HYPERLINK("https://klocwork.india.ti.com:443/review/insight-review.html#issuedetails_goto:problemid=152496,project=MCU_PLUS_SDK_AM263X,searchquery=taxonomy:'C and C++' build:Build_Apr_13_2023_11_11_AM grouping:off ","KW Issue Link")</f>
        <v>KW Issue Link</v>
      </c>
      <c r="O3461" s="1" t="s">
        <v>1083</v>
      </c>
    </row>
    <row r="3462" spans="1:15" ht="90" x14ac:dyDescent="0.25">
      <c r="A3462" s="1" t="s">
        <v>149</v>
      </c>
      <c r="B3462" s="1"/>
      <c r="C3462" s="1" t="s">
        <v>4653</v>
      </c>
      <c r="D3462" s="1">
        <v>152497</v>
      </c>
      <c r="E3462" s="1">
        <v>3272</v>
      </c>
      <c r="F3462" s="1" t="s">
        <v>4708</v>
      </c>
      <c r="G3462" s="1" t="s">
        <v>4681</v>
      </c>
      <c r="H3462" s="1" t="s">
        <v>141</v>
      </c>
      <c r="I3462" s="1" t="s">
        <v>65</v>
      </c>
      <c r="J3462" s="1">
        <v>3</v>
      </c>
      <c r="K3462" s="1" t="s">
        <v>142</v>
      </c>
      <c r="L3462" s="1" t="s">
        <v>153</v>
      </c>
      <c r="M3462" s="1" t="s">
        <v>28</v>
      </c>
      <c r="N3462" s="1" t="str">
        <f>HYPERLINK("https://klocwork.india.ti.com:443/review/insight-review.html#issuedetails_goto:problemid=152497,project=MCU_PLUS_SDK_AM263X,searchquery=taxonomy:'C and C++' build:Build_Apr_13_2023_11_11_AM grouping:off ","KW Issue Link")</f>
        <v>KW Issue Link</v>
      </c>
      <c r="O3462" s="1" t="s">
        <v>1083</v>
      </c>
    </row>
    <row r="3463" spans="1:15" ht="60" x14ac:dyDescent="0.25">
      <c r="A3463" s="1" t="s">
        <v>155</v>
      </c>
      <c r="B3463" s="1"/>
      <c r="C3463" s="1" t="s">
        <v>4653</v>
      </c>
      <c r="D3463" s="1">
        <v>152498</v>
      </c>
      <c r="E3463" s="1">
        <v>1213</v>
      </c>
      <c r="F3463" s="1" t="s">
        <v>156</v>
      </c>
      <c r="G3463" s="1" t="s">
        <v>4707</v>
      </c>
      <c r="H3463" s="1" t="s">
        <v>141</v>
      </c>
      <c r="I3463" s="1" t="s">
        <v>65</v>
      </c>
      <c r="J3463" s="1">
        <v>3</v>
      </c>
      <c r="K3463" s="1" t="s">
        <v>142</v>
      </c>
      <c r="L3463" s="1" t="s">
        <v>153</v>
      </c>
      <c r="M3463" s="1" t="s">
        <v>28</v>
      </c>
      <c r="N3463" s="1" t="str">
        <f>HYPERLINK("https://klocwork.india.ti.com:443/review/insight-review.html#issuedetails_goto:problemid=152498,project=MCU_PLUS_SDK_AM263X,searchquery=taxonomy:'C and C++' build:Build_Apr_13_2023_11_11_AM grouping:off ","KW Issue Link")</f>
        <v>KW Issue Link</v>
      </c>
      <c r="O3463" s="1" t="s">
        <v>1083</v>
      </c>
    </row>
    <row r="3464" spans="1:15" ht="60" x14ac:dyDescent="0.25">
      <c r="A3464" s="1" t="s">
        <v>155</v>
      </c>
      <c r="B3464" s="1"/>
      <c r="C3464" s="1" t="s">
        <v>4653</v>
      </c>
      <c r="D3464" s="1">
        <v>152499</v>
      </c>
      <c r="E3464" s="1">
        <v>3306</v>
      </c>
      <c r="F3464" s="1" t="s">
        <v>156</v>
      </c>
      <c r="G3464" s="1" t="s">
        <v>4681</v>
      </c>
      <c r="H3464" s="1" t="s">
        <v>141</v>
      </c>
      <c r="I3464" s="1" t="s">
        <v>65</v>
      </c>
      <c r="J3464" s="1">
        <v>3</v>
      </c>
      <c r="K3464" s="1" t="s">
        <v>142</v>
      </c>
      <c r="L3464" s="1" t="s">
        <v>153</v>
      </c>
      <c r="M3464" s="1" t="s">
        <v>28</v>
      </c>
      <c r="N3464" s="1" t="str">
        <f>HYPERLINK("https://klocwork.india.ti.com:443/review/insight-review.html#issuedetails_goto:problemid=152499,project=MCU_PLUS_SDK_AM263X,searchquery=taxonomy:'C and C++' build:Build_Apr_13_2023_11_11_AM grouping:off ","KW Issue Link")</f>
        <v>KW Issue Link</v>
      </c>
      <c r="O3464" s="1" t="s">
        <v>1083</v>
      </c>
    </row>
    <row r="3465" spans="1:15" ht="60" x14ac:dyDescent="0.25">
      <c r="A3465" s="1" t="s">
        <v>1252</v>
      </c>
      <c r="B3465" s="1"/>
      <c r="C3465" s="1" t="s">
        <v>4653</v>
      </c>
      <c r="D3465" s="1">
        <v>152501</v>
      </c>
      <c r="E3465" s="1">
        <v>1622</v>
      </c>
      <c r="F3465" s="1" t="s">
        <v>4709</v>
      </c>
      <c r="G3465" s="1" t="s">
        <v>4710</v>
      </c>
      <c r="H3465" s="1" t="s">
        <v>141</v>
      </c>
      <c r="I3465" s="1" t="s">
        <v>65</v>
      </c>
      <c r="J3465" s="1">
        <v>3</v>
      </c>
      <c r="K3465" s="1" t="s">
        <v>142</v>
      </c>
      <c r="L3465" s="1" t="s">
        <v>153</v>
      </c>
      <c r="M3465" s="1" t="s">
        <v>1256</v>
      </c>
      <c r="N3465" s="1" t="str">
        <f>HYPERLINK("https://klocwork.india.ti.com:443/review/insight-review.html#issuedetails_goto:problemid=152501,project=MCU_PLUS_SDK_AM263X,searchquery=taxonomy:'C and C++' build:Build_Apr_13_2023_11_11_AM grouping:off ","KW Issue Link")</f>
        <v>KW Issue Link</v>
      </c>
      <c r="O3465" s="1" t="s">
        <v>1083</v>
      </c>
    </row>
    <row r="3466" spans="1:15" ht="60" x14ac:dyDescent="0.25">
      <c r="A3466" s="1" t="s">
        <v>1252</v>
      </c>
      <c r="B3466" s="1"/>
      <c r="C3466" s="1" t="s">
        <v>4653</v>
      </c>
      <c r="D3466" s="1">
        <v>152502</v>
      </c>
      <c r="E3466" s="1">
        <v>2093</v>
      </c>
      <c r="F3466" s="1" t="s">
        <v>4711</v>
      </c>
      <c r="G3466" s="1" t="s">
        <v>4712</v>
      </c>
      <c r="H3466" s="1" t="s">
        <v>141</v>
      </c>
      <c r="I3466" s="1" t="s">
        <v>65</v>
      </c>
      <c r="J3466" s="1">
        <v>3</v>
      </c>
      <c r="K3466" s="1" t="s">
        <v>142</v>
      </c>
      <c r="L3466" s="1" t="s">
        <v>153</v>
      </c>
      <c r="M3466" s="1" t="s">
        <v>1256</v>
      </c>
      <c r="N3466" s="1" t="str">
        <f>HYPERLINK("https://klocwork.india.ti.com:443/review/insight-review.html#issuedetails_goto:problemid=152502,project=MCU_PLUS_SDK_AM263X,searchquery=taxonomy:'C and C++' build:Build_Apr_13_2023_11_11_AM grouping:off ","KW Issue Link")</f>
        <v>KW Issue Link</v>
      </c>
      <c r="O3466" s="1" t="s">
        <v>1083</v>
      </c>
    </row>
    <row r="3467" spans="1:15" ht="90" x14ac:dyDescent="0.25">
      <c r="A3467" s="1" t="s">
        <v>163</v>
      </c>
      <c r="B3467" s="1"/>
      <c r="C3467" s="1" t="s">
        <v>4653</v>
      </c>
      <c r="D3467" s="1">
        <v>152506</v>
      </c>
      <c r="E3467" s="1">
        <v>3073</v>
      </c>
      <c r="F3467" s="1" t="s">
        <v>4713</v>
      </c>
      <c r="G3467" s="1" t="s">
        <v>4679</v>
      </c>
      <c r="H3467" s="1" t="s">
        <v>141</v>
      </c>
      <c r="I3467" s="1" t="s">
        <v>65</v>
      </c>
      <c r="J3467" s="1">
        <v>3</v>
      </c>
      <c r="K3467" s="1" t="s">
        <v>142</v>
      </c>
      <c r="L3467" s="1" t="s">
        <v>153</v>
      </c>
      <c r="M3467" s="1" t="s">
        <v>28</v>
      </c>
      <c r="N3467" s="1" t="str">
        <f>HYPERLINK("https://klocwork.india.ti.com:443/review/insight-review.html#issuedetails_goto:problemid=152506,project=MCU_PLUS_SDK_AM263X,searchquery=taxonomy:'C and C++' build:Build_Apr_13_2023_11_11_AM grouping:off ","KW Issue Link")</f>
        <v>KW Issue Link</v>
      </c>
      <c r="O3467" s="1" t="s">
        <v>1083</v>
      </c>
    </row>
    <row r="3468" spans="1:15" ht="90" x14ac:dyDescent="0.25">
      <c r="A3468" s="1" t="s">
        <v>163</v>
      </c>
      <c r="B3468" s="1"/>
      <c r="C3468" s="1" t="s">
        <v>4653</v>
      </c>
      <c r="D3468" s="1">
        <v>152507</v>
      </c>
      <c r="E3468" s="1">
        <v>3076</v>
      </c>
      <c r="F3468" s="1" t="s">
        <v>4714</v>
      </c>
      <c r="G3468" s="1" t="s">
        <v>4679</v>
      </c>
      <c r="H3468" s="1" t="s">
        <v>141</v>
      </c>
      <c r="I3468" s="1" t="s">
        <v>65</v>
      </c>
      <c r="J3468" s="1">
        <v>3</v>
      </c>
      <c r="K3468" s="1" t="s">
        <v>142</v>
      </c>
      <c r="L3468" s="1" t="s">
        <v>153</v>
      </c>
      <c r="M3468" s="1" t="s">
        <v>28</v>
      </c>
      <c r="N3468" s="1" t="str">
        <f>HYPERLINK("https://klocwork.india.ti.com:443/review/insight-review.html#issuedetails_goto:problemid=152507,project=MCU_PLUS_SDK_AM263X,searchquery=taxonomy:'C and C++' build:Build_Apr_13_2023_11_11_AM grouping:off ","KW Issue Link")</f>
        <v>KW Issue Link</v>
      </c>
      <c r="O3468" s="1" t="s">
        <v>1083</v>
      </c>
    </row>
    <row r="3469" spans="1:15" ht="90" x14ac:dyDescent="0.25">
      <c r="A3469" s="1" t="s">
        <v>163</v>
      </c>
      <c r="B3469" s="1"/>
      <c r="C3469" s="1" t="s">
        <v>4653</v>
      </c>
      <c r="D3469" s="1">
        <v>152508</v>
      </c>
      <c r="E3469" s="1">
        <v>3171</v>
      </c>
      <c r="F3469" s="1" t="s">
        <v>4713</v>
      </c>
      <c r="G3469" s="1" t="s">
        <v>4679</v>
      </c>
      <c r="H3469" s="1" t="s">
        <v>141</v>
      </c>
      <c r="I3469" s="1" t="s">
        <v>65</v>
      </c>
      <c r="J3469" s="1">
        <v>3</v>
      </c>
      <c r="K3469" s="1" t="s">
        <v>142</v>
      </c>
      <c r="L3469" s="1" t="s">
        <v>153</v>
      </c>
      <c r="M3469" s="1" t="s">
        <v>28</v>
      </c>
      <c r="N3469" s="1" t="str">
        <f>HYPERLINK("https://klocwork.india.ti.com:443/review/insight-review.html#issuedetails_goto:problemid=152508,project=MCU_PLUS_SDK_AM263X,searchquery=taxonomy:'C and C++' build:Build_Apr_13_2023_11_11_AM grouping:off ","KW Issue Link")</f>
        <v>KW Issue Link</v>
      </c>
      <c r="O3469" s="1" t="s">
        <v>1083</v>
      </c>
    </row>
    <row r="3470" spans="1:15" ht="90" x14ac:dyDescent="0.25">
      <c r="A3470" s="1" t="s">
        <v>163</v>
      </c>
      <c r="B3470" s="1"/>
      <c r="C3470" s="1" t="s">
        <v>4653</v>
      </c>
      <c r="D3470" s="1">
        <v>152509</v>
      </c>
      <c r="E3470" s="1">
        <v>3181</v>
      </c>
      <c r="F3470" s="1" t="s">
        <v>4714</v>
      </c>
      <c r="G3470" s="1" t="s">
        <v>4679</v>
      </c>
      <c r="H3470" s="1" t="s">
        <v>141</v>
      </c>
      <c r="I3470" s="1" t="s">
        <v>65</v>
      </c>
      <c r="J3470" s="1">
        <v>3</v>
      </c>
      <c r="K3470" s="1" t="s">
        <v>142</v>
      </c>
      <c r="L3470" s="1" t="s">
        <v>153</v>
      </c>
      <c r="M3470" s="1" t="s">
        <v>28</v>
      </c>
      <c r="N3470" s="1" t="str">
        <f>HYPERLINK("https://klocwork.india.ti.com:443/review/insight-review.html#issuedetails_goto:problemid=152509,project=MCU_PLUS_SDK_AM263X,searchquery=taxonomy:'C and C++' build:Build_Apr_13_2023_11_11_AM grouping:off ","KW Issue Link")</f>
        <v>KW Issue Link</v>
      </c>
      <c r="O3470" s="1" t="s">
        <v>1083</v>
      </c>
    </row>
    <row r="3471" spans="1:15" ht="60" x14ac:dyDescent="0.25">
      <c r="A3471" s="1" t="s">
        <v>1266</v>
      </c>
      <c r="B3471" s="1"/>
      <c r="C3471" s="1" t="s">
        <v>4715</v>
      </c>
      <c r="D3471" s="1">
        <v>152718</v>
      </c>
      <c r="E3471" s="1">
        <v>916</v>
      </c>
      <c r="F3471" s="1" t="s">
        <v>4716</v>
      </c>
      <c r="G3471" s="1" t="s">
        <v>4717</v>
      </c>
      <c r="H3471" s="1" t="s">
        <v>141</v>
      </c>
      <c r="I3471" s="1" t="s">
        <v>65</v>
      </c>
      <c r="J3471" s="1">
        <v>3</v>
      </c>
      <c r="K3471" s="1" t="s">
        <v>142</v>
      </c>
      <c r="L3471" s="1" t="s">
        <v>153</v>
      </c>
      <c r="M3471" s="1" t="s">
        <v>1256</v>
      </c>
      <c r="N3471" s="1" t="str">
        <f>HYPERLINK("https://klocwork.india.ti.com:443/review/insight-review.html#issuedetails_goto:problemid=152718,project=MCU_PLUS_SDK_AM263X,searchquery=taxonomy:'C and C++' build:Build_Apr_13_2023_11_11_AM grouping:off ","KW Issue Link")</f>
        <v>KW Issue Link</v>
      </c>
      <c r="O3471" s="1" t="s">
        <v>1083</v>
      </c>
    </row>
    <row r="3472" spans="1:15" ht="60" x14ac:dyDescent="0.25">
      <c r="A3472" s="1" t="s">
        <v>1268</v>
      </c>
      <c r="B3472" s="1"/>
      <c r="C3472" s="1" t="s">
        <v>4715</v>
      </c>
      <c r="D3472" s="1">
        <v>152719</v>
      </c>
      <c r="E3472" s="1">
        <v>916</v>
      </c>
      <c r="F3472" s="1" t="s">
        <v>4718</v>
      </c>
      <c r="G3472" s="1" t="s">
        <v>4717</v>
      </c>
      <c r="H3472" s="1" t="s">
        <v>141</v>
      </c>
      <c r="I3472" s="1" t="s">
        <v>65</v>
      </c>
      <c r="J3472" s="1">
        <v>3</v>
      </c>
      <c r="K3472" s="1" t="s">
        <v>142</v>
      </c>
      <c r="L3472" s="1" t="s">
        <v>153</v>
      </c>
      <c r="M3472" s="1" t="s">
        <v>1256</v>
      </c>
      <c r="N3472" s="1" t="str">
        <f>HYPERLINK("https://klocwork.india.ti.com:443/review/insight-review.html#issuedetails_goto:problemid=152719,project=MCU_PLUS_SDK_AM263X,searchquery=taxonomy:'C and C++' build:Build_Apr_13_2023_11_11_AM grouping:off ","KW Issue Link")</f>
        <v>KW Issue Link</v>
      </c>
      <c r="O3472" s="1" t="s">
        <v>1083</v>
      </c>
    </row>
    <row r="3473" spans="1:15" ht="60" x14ac:dyDescent="0.25">
      <c r="A3473" s="1" t="s">
        <v>1257</v>
      </c>
      <c r="B3473" s="1"/>
      <c r="C3473" s="1" t="s">
        <v>4719</v>
      </c>
      <c r="D3473" s="1">
        <v>152723</v>
      </c>
      <c r="E3473" s="1">
        <v>92</v>
      </c>
      <c r="F3473" s="1" t="s">
        <v>4720</v>
      </c>
      <c r="G3473" s="1" t="s">
        <v>4721</v>
      </c>
      <c r="H3473" s="1" t="s">
        <v>141</v>
      </c>
      <c r="I3473" s="1" t="s">
        <v>65</v>
      </c>
      <c r="J3473" s="1">
        <v>3</v>
      </c>
      <c r="K3473" s="1" t="s">
        <v>142</v>
      </c>
      <c r="L3473" s="1" t="s">
        <v>153</v>
      </c>
      <c r="M3473" s="1" t="s">
        <v>1256</v>
      </c>
      <c r="N3473" s="1" t="str">
        <f>HYPERLINK("https://klocwork.india.ti.com:443/review/insight-review.html#issuedetails_goto:problemid=152723,project=MCU_PLUS_SDK_AM263X,searchquery=taxonomy:'C and C++' build:Build_Apr_13_2023_11_11_AM grouping:off ","KW Issue Link")</f>
        <v>KW Issue Link</v>
      </c>
      <c r="O3473" s="1" t="s">
        <v>1083</v>
      </c>
    </row>
    <row r="3474" spans="1:15" ht="60" x14ac:dyDescent="0.25">
      <c r="A3474" s="1" t="s">
        <v>1257</v>
      </c>
      <c r="B3474" s="1"/>
      <c r="C3474" s="1" t="s">
        <v>4719</v>
      </c>
      <c r="D3474" s="1">
        <v>152724</v>
      </c>
      <c r="E3474" s="1">
        <v>304</v>
      </c>
      <c r="F3474" s="1" t="s">
        <v>4722</v>
      </c>
      <c r="G3474" s="1" t="s">
        <v>4723</v>
      </c>
      <c r="H3474" s="1" t="s">
        <v>141</v>
      </c>
      <c r="I3474" s="1" t="s">
        <v>65</v>
      </c>
      <c r="J3474" s="1">
        <v>3</v>
      </c>
      <c r="K3474" s="1" t="s">
        <v>142</v>
      </c>
      <c r="L3474" s="1" t="s">
        <v>153</v>
      </c>
      <c r="M3474" s="1" t="s">
        <v>1256</v>
      </c>
      <c r="N3474" s="1" t="str">
        <f>HYPERLINK("https://klocwork.india.ti.com:443/review/insight-review.html#issuedetails_goto:problemid=152724,project=MCU_PLUS_SDK_AM263X,searchquery=taxonomy:'C and C++' build:Build_Apr_13_2023_11_11_AM grouping:off ","KW Issue Link")</f>
        <v>KW Issue Link</v>
      </c>
      <c r="O3474" s="1" t="s">
        <v>1083</v>
      </c>
    </row>
    <row r="3475" spans="1:15" ht="60" x14ac:dyDescent="0.25">
      <c r="A3475" s="1" t="s">
        <v>1257</v>
      </c>
      <c r="B3475" s="1"/>
      <c r="C3475" s="1" t="s">
        <v>4719</v>
      </c>
      <c r="D3475" s="1">
        <v>152725</v>
      </c>
      <c r="E3475" s="1">
        <v>367</v>
      </c>
      <c r="F3475" s="1" t="s">
        <v>4724</v>
      </c>
      <c r="G3475" s="1" t="s">
        <v>4725</v>
      </c>
      <c r="H3475" s="1" t="s">
        <v>141</v>
      </c>
      <c r="I3475" s="1" t="s">
        <v>65</v>
      </c>
      <c r="J3475" s="1">
        <v>3</v>
      </c>
      <c r="K3475" s="1" t="s">
        <v>142</v>
      </c>
      <c r="L3475" s="1" t="s">
        <v>153</v>
      </c>
      <c r="M3475" s="1" t="s">
        <v>1256</v>
      </c>
      <c r="N3475" s="1" t="str">
        <f>HYPERLINK("https://klocwork.india.ti.com:443/review/insight-review.html#issuedetails_goto:problemid=152725,project=MCU_PLUS_SDK_AM263X,searchquery=taxonomy:'C and C++' build:Build_Apr_13_2023_11_11_AM grouping:off ","KW Issue Link")</f>
        <v>KW Issue Link</v>
      </c>
      <c r="O3475" s="1" t="s">
        <v>1083</v>
      </c>
    </row>
    <row r="3476" spans="1:15" ht="60" x14ac:dyDescent="0.25">
      <c r="A3476" s="1" t="s">
        <v>1257</v>
      </c>
      <c r="B3476" s="1"/>
      <c r="C3476" s="1" t="s">
        <v>4719</v>
      </c>
      <c r="D3476" s="1">
        <v>152726</v>
      </c>
      <c r="E3476" s="1">
        <v>889</v>
      </c>
      <c r="F3476" s="1" t="s">
        <v>4726</v>
      </c>
      <c r="G3476" s="1" t="s">
        <v>4727</v>
      </c>
      <c r="H3476" s="1" t="s">
        <v>141</v>
      </c>
      <c r="I3476" s="1" t="s">
        <v>65</v>
      </c>
      <c r="J3476" s="1">
        <v>3</v>
      </c>
      <c r="K3476" s="1" t="s">
        <v>142</v>
      </c>
      <c r="L3476" s="1" t="s">
        <v>153</v>
      </c>
      <c r="M3476" s="1" t="s">
        <v>1256</v>
      </c>
      <c r="N3476" s="1" t="str">
        <f>HYPERLINK("https://klocwork.india.ti.com:443/review/insight-review.html#issuedetails_goto:problemid=152726,project=MCU_PLUS_SDK_AM263X,searchquery=taxonomy:'C and C++' build:Build_Apr_13_2023_11_11_AM grouping:off ","KW Issue Link")</f>
        <v>KW Issue Link</v>
      </c>
      <c r="O3476" s="1" t="s">
        <v>1083</v>
      </c>
    </row>
    <row r="3477" spans="1:15" ht="60" x14ac:dyDescent="0.25">
      <c r="A3477" s="1" t="s">
        <v>1257</v>
      </c>
      <c r="B3477" s="1"/>
      <c r="C3477" s="1" t="s">
        <v>4719</v>
      </c>
      <c r="D3477" s="1">
        <v>152727</v>
      </c>
      <c r="E3477" s="1">
        <v>1055</v>
      </c>
      <c r="F3477" s="1" t="s">
        <v>4728</v>
      </c>
      <c r="G3477" s="1" t="s">
        <v>4729</v>
      </c>
      <c r="H3477" s="1" t="s">
        <v>141</v>
      </c>
      <c r="I3477" s="1" t="s">
        <v>65</v>
      </c>
      <c r="J3477" s="1">
        <v>3</v>
      </c>
      <c r="K3477" s="1" t="s">
        <v>142</v>
      </c>
      <c r="L3477" s="1" t="s">
        <v>153</v>
      </c>
      <c r="M3477" s="1" t="s">
        <v>1256</v>
      </c>
      <c r="N3477" s="1" t="str">
        <f>HYPERLINK("https://klocwork.india.ti.com:443/review/insight-review.html#issuedetails_goto:problemid=152727,project=MCU_PLUS_SDK_AM263X,searchquery=taxonomy:'C and C++' build:Build_Apr_13_2023_11_11_AM grouping:off ","KW Issue Link")</f>
        <v>KW Issue Link</v>
      </c>
      <c r="O3477" s="1" t="s">
        <v>1083</v>
      </c>
    </row>
    <row r="3478" spans="1:15" ht="60" x14ac:dyDescent="0.25">
      <c r="A3478" s="1" t="s">
        <v>1257</v>
      </c>
      <c r="B3478" s="1"/>
      <c r="C3478" s="1" t="s">
        <v>4719</v>
      </c>
      <c r="D3478" s="1">
        <v>152728</v>
      </c>
      <c r="E3478" s="1">
        <v>1655</v>
      </c>
      <c r="F3478" s="1" t="s">
        <v>4730</v>
      </c>
      <c r="G3478" s="1" t="s">
        <v>4731</v>
      </c>
      <c r="H3478" s="1" t="s">
        <v>141</v>
      </c>
      <c r="I3478" s="1" t="s">
        <v>65</v>
      </c>
      <c r="J3478" s="1">
        <v>3</v>
      </c>
      <c r="K3478" s="1" t="s">
        <v>142</v>
      </c>
      <c r="L3478" s="1" t="s">
        <v>153</v>
      </c>
      <c r="M3478" s="1" t="s">
        <v>1256</v>
      </c>
      <c r="N3478" s="1" t="str">
        <f>HYPERLINK("https://klocwork.india.ti.com:443/review/insight-review.html#issuedetails_goto:problemid=152728,project=MCU_PLUS_SDK_AM263X,searchquery=taxonomy:'C and C++' build:Build_Apr_13_2023_11_11_AM grouping:off ","KW Issue Link")</f>
        <v>KW Issue Link</v>
      </c>
      <c r="O3478" s="1" t="s">
        <v>1083</v>
      </c>
    </row>
    <row r="3479" spans="1:15" ht="60" x14ac:dyDescent="0.25">
      <c r="A3479" s="1" t="s">
        <v>1257</v>
      </c>
      <c r="B3479" s="1"/>
      <c r="C3479" s="1" t="s">
        <v>4719</v>
      </c>
      <c r="D3479" s="1">
        <v>152729</v>
      </c>
      <c r="E3479" s="1">
        <v>1736</v>
      </c>
      <c r="F3479" s="1" t="s">
        <v>4732</v>
      </c>
      <c r="G3479" s="1" t="s">
        <v>4733</v>
      </c>
      <c r="H3479" s="1" t="s">
        <v>141</v>
      </c>
      <c r="I3479" s="1" t="s">
        <v>65</v>
      </c>
      <c r="J3479" s="1">
        <v>3</v>
      </c>
      <c r="K3479" s="1" t="s">
        <v>142</v>
      </c>
      <c r="L3479" s="1" t="s">
        <v>153</v>
      </c>
      <c r="M3479" s="1" t="s">
        <v>1256</v>
      </c>
      <c r="N3479" s="1" t="str">
        <f>HYPERLINK("https://klocwork.india.ti.com:443/review/insight-review.html#issuedetails_goto:problemid=152729,project=MCU_PLUS_SDK_AM263X,searchquery=taxonomy:'C and C++' build:Build_Apr_13_2023_11_11_AM grouping:off ","KW Issue Link")</f>
        <v>KW Issue Link</v>
      </c>
      <c r="O3479" s="1" t="s">
        <v>1083</v>
      </c>
    </row>
    <row r="3480" spans="1:15" ht="60" x14ac:dyDescent="0.25">
      <c r="A3480" s="1" t="s">
        <v>1257</v>
      </c>
      <c r="B3480" s="1"/>
      <c r="C3480" s="1" t="s">
        <v>4719</v>
      </c>
      <c r="D3480" s="1">
        <v>152730</v>
      </c>
      <c r="E3480" s="1">
        <v>1832</v>
      </c>
      <c r="F3480" s="1" t="s">
        <v>4734</v>
      </c>
      <c r="G3480" s="1" t="s">
        <v>4735</v>
      </c>
      <c r="H3480" s="1" t="s">
        <v>141</v>
      </c>
      <c r="I3480" s="1" t="s">
        <v>65</v>
      </c>
      <c r="J3480" s="1">
        <v>3</v>
      </c>
      <c r="K3480" s="1" t="s">
        <v>142</v>
      </c>
      <c r="L3480" s="1" t="s">
        <v>153</v>
      </c>
      <c r="M3480" s="1" t="s">
        <v>1256</v>
      </c>
      <c r="N3480" s="1" t="str">
        <f>HYPERLINK("https://klocwork.india.ti.com:443/review/insight-review.html#issuedetails_goto:problemid=152730,project=MCU_PLUS_SDK_AM263X,searchquery=taxonomy:'C and C++' build:Build_Apr_13_2023_11_11_AM grouping:off ","KW Issue Link")</f>
        <v>KW Issue Link</v>
      </c>
      <c r="O3480" s="1" t="s">
        <v>1083</v>
      </c>
    </row>
    <row r="3481" spans="1:15" ht="60" x14ac:dyDescent="0.25">
      <c r="A3481" s="1" t="s">
        <v>1266</v>
      </c>
      <c r="B3481" s="1"/>
      <c r="C3481" s="1" t="s">
        <v>4719</v>
      </c>
      <c r="D3481" s="1">
        <v>152731</v>
      </c>
      <c r="E3481" s="1">
        <v>92</v>
      </c>
      <c r="F3481" s="1" t="s">
        <v>4736</v>
      </c>
      <c r="G3481" s="1" t="s">
        <v>4721</v>
      </c>
      <c r="H3481" s="1" t="s">
        <v>141</v>
      </c>
      <c r="I3481" s="1" t="s">
        <v>65</v>
      </c>
      <c r="J3481" s="1">
        <v>3</v>
      </c>
      <c r="K3481" s="1" t="s">
        <v>142</v>
      </c>
      <c r="L3481" s="1" t="s">
        <v>153</v>
      </c>
      <c r="M3481" s="1" t="s">
        <v>1256</v>
      </c>
      <c r="N3481" s="1" t="str">
        <f>HYPERLINK("https://klocwork.india.ti.com:443/review/insight-review.html#issuedetails_goto:problemid=152731,project=MCU_PLUS_SDK_AM263X,searchquery=taxonomy:'C and C++' build:Build_Apr_13_2023_11_11_AM grouping:off ","KW Issue Link")</f>
        <v>KW Issue Link</v>
      </c>
      <c r="O3481" s="1" t="s">
        <v>1083</v>
      </c>
    </row>
    <row r="3482" spans="1:15" ht="60" x14ac:dyDescent="0.25">
      <c r="A3482" s="1" t="s">
        <v>1266</v>
      </c>
      <c r="B3482" s="1"/>
      <c r="C3482" s="1" t="s">
        <v>4719</v>
      </c>
      <c r="D3482" s="1">
        <v>152732</v>
      </c>
      <c r="E3482" s="1">
        <v>367</v>
      </c>
      <c r="F3482" s="1" t="s">
        <v>4737</v>
      </c>
      <c r="G3482" s="1" t="s">
        <v>4725</v>
      </c>
      <c r="H3482" s="1" t="s">
        <v>141</v>
      </c>
      <c r="I3482" s="1" t="s">
        <v>65</v>
      </c>
      <c r="J3482" s="1">
        <v>3</v>
      </c>
      <c r="K3482" s="1" t="s">
        <v>142</v>
      </c>
      <c r="L3482" s="1" t="s">
        <v>153</v>
      </c>
      <c r="M3482" s="1" t="s">
        <v>1256</v>
      </c>
      <c r="N3482" s="1" t="str">
        <f>HYPERLINK("https://klocwork.india.ti.com:443/review/insight-review.html#issuedetails_goto:problemid=152732,project=MCU_PLUS_SDK_AM263X,searchquery=taxonomy:'C and C++' build:Build_Apr_13_2023_11_11_AM grouping:off ","KW Issue Link")</f>
        <v>KW Issue Link</v>
      </c>
      <c r="O3482" s="1" t="s">
        <v>1083</v>
      </c>
    </row>
    <row r="3483" spans="1:15" ht="60" x14ac:dyDescent="0.25">
      <c r="A3483" s="1" t="s">
        <v>1266</v>
      </c>
      <c r="B3483" s="1"/>
      <c r="C3483" s="1" t="s">
        <v>4719</v>
      </c>
      <c r="D3483" s="1">
        <v>152733</v>
      </c>
      <c r="E3483" s="1">
        <v>889</v>
      </c>
      <c r="F3483" s="1" t="s">
        <v>4738</v>
      </c>
      <c r="G3483" s="1" t="s">
        <v>4727</v>
      </c>
      <c r="H3483" s="1" t="s">
        <v>141</v>
      </c>
      <c r="I3483" s="1" t="s">
        <v>65</v>
      </c>
      <c r="J3483" s="1">
        <v>3</v>
      </c>
      <c r="K3483" s="1" t="s">
        <v>142</v>
      </c>
      <c r="L3483" s="1" t="s">
        <v>153</v>
      </c>
      <c r="M3483" s="1" t="s">
        <v>1256</v>
      </c>
      <c r="N3483" s="1" t="str">
        <f>HYPERLINK("https://klocwork.india.ti.com:443/review/insight-review.html#issuedetails_goto:problemid=152733,project=MCU_PLUS_SDK_AM263X,searchquery=taxonomy:'C and C++' build:Build_Apr_13_2023_11_11_AM grouping:off ","KW Issue Link")</f>
        <v>KW Issue Link</v>
      </c>
      <c r="O3483" s="1" t="s">
        <v>1083</v>
      </c>
    </row>
    <row r="3484" spans="1:15" ht="60" x14ac:dyDescent="0.25">
      <c r="A3484" s="1" t="s">
        <v>1266</v>
      </c>
      <c r="B3484" s="1"/>
      <c r="C3484" s="1" t="s">
        <v>4719</v>
      </c>
      <c r="D3484" s="1">
        <v>152734</v>
      </c>
      <c r="E3484" s="1">
        <v>1055</v>
      </c>
      <c r="F3484" s="1" t="s">
        <v>4739</v>
      </c>
      <c r="G3484" s="1" t="s">
        <v>4729</v>
      </c>
      <c r="H3484" s="1" t="s">
        <v>141</v>
      </c>
      <c r="I3484" s="1" t="s">
        <v>65</v>
      </c>
      <c r="J3484" s="1">
        <v>3</v>
      </c>
      <c r="K3484" s="1" t="s">
        <v>142</v>
      </c>
      <c r="L3484" s="1" t="s">
        <v>153</v>
      </c>
      <c r="M3484" s="1" t="s">
        <v>1256</v>
      </c>
      <c r="N3484" s="1" t="str">
        <f>HYPERLINK("https://klocwork.india.ti.com:443/review/insight-review.html#issuedetails_goto:problemid=152734,project=MCU_PLUS_SDK_AM263X,searchquery=taxonomy:'C and C++' build:Build_Apr_13_2023_11_11_AM grouping:off ","KW Issue Link")</f>
        <v>KW Issue Link</v>
      </c>
      <c r="O3484" s="1" t="s">
        <v>1083</v>
      </c>
    </row>
    <row r="3485" spans="1:15" ht="60" x14ac:dyDescent="0.25">
      <c r="A3485" s="1" t="s">
        <v>1266</v>
      </c>
      <c r="B3485" s="1"/>
      <c r="C3485" s="1" t="s">
        <v>4719</v>
      </c>
      <c r="D3485" s="1">
        <v>152735</v>
      </c>
      <c r="E3485" s="1">
        <v>1238</v>
      </c>
      <c r="F3485" s="1" t="s">
        <v>4740</v>
      </c>
      <c r="G3485" s="1" t="s">
        <v>4741</v>
      </c>
      <c r="H3485" s="1" t="s">
        <v>141</v>
      </c>
      <c r="I3485" s="1" t="s">
        <v>65</v>
      </c>
      <c r="J3485" s="1">
        <v>3</v>
      </c>
      <c r="K3485" s="1" t="s">
        <v>142</v>
      </c>
      <c r="L3485" s="1" t="s">
        <v>153</v>
      </c>
      <c r="M3485" s="1" t="s">
        <v>1256</v>
      </c>
      <c r="N3485" s="1" t="str">
        <f>HYPERLINK("https://klocwork.india.ti.com:443/review/insight-review.html#issuedetails_goto:problemid=152735,project=MCU_PLUS_SDK_AM263X,searchquery=taxonomy:'C and C++' build:Build_Apr_13_2023_11_11_AM grouping:off ","KW Issue Link")</f>
        <v>KW Issue Link</v>
      </c>
      <c r="O3485" s="1" t="s">
        <v>1083</v>
      </c>
    </row>
    <row r="3486" spans="1:15" ht="60" x14ac:dyDescent="0.25">
      <c r="A3486" s="1" t="s">
        <v>1266</v>
      </c>
      <c r="B3486" s="1"/>
      <c r="C3486" s="1" t="s">
        <v>4719</v>
      </c>
      <c r="D3486" s="1">
        <v>152736</v>
      </c>
      <c r="E3486" s="1">
        <v>1364</v>
      </c>
      <c r="F3486" s="1" t="s">
        <v>4742</v>
      </c>
      <c r="G3486" s="1" t="s">
        <v>4743</v>
      </c>
      <c r="H3486" s="1" t="s">
        <v>141</v>
      </c>
      <c r="I3486" s="1" t="s">
        <v>65</v>
      </c>
      <c r="J3486" s="1">
        <v>3</v>
      </c>
      <c r="K3486" s="1" t="s">
        <v>142</v>
      </c>
      <c r="L3486" s="1" t="s">
        <v>153</v>
      </c>
      <c r="M3486" s="1" t="s">
        <v>1256</v>
      </c>
      <c r="N3486" s="1" t="str">
        <f>HYPERLINK("https://klocwork.india.ti.com:443/review/insight-review.html#issuedetails_goto:problemid=152736,project=MCU_PLUS_SDK_AM263X,searchquery=taxonomy:'C and C++' build:Build_Apr_13_2023_11_11_AM grouping:off ","KW Issue Link")</f>
        <v>KW Issue Link</v>
      </c>
      <c r="O3486" s="1" t="s">
        <v>1083</v>
      </c>
    </row>
    <row r="3487" spans="1:15" ht="60" x14ac:dyDescent="0.25">
      <c r="A3487" s="1" t="s">
        <v>1266</v>
      </c>
      <c r="B3487" s="1"/>
      <c r="C3487" s="1" t="s">
        <v>4719</v>
      </c>
      <c r="D3487" s="1">
        <v>152737</v>
      </c>
      <c r="E3487" s="1">
        <v>1736</v>
      </c>
      <c r="F3487" s="1" t="s">
        <v>4744</v>
      </c>
      <c r="G3487" s="1" t="s">
        <v>4733</v>
      </c>
      <c r="H3487" s="1" t="s">
        <v>141</v>
      </c>
      <c r="I3487" s="1" t="s">
        <v>65</v>
      </c>
      <c r="J3487" s="1">
        <v>3</v>
      </c>
      <c r="K3487" s="1" t="s">
        <v>142</v>
      </c>
      <c r="L3487" s="1" t="s">
        <v>153</v>
      </c>
      <c r="M3487" s="1" t="s">
        <v>1256</v>
      </c>
      <c r="N3487" s="1" t="str">
        <f>HYPERLINK("https://klocwork.india.ti.com:443/review/insight-review.html#issuedetails_goto:problemid=152737,project=MCU_PLUS_SDK_AM263X,searchquery=taxonomy:'C and C++' build:Build_Apr_13_2023_11_11_AM grouping:off ","KW Issue Link")</f>
        <v>KW Issue Link</v>
      </c>
      <c r="O3487" s="1" t="s">
        <v>1083</v>
      </c>
    </row>
    <row r="3488" spans="1:15" ht="60" x14ac:dyDescent="0.25">
      <c r="A3488" s="1" t="s">
        <v>1268</v>
      </c>
      <c r="B3488" s="1"/>
      <c r="C3488" s="1" t="s">
        <v>4719</v>
      </c>
      <c r="D3488" s="1">
        <v>152738</v>
      </c>
      <c r="E3488" s="1">
        <v>92</v>
      </c>
      <c r="F3488" s="1" t="s">
        <v>4745</v>
      </c>
      <c r="G3488" s="1" t="s">
        <v>4721</v>
      </c>
      <c r="H3488" s="1" t="s">
        <v>141</v>
      </c>
      <c r="I3488" s="1" t="s">
        <v>65</v>
      </c>
      <c r="J3488" s="1">
        <v>3</v>
      </c>
      <c r="K3488" s="1" t="s">
        <v>142</v>
      </c>
      <c r="L3488" s="1" t="s">
        <v>153</v>
      </c>
      <c r="M3488" s="1" t="s">
        <v>1256</v>
      </c>
      <c r="N3488" s="1" t="str">
        <f>HYPERLINK("https://klocwork.india.ti.com:443/review/insight-review.html#issuedetails_goto:problemid=152738,project=MCU_PLUS_SDK_AM263X,searchquery=taxonomy:'C and C++' build:Build_Apr_13_2023_11_11_AM grouping:off ","KW Issue Link")</f>
        <v>KW Issue Link</v>
      </c>
      <c r="O3488" s="1" t="s">
        <v>1083</v>
      </c>
    </row>
    <row r="3489" spans="1:15" ht="60" x14ac:dyDescent="0.25">
      <c r="A3489" s="1" t="s">
        <v>1268</v>
      </c>
      <c r="B3489" s="1"/>
      <c r="C3489" s="1" t="s">
        <v>4719</v>
      </c>
      <c r="D3489" s="1">
        <v>152739</v>
      </c>
      <c r="E3489" s="1">
        <v>367</v>
      </c>
      <c r="F3489" s="1" t="s">
        <v>4746</v>
      </c>
      <c r="G3489" s="1" t="s">
        <v>4725</v>
      </c>
      <c r="H3489" s="1" t="s">
        <v>141</v>
      </c>
      <c r="I3489" s="1" t="s">
        <v>65</v>
      </c>
      <c r="J3489" s="1">
        <v>3</v>
      </c>
      <c r="K3489" s="1" t="s">
        <v>142</v>
      </c>
      <c r="L3489" s="1" t="s">
        <v>153</v>
      </c>
      <c r="M3489" s="1" t="s">
        <v>1256</v>
      </c>
      <c r="N3489" s="1" t="str">
        <f>HYPERLINK("https://klocwork.india.ti.com:443/review/insight-review.html#issuedetails_goto:problemid=152739,project=MCU_PLUS_SDK_AM263X,searchquery=taxonomy:'C and C++' build:Build_Apr_13_2023_11_11_AM grouping:off ","KW Issue Link")</f>
        <v>KW Issue Link</v>
      </c>
      <c r="O3489" s="1" t="s">
        <v>1083</v>
      </c>
    </row>
    <row r="3490" spans="1:15" ht="60" x14ac:dyDescent="0.25">
      <c r="A3490" s="1" t="s">
        <v>1268</v>
      </c>
      <c r="B3490" s="1"/>
      <c r="C3490" s="1" t="s">
        <v>4719</v>
      </c>
      <c r="D3490" s="1">
        <v>152740</v>
      </c>
      <c r="E3490" s="1">
        <v>889</v>
      </c>
      <c r="F3490" s="1" t="s">
        <v>4747</v>
      </c>
      <c r="G3490" s="1" t="s">
        <v>4727</v>
      </c>
      <c r="H3490" s="1" t="s">
        <v>141</v>
      </c>
      <c r="I3490" s="1" t="s">
        <v>65</v>
      </c>
      <c r="J3490" s="1">
        <v>3</v>
      </c>
      <c r="K3490" s="1" t="s">
        <v>142</v>
      </c>
      <c r="L3490" s="1" t="s">
        <v>153</v>
      </c>
      <c r="M3490" s="1" t="s">
        <v>1256</v>
      </c>
      <c r="N3490" s="1" t="str">
        <f>HYPERLINK("https://klocwork.india.ti.com:443/review/insight-review.html#issuedetails_goto:problemid=152740,project=MCU_PLUS_SDK_AM263X,searchquery=taxonomy:'C and C++' build:Build_Apr_13_2023_11_11_AM grouping:off ","KW Issue Link")</f>
        <v>KW Issue Link</v>
      </c>
      <c r="O3490" s="1" t="s">
        <v>1083</v>
      </c>
    </row>
    <row r="3491" spans="1:15" ht="60" x14ac:dyDescent="0.25">
      <c r="A3491" s="1" t="s">
        <v>1268</v>
      </c>
      <c r="B3491" s="1"/>
      <c r="C3491" s="1" t="s">
        <v>4719</v>
      </c>
      <c r="D3491" s="1">
        <v>152741</v>
      </c>
      <c r="E3491" s="1">
        <v>1055</v>
      </c>
      <c r="F3491" s="1" t="s">
        <v>4748</v>
      </c>
      <c r="G3491" s="1" t="s">
        <v>4729</v>
      </c>
      <c r="H3491" s="1" t="s">
        <v>141</v>
      </c>
      <c r="I3491" s="1" t="s">
        <v>65</v>
      </c>
      <c r="J3491" s="1">
        <v>3</v>
      </c>
      <c r="K3491" s="1" t="s">
        <v>142</v>
      </c>
      <c r="L3491" s="1" t="s">
        <v>153</v>
      </c>
      <c r="M3491" s="1" t="s">
        <v>1256</v>
      </c>
      <c r="N3491" s="1" t="str">
        <f>HYPERLINK("https://klocwork.india.ti.com:443/review/insight-review.html#issuedetails_goto:problemid=152741,project=MCU_PLUS_SDK_AM263X,searchquery=taxonomy:'C and C++' build:Build_Apr_13_2023_11_11_AM grouping:off ","KW Issue Link")</f>
        <v>KW Issue Link</v>
      </c>
      <c r="O3491" s="1" t="s">
        <v>1083</v>
      </c>
    </row>
    <row r="3492" spans="1:15" ht="60" x14ac:dyDescent="0.25">
      <c r="A3492" s="1" t="s">
        <v>1268</v>
      </c>
      <c r="B3492" s="1"/>
      <c r="C3492" s="1" t="s">
        <v>4719</v>
      </c>
      <c r="D3492" s="1">
        <v>152742</v>
      </c>
      <c r="E3492" s="1">
        <v>1364</v>
      </c>
      <c r="F3492" s="1" t="s">
        <v>4749</v>
      </c>
      <c r="G3492" s="1" t="s">
        <v>4743</v>
      </c>
      <c r="H3492" s="1" t="s">
        <v>141</v>
      </c>
      <c r="I3492" s="1" t="s">
        <v>65</v>
      </c>
      <c r="J3492" s="1">
        <v>3</v>
      </c>
      <c r="K3492" s="1" t="s">
        <v>142</v>
      </c>
      <c r="L3492" s="1" t="s">
        <v>153</v>
      </c>
      <c r="M3492" s="1" t="s">
        <v>1256</v>
      </c>
      <c r="N3492" s="1" t="str">
        <f>HYPERLINK("https://klocwork.india.ti.com:443/review/insight-review.html#issuedetails_goto:problemid=152742,project=MCU_PLUS_SDK_AM263X,searchquery=taxonomy:'C and C++' build:Build_Apr_13_2023_11_11_AM grouping:off ","KW Issue Link")</f>
        <v>KW Issue Link</v>
      </c>
      <c r="O3492" s="1" t="s">
        <v>1083</v>
      </c>
    </row>
    <row r="3493" spans="1:15" ht="105" x14ac:dyDescent="0.25">
      <c r="A3493" s="1" t="s">
        <v>149</v>
      </c>
      <c r="B3493" s="1"/>
      <c r="C3493" s="1" t="s">
        <v>4719</v>
      </c>
      <c r="D3493" s="1">
        <v>153348</v>
      </c>
      <c r="E3493" s="1">
        <v>124</v>
      </c>
      <c r="F3493" s="1" t="s">
        <v>4750</v>
      </c>
      <c r="G3493" s="1" t="s">
        <v>4721</v>
      </c>
      <c r="H3493" s="1" t="s">
        <v>141</v>
      </c>
      <c r="I3493" s="1" t="s">
        <v>65</v>
      </c>
      <c r="J3493" s="1">
        <v>3</v>
      </c>
      <c r="K3493" s="1" t="s">
        <v>142</v>
      </c>
      <c r="L3493" s="1" t="s">
        <v>153</v>
      </c>
      <c r="M3493" s="1" t="s">
        <v>28</v>
      </c>
      <c r="N3493" s="1" t="str">
        <f>HYPERLINK("https://klocwork.india.ti.com:443/review/insight-review.html#issuedetails_goto:problemid=153348,project=MCU_PLUS_SDK_AM263X,searchquery=taxonomy:'C and C++' build:Build_Apr_13_2023_11_11_AM grouping:off ","KW Issue Link")</f>
        <v>KW Issue Link</v>
      </c>
      <c r="O3493" s="1" t="s">
        <v>1083</v>
      </c>
    </row>
    <row r="3494" spans="1:15" ht="90" x14ac:dyDescent="0.25">
      <c r="A3494" s="1" t="s">
        <v>149</v>
      </c>
      <c r="B3494" s="1"/>
      <c r="C3494" s="1" t="s">
        <v>4719</v>
      </c>
      <c r="D3494" s="1">
        <v>153349</v>
      </c>
      <c r="E3494" s="1">
        <v>1519</v>
      </c>
      <c r="F3494" s="1" t="s">
        <v>4751</v>
      </c>
      <c r="G3494" s="1" t="s">
        <v>4743</v>
      </c>
      <c r="H3494" s="1" t="s">
        <v>141</v>
      </c>
      <c r="I3494" s="1" t="s">
        <v>65</v>
      </c>
      <c r="J3494" s="1">
        <v>3</v>
      </c>
      <c r="K3494" s="1" t="s">
        <v>142</v>
      </c>
      <c r="L3494" s="1" t="s">
        <v>153</v>
      </c>
      <c r="M3494" s="1" t="s">
        <v>28</v>
      </c>
      <c r="N3494" s="1" t="str">
        <f>HYPERLINK("https://klocwork.india.ti.com:443/review/insight-review.html#issuedetails_goto:problemid=153349,project=MCU_PLUS_SDK_AM263X,searchquery=taxonomy:'C and C++' build:Build_Apr_13_2023_11_11_AM grouping:off ","KW Issue Link")</f>
        <v>KW Issue Link</v>
      </c>
      <c r="O3494" s="1" t="s">
        <v>1083</v>
      </c>
    </row>
    <row r="3495" spans="1:15" ht="75" x14ac:dyDescent="0.25">
      <c r="A3495" s="1" t="s">
        <v>149</v>
      </c>
      <c r="B3495" s="1"/>
      <c r="C3495" s="1" t="s">
        <v>4719</v>
      </c>
      <c r="D3495" s="1">
        <v>153350</v>
      </c>
      <c r="E3495" s="1">
        <v>1773</v>
      </c>
      <c r="F3495" s="1" t="s">
        <v>4644</v>
      </c>
      <c r="G3495" s="1" t="s">
        <v>4733</v>
      </c>
      <c r="H3495" s="1" t="s">
        <v>141</v>
      </c>
      <c r="I3495" s="1" t="s">
        <v>65</v>
      </c>
      <c r="J3495" s="1">
        <v>3</v>
      </c>
      <c r="K3495" s="1" t="s">
        <v>142</v>
      </c>
      <c r="L3495" s="1" t="s">
        <v>153</v>
      </c>
      <c r="M3495" s="1" t="s">
        <v>28</v>
      </c>
      <c r="N3495" s="1" t="str">
        <f>HYPERLINK("https://klocwork.india.ti.com:443/review/insight-review.html#issuedetails_goto:problemid=153350,project=MCU_PLUS_SDK_AM263X,searchquery=taxonomy:'C and C++' build:Build_Apr_13_2023_11_11_AM grouping:off ","KW Issue Link")</f>
        <v>KW Issue Link</v>
      </c>
      <c r="O3495" s="1" t="s">
        <v>1083</v>
      </c>
    </row>
    <row r="3496" spans="1:15" ht="75" x14ac:dyDescent="0.25">
      <c r="A3496" s="1" t="s">
        <v>149</v>
      </c>
      <c r="B3496" s="1"/>
      <c r="C3496" s="1" t="s">
        <v>4719</v>
      </c>
      <c r="D3496" s="1">
        <v>153351</v>
      </c>
      <c r="E3496" s="1">
        <v>1781</v>
      </c>
      <c r="F3496" s="1" t="s">
        <v>4644</v>
      </c>
      <c r="G3496" s="1" t="s">
        <v>4733</v>
      </c>
      <c r="H3496" s="1" t="s">
        <v>141</v>
      </c>
      <c r="I3496" s="1" t="s">
        <v>65</v>
      </c>
      <c r="J3496" s="1">
        <v>3</v>
      </c>
      <c r="K3496" s="1" t="s">
        <v>142</v>
      </c>
      <c r="L3496" s="1" t="s">
        <v>153</v>
      </c>
      <c r="M3496" s="1" t="s">
        <v>28</v>
      </c>
      <c r="N3496" s="1" t="str">
        <f>HYPERLINK("https://klocwork.india.ti.com:443/review/insight-review.html#issuedetails_goto:problemid=153351,project=MCU_PLUS_SDK_AM263X,searchquery=taxonomy:'C and C++' build:Build_Apr_13_2023_11_11_AM grouping:off ","KW Issue Link")</f>
        <v>KW Issue Link</v>
      </c>
      <c r="O3496" s="1" t="s">
        <v>1083</v>
      </c>
    </row>
    <row r="3497" spans="1:15" ht="60" x14ac:dyDescent="0.25">
      <c r="A3497" s="1" t="s">
        <v>155</v>
      </c>
      <c r="B3497" s="1"/>
      <c r="C3497" s="1" t="s">
        <v>4719</v>
      </c>
      <c r="D3497" s="1">
        <v>153352</v>
      </c>
      <c r="E3497" s="1">
        <v>131</v>
      </c>
      <c r="F3497" s="1" t="s">
        <v>156</v>
      </c>
      <c r="G3497" s="1" t="s">
        <v>4721</v>
      </c>
      <c r="H3497" s="1" t="s">
        <v>141</v>
      </c>
      <c r="I3497" s="1" t="s">
        <v>65</v>
      </c>
      <c r="J3497" s="1">
        <v>3</v>
      </c>
      <c r="K3497" s="1" t="s">
        <v>142</v>
      </c>
      <c r="L3497" s="1" t="s">
        <v>153</v>
      </c>
      <c r="M3497" s="1" t="s">
        <v>28</v>
      </c>
      <c r="N3497" s="1" t="str">
        <f>HYPERLINK("https://klocwork.india.ti.com:443/review/insight-review.html#issuedetails_goto:problemid=153352,project=MCU_PLUS_SDK_AM263X,searchquery=taxonomy:'C and C++' build:Build_Apr_13_2023_11_11_AM grouping:off ","KW Issue Link")</f>
        <v>KW Issue Link</v>
      </c>
      <c r="O3497" s="1" t="s">
        <v>1083</v>
      </c>
    </row>
    <row r="3498" spans="1:15" ht="60" x14ac:dyDescent="0.25">
      <c r="A3498" s="1" t="s">
        <v>155</v>
      </c>
      <c r="B3498" s="1"/>
      <c r="C3498" s="1" t="s">
        <v>4719</v>
      </c>
      <c r="D3498" s="1">
        <v>153353</v>
      </c>
      <c r="E3498" s="1">
        <v>1521</v>
      </c>
      <c r="F3498" s="1" t="s">
        <v>156</v>
      </c>
      <c r="G3498" s="1" t="s">
        <v>4743</v>
      </c>
      <c r="H3498" s="1" t="s">
        <v>141</v>
      </c>
      <c r="I3498" s="1" t="s">
        <v>65</v>
      </c>
      <c r="J3498" s="1">
        <v>3</v>
      </c>
      <c r="K3498" s="1" t="s">
        <v>142</v>
      </c>
      <c r="L3498" s="1" t="s">
        <v>153</v>
      </c>
      <c r="M3498" s="1" t="s">
        <v>28</v>
      </c>
      <c r="N3498" s="1" t="str">
        <f>HYPERLINK("https://klocwork.india.ti.com:443/review/insight-review.html#issuedetails_goto:problemid=153353,project=MCU_PLUS_SDK_AM263X,searchquery=taxonomy:'C and C++' build:Build_Apr_13_2023_11_11_AM grouping:off ","KW Issue Link")</f>
        <v>KW Issue Link</v>
      </c>
      <c r="O3498" s="1" t="s">
        <v>1083</v>
      </c>
    </row>
    <row r="3499" spans="1:15" ht="60" x14ac:dyDescent="0.25">
      <c r="A3499" s="1" t="s">
        <v>155</v>
      </c>
      <c r="B3499" s="1"/>
      <c r="C3499" s="1" t="s">
        <v>4719</v>
      </c>
      <c r="D3499" s="1">
        <v>153354</v>
      </c>
      <c r="E3499" s="1">
        <v>1775</v>
      </c>
      <c r="F3499" s="1" t="s">
        <v>156</v>
      </c>
      <c r="G3499" s="1" t="s">
        <v>4733</v>
      </c>
      <c r="H3499" s="1" t="s">
        <v>141</v>
      </c>
      <c r="I3499" s="1" t="s">
        <v>65</v>
      </c>
      <c r="J3499" s="1">
        <v>3</v>
      </c>
      <c r="K3499" s="1" t="s">
        <v>142</v>
      </c>
      <c r="L3499" s="1" t="s">
        <v>153</v>
      </c>
      <c r="M3499" s="1" t="s">
        <v>28</v>
      </c>
      <c r="N3499" s="1" t="str">
        <f>HYPERLINK("https://klocwork.india.ti.com:443/review/insight-review.html#issuedetails_goto:problemid=153354,project=MCU_PLUS_SDK_AM263X,searchquery=taxonomy:'C and C++' build:Build_Apr_13_2023_11_11_AM grouping:off ","KW Issue Link")</f>
        <v>KW Issue Link</v>
      </c>
      <c r="O3499" s="1" t="s">
        <v>1083</v>
      </c>
    </row>
    <row r="3500" spans="1:15" ht="60" x14ac:dyDescent="0.25">
      <c r="A3500" s="1" t="s">
        <v>155</v>
      </c>
      <c r="B3500" s="1"/>
      <c r="C3500" s="1" t="s">
        <v>4719</v>
      </c>
      <c r="D3500" s="1">
        <v>153355</v>
      </c>
      <c r="E3500" s="1">
        <v>1783</v>
      </c>
      <c r="F3500" s="1" t="s">
        <v>156</v>
      </c>
      <c r="G3500" s="1" t="s">
        <v>4733</v>
      </c>
      <c r="H3500" s="1" t="s">
        <v>141</v>
      </c>
      <c r="I3500" s="1" t="s">
        <v>65</v>
      </c>
      <c r="J3500" s="1">
        <v>3</v>
      </c>
      <c r="K3500" s="1" t="s">
        <v>142</v>
      </c>
      <c r="L3500" s="1" t="s">
        <v>153</v>
      </c>
      <c r="M3500" s="1" t="s">
        <v>28</v>
      </c>
      <c r="N3500" s="1" t="str">
        <f>HYPERLINK("https://klocwork.india.ti.com:443/review/insight-review.html#issuedetails_goto:problemid=153355,project=MCU_PLUS_SDK_AM263X,searchquery=taxonomy:'C and C++' build:Build_Apr_13_2023_11_11_AM grouping:off ","KW Issue Link")</f>
        <v>KW Issue Link</v>
      </c>
      <c r="O3500" s="1" t="s">
        <v>1083</v>
      </c>
    </row>
    <row r="3501" spans="1:15" ht="105" x14ac:dyDescent="0.25">
      <c r="A3501" s="1" t="s">
        <v>163</v>
      </c>
      <c r="B3501" s="1"/>
      <c r="C3501" s="1" t="s">
        <v>4719</v>
      </c>
      <c r="D3501" s="1">
        <v>153356</v>
      </c>
      <c r="E3501" s="1">
        <v>250</v>
      </c>
      <c r="F3501" s="1" t="s">
        <v>4752</v>
      </c>
      <c r="G3501" s="1" t="s">
        <v>4753</v>
      </c>
      <c r="H3501" s="1" t="s">
        <v>141</v>
      </c>
      <c r="I3501" s="1" t="s">
        <v>65</v>
      </c>
      <c r="J3501" s="1">
        <v>3</v>
      </c>
      <c r="K3501" s="1" t="s">
        <v>142</v>
      </c>
      <c r="L3501" s="1" t="s">
        <v>153</v>
      </c>
      <c r="M3501" s="1" t="s">
        <v>28</v>
      </c>
      <c r="N3501" s="1" t="str">
        <f>HYPERLINK("https://klocwork.india.ti.com:443/review/insight-review.html#issuedetails_goto:problemid=153356,project=MCU_PLUS_SDK_AM263X,searchquery=taxonomy:'C and C++' build:Build_Apr_13_2023_11_11_AM grouping:off ","KW Issue Link")</f>
        <v>KW Issue Link</v>
      </c>
      <c r="O3501" s="1" t="s">
        <v>1083</v>
      </c>
    </row>
    <row r="3502" spans="1:15" ht="105" x14ac:dyDescent="0.25">
      <c r="A3502" s="1" t="s">
        <v>163</v>
      </c>
      <c r="B3502" s="1"/>
      <c r="C3502" s="1" t="s">
        <v>4719</v>
      </c>
      <c r="D3502" s="1">
        <v>153357</v>
      </c>
      <c r="E3502" s="1">
        <v>256</v>
      </c>
      <c r="F3502" s="1" t="s">
        <v>4754</v>
      </c>
      <c r="G3502" s="1" t="s">
        <v>4753</v>
      </c>
      <c r="H3502" s="1" t="s">
        <v>141</v>
      </c>
      <c r="I3502" s="1" t="s">
        <v>65</v>
      </c>
      <c r="J3502" s="1">
        <v>3</v>
      </c>
      <c r="K3502" s="1" t="s">
        <v>142</v>
      </c>
      <c r="L3502" s="1" t="s">
        <v>153</v>
      </c>
      <c r="M3502" s="1" t="s">
        <v>28</v>
      </c>
      <c r="N3502" s="1" t="str">
        <f>HYPERLINK("https://klocwork.india.ti.com:443/review/insight-review.html#issuedetails_goto:problemid=153357,project=MCU_PLUS_SDK_AM263X,searchquery=taxonomy:'C and C++' build:Build_Apr_13_2023_11_11_AM grouping:off ","KW Issue Link")</f>
        <v>KW Issue Link</v>
      </c>
      <c r="O3502" s="1" t="s">
        <v>1083</v>
      </c>
    </row>
    <row r="3503" spans="1:15" ht="60" x14ac:dyDescent="0.25">
      <c r="A3503" s="1" t="s">
        <v>136</v>
      </c>
      <c r="B3503" s="1"/>
      <c r="C3503" s="1" t="s">
        <v>4719</v>
      </c>
      <c r="D3503" s="1">
        <v>153405</v>
      </c>
      <c r="E3503" s="1">
        <v>741</v>
      </c>
      <c r="F3503" s="1" t="s">
        <v>4755</v>
      </c>
      <c r="G3503" s="1" t="s">
        <v>4756</v>
      </c>
      <c r="H3503" s="1" t="s">
        <v>141</v>
      </c>
      <c r="I3503" s="1" t="s">
        <v>66</v>
      </c>
      <c r="J3503" s="1">
        <v>4</v>
      </c>
      <c r="K3503" s="1" t="s">
        <v>142</v>
      </c>
      <c r="L3503" s="1" t="s">
        <v>153</v>
      </c>
      <c r="M3503" s="1" t="s">
        <v>28</v>
      </c>
      <c r="N3503" s="1" t="str">
        <f>HYPERLINK("https://klocwork.india.ti.com:443/review/insight-review.html#issuedetails_goto:problemid=153405,project=MCU_PLUS_SDK_AM263X,searchquery=taxonomy:'C and C++' build:Build_Apr_13_2023_11_11_AM grouping:off ","KW Issue Link")</f>
        <v>KW Issue Link</v>
      </c>
      <c r="O3503" s="1" t="s">
        <v>1083</v>
      </c>
    </row>
    <row r="3504" spans="1:15" ht="60" x14ac:dyDescent="0.25">
      <c r="A3504" s="1" t="s">
        <v>136</v>
      </c>
      <c r="B3504" s="1"/>
      <c r="C3504" s="1" t="s">
        <v>4719</v>
      </c>
      <c r="D3504" s="1">
        <v>153406</v>
      </c>
      <c r="E3504" s="1">
        <v>921</v>
      </c>
      <c r="F3504" s="1" t="s">
        <v>4639</v>
      </c>
      <c r="G3504" s="1" t="s">
        <v>4727</v>
      </c>
      <c r="H3504" s="1" t="s">
        <v>141</v>
      </c>
      <c r="I3504" s="1" t="s">
        <v>66</v>
      </c>
      <c r="J3504" s="1">
        <v>4</v>
      </c>
      <c r="K3504" s="1" t="s">
        <v>142</v>
      </c>
      <c r="L3504" s="1" t="s">
        <v>153</v>
      </c>
      <c r="M3504" s="1" t="s">
        <v>28</v>
      </c>
      <c r="N3504" s="1" t="str">
        <f>HYPERLINK("https://klocwork.india.ti.com:443/review/insight-review.html#issuedetails_goto:problemid=153406,project=MCU_PLUS_SDK_AM263X,searchquery=taxonomy:'C and C++' build:Build_Apr_13_2023_11_11_AM grouping:off ","KW Issue Link")</f>
        <v>KW Issue Link</v>
      </c>
      <c r="O3504" s="1" t="s">
        <v>1083</v>
      </c>
    </row>
    <row r="3505" spans="1:15" ht="135" x14ac:dyDescent="0.25">
      <c r="A3505" s="1" t="s">
        <v>4757</v>
      </c>
      <c r="B3505" s="1"/>
      <c r="C3505" s="1" t="s">
        <v>4758</v>
      </c>
      <c r="D3505" s="1">
        <v>153528</v>
      </c>
      <c r="E3505" s="1">
        <v>189</v>
      </c>
      <c r="F3505" s="1" t="s">
        <v>4759</v>
      </c>
      <c r="G3505" s="1" t="s">
        <v>4760</v>
      </c>
      <c r="H3505" s="1" t="s">
        <v>141</v>
      </c>
      <c r="I3505" s="1" t="s">
        <v>64</v>
      </c>
      <c r="J3505" s="1">
        <v>2</v>
      </c>
      <c r="K3505" s="1" t="s">
        <v>142</v>
      </c>
      <c r="L3505" s="1" t="s">
        <v>153</v>
      </c>
      <c r="M3505" s="1" t="s">
        <v>28</v>
      </c>
      <c r="N3505" s="1" t="str">
        <f>HYPERLINK("https://klocwork.india.ti.com:443/review/insight-review.html#issuedetails_goto:problemid=153528,project=MCU_PLUS_SDK_AM263X,searchquery=taxonomy:'C and C++' build:Build_Apr_13_2023_11_11_AM grouping:off ","KW Issue Link")</f>
        <v>KW Issue Link</v>
      </c>
      <c r="O3505" s="1" t="s">
        <v>1083</v>
      </c>
    </row>
    <row r="3506" spans="1:15" ht="60" x14ac:dyDescent="0.25">
      <c r="A3506" s="1" t="s">
        <v>1257</v>
      </c>
      <c r="B3506" s="1"/>
      <c r="C3506" s="1" t="s">
        <v>4758</v>
      </c>
      <c r="D3506" s="1">
        <v>153531</v>
      </c>
      <c r="E3506" s="1">
        <v>339</v>
      </c>
      <c r="F3506" s="1" t="s">
        <v>4761</v>
      </c>
      <c r="G3506" s="1" t="s">
        <v>4762</v>
      </c>
      <c r="H3506" s="1" t="s">
        <v>141</v>
      </c>
      <c r="I3506" s="1" t="s">
        <v>65</v>
      </c>
      <c r="J3506" s="1">
        <v>3</v>
      </c>
      <c r="K3506" s="1" t="s">
        <v>142</v>
      </c>
      <c r="L3506" s="1" t="s">
        <v>153</v>
      </c>
      <c r="M3506" s="1" t="s">
        <v>1256</v>
      </c>
      <c r="N3506" s="1" t="str">
        <f>HYPERLINK("https://klocwork.india.ti.com:443/review/insight-review.html#issuedetails_goto:problemid=153531,project=MCU_PLUS_SDK_AM263X,searchquery=taxonomy:'C and C++' build:Build_Apr_13_2023_11_11_AM grouping:off ","KW Issue Link")</f>
        <v>KW Issue Link</v>
      </c>
      <c r="O3506" s="1" t="s">
        <v>1083</v>
      </c>
    </row>
    <row r="3507" spans="1:15" ht="60" x14ac:dyDescent="0.25">
      <c r="A3507" s="1" t="s">
        <v>1257</v>
      </c>
      <c r="B3507" s="1"/>
      <c r="C3507" s="1" t="s">
        <v>4758</v>
      </c>
      <c r="D3507" s="1">
        <v>153532</v>
      </c>
      <c r="E3507" s="1">
        <v>386</v>
      </c>
      <c r="F3507" s="1" t="s">
        <v>4763</v>
      </c>
      <c r="G3507" s="1" t="s">
        <v>4764</v>
      </c>
      <c r="H3507" s="1" t="s">
        <v>141</v>
      </c>
      <c r="I3507" s="1" t="s">
        <v>65</v>
      </c>
      <c r="J3507" s="1">
        <v>3</v>
      </c>
      <c r="K3507" s="1" t="s">
        <v>142</v>
      </c>
      <c r="L3507" s="1" t="s">
        <v>153</v>
      </c>
      <c r="M3507" s="1" t="s">
        <v>1256</v>
      </c>
      <c r="N3507" s="1" t="str">
        <f>HYPERLINK("https://klocwork.india.ti.com:443/review/insight-review.html#issuedetails_goto:problemid=153532,project=MCU_PLUS_SDK_AM263X,searchquery=taxonomy:'C and C++' build:Build_Apr_13_2023_11_11_AM grouping:off ","KW Issue Link")</f>
        <v>KW Issue Link</v>
      </c>
      <c r="O3507" s="1" t="s">
        <v>1083</v>
      </c>
    </row>
    <row r="3508" spans="1:15" ht="60" x14ac:dyDescent="0.25">
      <c r="A3508" s="1" t="s">
        <v>1257</v>
      </c>
      <c r="B3508" s="1"/>
      <c r="C3508" s="1" t="s">
        <v>4765</v>
      </c>
      <c r="D3508" s="1">
        <v>153814</v>
      </c>
      <c r="E3508" s="1">
        <v>554</v>
      </c>
      <c r="F3508" s="1" t="s">
        <v>4766</v>
      </c>
      <c r="G3508" s="1" t="s">
        <v>4767</v>
      </c>
      <c r="H3508" s="1" t="s">
        <v>141</v>
      </c>
      <c r="I3508" s="1" t="s">
        <v>65</v>
      </c>
      <c r="J3508" s="1">
        <v>3</v>
      </c>
      <c r="K3508" s="1" t="s">
        <v>142</v>
      </c>
      <c r="L3508" s="1" t="s">
        <v>153</v>
      </c>
      <c r="M3508" s="1" t="s">
        <v>1256</v>
      </c>
      <c r="N3508" s="1" t="str">
        <f>HYPERLINK("https://klocwork.india.ti.com:443/review/insight-review.html#issuedetails_goto:problemid=153814,project=MCU_PLUS_SDK_AM263X,searchquery=taxonomy:'C and C++' build:Build_Apr_13_2023_11_11_AM grouping:off ","KW Issue Link")</f>
        <v>KW Issue Link</v>
      </c>
      <c r="O3508" s="1" t="s">
        <v>1083</v>
      </c>
    </row>
    <row r="3509" spans="1:15" ht="60" x14ac:dyDescent="0.25">
      <c r="A3509" s="1" t="s">
        <v>1257</v>
      </c>
      <c r="B3509" s="1"/>
      <c r="C3509" s="1" t="s">
        <v>4765</v>
      </c>
      <c r="D3509" s="1">
        <v>153815</v>
      </c>
      <c r="E3509" s="1">
        <v>1010</v>
      </c>
      <c r="F3509" s="1" t="s">
        <v>4768</v>
      </c>
      <c r="G3509" s="1" t="s">
        <v>4769</v>
      </c>
      <c r="H3509" s="1" t="s">
        <v>141</v>
      </c>
      <c r="I3509" s="1" t="s">
        <v>65</v>
      </c>
      <c r="J3509" s="1">
        <v>3</v>
      </c>
      <c r="K3509" s="1" t="s">
        <v>142</v>
      </c>
      <c r="L3509" s="1" t="s">
        <v>153</v>
      </c>
      <c r="M3509" s="1" t="s">
        <v>1256</v>
      </c>
      <c r="N3509" s="1" t="str">
        <f>HYPERLINK("https://klocwork.india.ti.com:443/review/insight-review.html#issuedetails_goto:problemid=153815,project=MCU_PLUS_SDK_AM263X,searchquery=taxonomy:'C and C++' build:Build_Apr_13_2023_11_11_AM grouping:off ","KW Issue Link")</f>
        <v>KW Issue Link</v>
      </c>
      <c r="O3509" s="1" t="s">
        <v>1083</v>
      </c>
    </row>
    <row r="3510" spans="1:15" ht="60" x14ac:dyDescent="0.25">
      <c r="A3510" s="1" t="s">
        <v>1257</v>
      </c>
      <c r="B3510" s="1"/>
      <c r="C3510" s="1" t="s">
        <v>4765</v>
      </c>
      <c r="D3510" s="1">
        <v>153816</v>
      </c>
      <c r="E3510" s="1">
        <v>1341</v>
      </c>
      <c r="F3510" s="1" t="s">
        <v>4770</v>
      </c>
      <c r="G3510" s="1" t="s">
        <v>4771</v>
      </c>
      <c r="H3510" s="1" t="s">
        <v>141</v>
      </c>
      <c r="I3510" s="1" t="s">
        <v>65</v>
      </c>
      <c r="J3510" s="1">
        <v>3</v>
      </c>
      <c r="K3510" s="1" t="s">
        <v>142</v>
      </c>
      <c r="L3510" s="1" t="s">
        <v>153</v>
      </c>
      <c r="M3510" s="1" t="s">
        <v>1256</v>
      </c>
      <c r="N3510" s="1" t="str">
        <f>HYPERLINK("https://klocwork.india.ti.com:443/review/insight-review.html#issuedetails_goto:problemid=153816,project=MCU_PLUS_SDK_AM263X,searchquery=taxonomy:'C and C++' build:Build_Apr_13_2023_11_11_AM grouping:off ","KW Issue Link")</f>
        <v>KW Issue Link</v>
      </c>
      <c r="O3510" s="1" t="s">
        <v>1083</v>
      </c>
    </row>
    <row r="3511" spans="1:15" ht="60" x14ac:dyDescent="0.25">
      <c r="A3511" s="1" t="s">
        <v>1266</v>
      </c>
      <c r="B3511" s="1"/>
      <c r="C3511" s="1" t="s">
        <v>4765</v>
      </c>
      <c r="D3511" s="1">
        <v>153817</v>
      </c>
      <c r="E3511" s="1">
        <v>554</v>
      </c>
      <c r="F3511" s="1" t="s">
        <v>4772</v>
      </c>
      <c r="G3511" s="1" t="s">
        <v>4767</v>
      </c>
      <c r="H3511" s="1" t="s">
        <v>141</v>
      </c>
      <c r="I3511" s="1" t="s">
        <v>65</v>
      </c>
      <c r="J3511" s="1">
        <v>3</v>
      </c>
      <c r="K3511" s="1" t="s">
        <v>142</v>
      </c>
      <c r="L3511" s="1" t="s">
        <v>153</v>
      </c>
      <c r="M3511" s="1" t="s">
        <v>1256</v>
      </c>
      <c r="N3511" s="1" t="str">
        <f>HYPERLINK("https://klocwork.india.ti.com:443/review/insight-review.html#issuedetails_goto:problemid=153817,project=MCU_PLUS_SDK_AM263X,searchquery=taxonomy:'C and C++' build:Build_Apr_13_2023_11_11_AM grouping:off ","KW Issue Link")</f>
        <v>KW Issue Link</v>
      </c>
      <c r="O3511" s="1" t="s">
        <v>1083</v>
      </c>
    </row>
    <row r="3512" spans="1:15" ht="60" x14ac:dyDescent="0.25">
      <c r="A3512" s="1" t="s">
        <v>1266</v>
      </c>
      <c r="B3512" s="1"/>
      <c r="C3512" s="1" t="s">
        <v>4765</v>
      </c>
      <c r="D3512" s="1">
        <v>153818</v>
      </c>
      <c r="E3512" s="1">
        <v>1010</v>
      </c>
      <c r="F3512" s="1" t="s">
        <v>4773</v>
      </c>
      <c r="G3512" s="1" t="s">
        <v>4769</v>
      </c>
      <c r="H3512" s="1" t="s">
        <v>141</v>
      </c>
      <c r="I3512" s="1" t="s">
        <v>65</v>
      </c>
      <c r="J3512" s="1">
        <v>3</v>
      </c>
      <c r="K3512" s="1" t="s">
        <v>142</v>
      </c>
      <c r="L3512" s="1" t="s">
        <v>153</v>
      </c>
      <c r="M3512" s="1" t="s">
        <v>1256</v>
      </c>
      <c r="N3512" s="1" t="str">
        <f>HYPERLINK("https://klocwork.india.ti.com:443/review/insight-review.html#issuedetails_goto:problemid=153818,project=MCU_PLUS_SDK_AM263X,searchquery=taxonomy:'C and C++' build:Build_Apr_13_2023_11_11_AM grouping:off ","KW Issue Link")</f>
        <v>KW Issue Link</v>
      </c>
      <c r="O3512" s="1" t="s">
        <v>1083</v>
      </c>
    </row>
    <row r="3513" spans="1:15" ht="60" x14ac:dyDescent="0.25">
      <c r="A3513" s="1" t="s">
        <v>1266</v>
      </c>
      <c r="B3513" s="1"/>
      <c r="C3513" s="1" t="s">
        <v>4765</v>
      </c>
      <c r="D3513" s="1">
        <v>153819</v>
      </c>
      <c r="E3513" s="1">
        <v>1341</v>
      </c>
      <c r="F3513" s="1" t="s">
        <v>4774</v>
      </c>
      <c r="G3513" s="1" t="s">
        <v>4771</v>
      </c>
      <c r="H3513" s="1" t="s">
        <v>141</v>
      </c>
      <c r="I3513" s="1" t="s">
        <v>65</v>
      </c>
      <c r="J3513" s="1">
        <v>3</v>
      </c>
      <c r="K3513" s="1" t="s">
        <v>142</v>
      </c>
      <c r="L3513" s="1" t="s">
        <v>153</v>
      </c>
      <c r="M3513" s="1" t="s">
        <v>1256</v>
      </c>
      <c r="N3513" s="1" t="str">
        <f>HYPERLINK("https://klocwork.india.ti.com:443/review/insight-review.html#issuedetails_goto:problemid=153819,project=MCU_PLUS_SDK_AM263X,searchquery=taxonomy:'C and C++' build:Build_Apr_13_2023_11_11_AM grouping:off ","KW Issue Link")</f>
        <v>KW Issue Link</v>
      </c>
      <c r="O3513" s="1" t="s">
        <v>1083</v>
      </c>
    </row>
    <row r="3514" spans="1:15" ht="60" x14ac:dyDescent="0.25">
      <c r="A3514" s="1" t="s">
        <v>1266</v>
      </c>
      <c r="B3514" s="1"/>
      <c r="C3514" s="1" t="s">
        <v>4765</v>
      </c>
      <c r="D3514" s="1">
        <v>153820</v>
      </c>
      <c r="E3514" s="1">
        <v>1804</v>
      </c>
      <c r="F3514" s="1" t="s">
        <v>4775</v>
      </c>
      <c r="G3514" s="1" t="s">
        <v>4776</v>
      </c>
      <c r="H3514" s="1" t="s">
        <v>141</v>
      </c>
      <c r="I3514" s="1" t="s">
        <v>65</v>
      </c>
      <c r="J3514" s="1">
        <v>3</v>
      </c>
      <c r="K3514" s="1" t="s">
        <v>142</v>
      </c>
      <c r="L3514" s="1" t="s">
        <v>153</v>
      </c>
      <c r="M3514" s="1" t="s">
        <v>1256</v>
      </c>
      <c r="N3514" s="1" t="str">
        <f>HYPERLINK("https://klocwork.india.ti.com:443/review/insight-review.html#issuedetails_goto:problemid=153820,project=MCU_PLUS_SDK_AM263X,searchquery=taxonomy:'C and C++' build:Build_Apr_13_2023_11_11_AM grouping:off ","KW Issue Link")</f>
        <v>KW Issue Link</v>
      </c>
      <c r="O3514" s="1" t="s">
        <v>1083</v>
      </c>
    </row>
    <row r="3515" spans="1:15" ht="60" x14ac:dyDescent="0.25">
      <c r="A3515" s="1" t="s">
        <v>136</v>
      </c>
      <c r="B3515" s="1"/>
      <c r="C3515" s="1" t="s">
        <v>4765</v>
      </c>
      <c r="D3515" s="1">
        <v>153823</v>
      </c>
      <c r="E3515" s="1">
        <v>924</v>
      </c>
      <c r="F3515" s="1" t="s">
        <v>4640</v>
      </c>
      <c r="G3515" s="1" t="s">
        <v>4777</v>
      </c>
      <c r="H3515" s="1" t="s">
        <v>141</v>
      </c>
      <c r="I3515" s="1" t="s">
        <v>66</v>
      </c>
      <c r="J3515" s="1">
        <v>4</v>
      </c>
      <c r="K3515" s="1" t="s">
        <v>142</v>
      </c>
      <c r="L3515" s="1" t="s">
        <v>153</v>
      </c>
      <c r="M3515" s="1" t="s">
        <v>28</v>
      </c>
      <c r="N3515" s="1" t="str">
        <f>HYPERLINK("https://klocwork.india.ti.com:443/review/insight-review.html#issuedetails_goto:problemid=153823,project=MCU_PLUS_SDK_AM263X,searchquery=taxonomy:'C and C++' build:Build_Apr_13_2023_11_11_AM grouping:off ","KW Issue Link")</f>
        <v>KW Issue Link</v>
      </c>
      <c r="O3515" s="1" t="s">
        <v>1083</v>
      </c>
    </row>
    <row r="3516" spans="1:15" ht="60" x14ac:dyDescent="0.25">
      <c r="A3516" s="1" t="s">
        <v>136</v>
      </c>
      <c r="B3516" s="1"/>
      <c r="C3516" s="1" t="s">
        <v>4765</v>
      </c>
      <c r="D3516" s="1">
        <v>153824</v>
      </c>
      <c r="E3516" s="1">
        <v>960</v>
      </c>
      <c r="F3516" s="1" t="s">
        <v>4640</v>
      </c>
      <c r="G3516" s="1" t="s">
        <v>4777</v>
      </c>
      <c r="H3516" s="1" t="s">
        <v>141</v>
      </c>
      <c r="I3516" s="1" t="s">
        <v>66</v>
      </c>
      <c r="J3516" s="1">
        <v>4</v>
      </c>
      <c r="K3516" s="1" t="s">
        <v>142</v>
      </c>
      <c r="L3516" s="1" t="s">
        <v>153</v>
      </c>
      <c r="M3516" s="1" t="s">
        <v>28</v>
      </c>
      <c r="N3516" s="1" t="str">
        <f>HYPERLINK("https://klocwork.india.ti.com:443/review/insight-review.html#issuedetails_goto:problemid=153824,project=MCU_PLUS_SDK_AM263X,searchquery=taxonomy:'C and C++' build:Build_Apr_13_2023_11_11_AM grouping:off ","KW Issue Link")</f>
        <v>KW Issue Link</v>
      </c>
      <c r="O3516" s="1" t="s">
        <v>1083</v>
      </c>
    </row>
    <row r="3517" spans="1:15" ht="60" x14ac:dyDescent="0.25">
      <c r="A3517" s="1" t="s">
        <v>136</v>
      </c>
      <c r="B3517" s="1"/>
      <c r="C3517" s="1" t="s">
        <v>4765</v>
      </c>
      <c r="D3517" s="1">
        <v>153825</v>
      </c>
      <c r="E3517" s="1">
        <v>965</v>
      </c>
      <c r="F3517" s="1" t="s">
        <v>4640</v>
      </c>
      <c r="G3517" s="1" t="s">
        <v>4777</v>
      </c>
      <c r="H3517" s="1" t="s">
        <v>141</v>
      </c>
      <c r="I3517" s="1" t="s">
        <v>66</v>
      </c>
      <c r="J3517" s="1">
        <v>4</v>
      </c>
      <c r="K3517" s="1" t="s">
        <v>142</v>
      </c>
      <c r="L3517" s="1" t="s">
        <v>153</v>
      </c>
      <c r="M3517" s="1" t="s">
        <v>28</v>
      </c>
      <c r="N3517" s="1" t="str">
        <f>HYPERLINK("https://klocwork.india.ti.com:443/review/insight-review.html#issuedetails_goto:problemid=153825,project=MCU_PLUS_SDK_AM263X,searchquery=taxonomy:'C and C++' build:Build_Apr_13_2023_11_11_AM grouping:off ","KW Issue Link")</f>
        <v>KW Issue Link</v>
      </c>
      <c r="O3517" s="1" t="s">
        <v>1083</v>
      </c>
    </row>
    <row r="3518" spans="1:15" ht="60" x14ac:dyDescent="0.25">
      <c r="A3518" s="1" t="s">
        <v>1268</v>
      </c>
      <c r="B3518" s="1"/>
      <c r="C3518" s="1" t="s">
        <v>4765</v>
      </c>
      <c r="D3518" s="1">
        <v>153844</v>
      </c>
      <c r="E3518" s="1">
        <v>1010</v>
      </c>
      <c r="F3518" s="1" t="s">
        <v>4778</v>
      </c>
      <c r="G3518" s="1" t="s">
        <v>4769</v>
      </c>
      <c r="H3518" s="1" t="s">
        <v>141</v>
      </c>
      <c r="I3518" s="1" t="s">
        <v>65</v>
      </c>
      <c r="J3518" s="1">
        <v>3</v>
      </c>
      <c r="K3518" s="1" t="s">
        <v>142</v>
      </c>
      <c r="L3518" s="1" t="s">
        <v>153</v>
      </c>
      <c r="M3518" s="1" t="s">
        <v>1256</v>
      </c>
      <c r="N3518" s="1" t="str">
        <f>HYPERLINK("https://klocwork.india.ti.com:443/review/insight-review.html#issuedetails_goto:problemid=153844,project=MCU_PLUS_SDK_AM263X,searchquery=taxonomy:'C and C++' build:Build_Apr_13_2023_11_11_AM grouping:off ","KW Issue Link")</f>
        <v>KW Issue Link</v>
      </c>
      <c r="O3518" s="1" t="s">
        <v>1083</v>
      </c>
    </row>
    <row r="3519" spans="1:15" ht="60" x14ac:dyDescent="0.25">
      <c r="A3519" s="1" t="s">
        <v>1268</v>
      </c>
      <c r="B3519" s="1"/>
      <c r="C3519" s="1" t="s">
        <v>4765</v>
      </c>
      <c r="D3519" s="1">
        <v>153845</v>
      </c>
      <c r="E3519" s="1">
        <v>1341</v>
      </c>
      <c r="F3519" s="1" t="s">
        <v>4779</v>
      </c>
      <c r="G3519" s="1" t="s">
        <v>4771</v>
      </c>
      <c r="H3519" s="1" t="s">
        <v>141</v>
      </c>
      <c r="I3519" s="1" t="s">
        <v>65</v>
      </c>
      <c r="J3519" s="1">
        <v>3</v>
      </c>
      <c r="K3519" s="1" t="s">
        <v>142</v>
      </c>
      <c r="L3519" s="1" t="s">
        <v>153</v>
      </c>
      <c r="M3519" s="1" t="s">
        <v>1256</v>
      </c>
      <c r="N3519" s="1" t="str">
        <f>HYPERLINK("https://klocwork.india.ti.com:443/review/insight-review.html#issuedetails_goto:problemid=153845,project=MCU_PLUS_SDK_AM263X,searchquery=taxonomy:'C and C++' build:Build_Apr_13_2023_11_11_AM grouping:off ","KW Issue Link")</f>
        <v>KW Issue Link</v>
      </c>
      <c r="O3519" s="1" t="s">
        <v>1083</v>
      </c>
    </row>
    <row r="3520" spans="1:15" ht="60" x14ac:dyDescent="0.25">
      <c r="A3520" s="1" t="s">
        <v>1266</v>
      </c>
      <c r="B3520" s="1"/>
      <c r="C3520" s="1" t="s">
        <v>4780</v>
      </c>
      <c r="D3520" s="1">
        <v>154142</v>
      </c>
      <c r="E3520" s="1">
        <v>542</v>
      </c>
      <c r="F3520" s="1" t="s">
        <v>4781</v>
      </c>
      <c r="G3520" s="1" t="s">
        <v>4782</v>
      </c>
      <c r="H3520" s="1" t="s">
        <v>141</v>
      </c>
      <c r="I3520" s="1" t="s">
        <v>65</v>
      </c>
      <c r="J3520" s="1">
        <v>3</v>
      </c>
      <c r="K3520" s="1" t="s">
        <v>142</v>
      </c>
      <c r="L3520" s="1" t="s">
        <v>153</v>
      </c>
      <c r="M3520" s="1" t="s">
        <v>1256</v>
      </c>
      <c r="N3520" s="1" t="str">
        <f>HYPERLINK("https://klocwork.india.ti.com:443/review/insight-review.html#issuedetails_goto:problemid=154142,project=MCU_PLUS_SDK_AM263X,searchquery=taxonomy:'C and C++' build:Build_Apr_13_2023_11_11_AM grouping:off ","KW Issue Link")</f>
        <v>KW Issue Link</v>
      </c>
      <c r="O3520" s="1" t="s">
        <v>1083</v>
      </c>
    </row>
    <row r="3521" spans="1:15" ht="90" x14ac:dyDescent="0.25">
      <c r="A3521" s="1" t="s">
        <v>149</v>
      </c>
      <c r="B3521" s="1"/>
      <c r="C3521" s="1" t="s">
        <v>4780</v>
      </c>
      <c r="D3521" s="1">
        <v>154144</v>
      </c>
      <c r="E3521" s="1">
        <v>626</v>
      </c>
      <c r="F3521" s="1" t="s">
        <v>4783</v>
      </c>
      <c r="G3521" s="1" t="s">
        <v>4782</v>
      </c>
      <c r="H3521" s="1" t="s">
        <v>141</v>
      </c>
      <c r="I3521" s="1" t="s">
        <v>65</v>
      </c>
      <c r="J3521" s="1">
        <v>3</v>
      </c>
      <c r="K3521" s="1" t="s">
        <v>142</v>
      </c>
      <c r="L3521" s="1" t="s">
        <v>153</v>
      </c>
      <c r="M3521" s="1" t="s">
        <v>28</v>
      </c>
      <c r="N3521" s="1" t="str">
        <f>HYPERLINK("https://klocwork.india.ti.com:443/review/insight-review.html#issuedetails_goto:problemid=154144,project=MCU_PLUS_SDK_AM263X,searchquery=taxonomy:'C and C++' build:Build_Apr_13_2023_11_11_AM grouping:off ","KW Issue Link")</f>
        <v>KW Issue Link</v>
      </c>
      <c r="O3521" s="1" t="s">
        <v>1083</v>
      </c>
    </row>
    <row r="3522" spans="1:15" ht="60" x14ac:dyDescent="0.25">
      <c r="A3522" s="1" t="s">
        <v>155</v>
      </c>
      <c r="B3522" s="1"/>
      <c r="C3522" s="1" t="s">
        <v>4780</v>
      </c>
      <c r="D3522" s="1">
        <v>154145</v>
      </c>
      <c r="E3522" s="1">
        <v>644</v>
      </c>
      <c r="F3522" s="1" t="s">
        <v>156</v>
      </c>
      <c r="G3522" s="1" t="s">
        <v>4782</v>
      </c>
      <c r="H3522" s="1" t="s">
        <v>141</v>
      </c>
      <c r="I3522" s="1" t="s">
        <v>65</v>
      </c>
      <c r="J3522" s="1">
        <v>3</v>
      </c>
      <c r="K3522" s="1" t="s">
        <v>142</v>
      </c>
      <c r="L3522" s="1" t="s">
        <v>153</v>
      </c>
      <c r="M3522" s="1" t="s">
        <v>28</v>
      </c>
      <c r="N3522" s="1" t="str">
        <f>HYPERLINK("https://klocwork.india.ti.com:443/review/insight-review.html#issuedetails_goto:problemid=154145,project=MCU_PLUS_SDK_AM263X,searchquery=taxonomy:'C and C++' build:Build_Apr_13_2023_11_11_AM grouping:off ","KW Issue Link")</f>
        <v>KW Issue Link</v>
      </c>
      <c r="O3522" s="1" t="s">
        <v>1083</v>
      </c>
    </row>
    <row r="3523" spans="1:15" ht="60" x14ac:dyDescent="0.25">
      <c r="A3523" s="1" t="s">
        <v>1257</v>
      </c>
      <c r="B3523" s="1"/>
      <c r="C3523" s="1" t="s">
        <v>4784</v>
      </c>
      <c r="D3523" s="1">
        <v>154171</v>
      </c>
      <c r="E3523" s="1">
        <v>75</v>
      </c>
      <c r="F3523" s="1" t="s">
        <v>4785</v>
      </c>
      <c r="G3523" s="1" t="s">
        <v>4786</v>
      </c>
      <c r="H3523" s="1" t="s">
        <v>141</v>
      </c>
      <c r="I3523" s="1" t="s">
        <v>65</v>
      </c>
      <c r="J3523" s="1">
        <v>3</v>
      </c>
      <c r="K3523" s="1" t="s">
        <v>142</v>
      </c>
      <c r="L3523" s="1" t="s">
        <v>153</v>
      </c>
      <c r="M3523" s="1" t="s">
        <v>1256</v>
      </c>
      <c r="N3523" s="1" t="str">
        <f>HYPERLINK("https://klocwork.india.ti.com:443/review/insight-review.html#issuedetails_goto:problemid=154171,project=MCU_PLUS_SDK_AM263X,searchquery=taxonomy:'C and C++' build:Build_Apr_13_2023_11_11_AM grouping:off ","KW Issue Link")</f>
        <v>KW Issue Link</v>
      </c>
      <c r="O3523" s="1" t="s">
        <v>1083</v>
      </c>
    </row>
    <row r="3524" spans="1:15" ht="60" x14ac:dyDescent="0.25">
      <c r="A3524" s="1" t="s">
        <v>1257</v>
      </c>
      <c r="B3524" s="1"/>
      <c r="C3524" s="1" t="s">
        <v>4784</v>
      </c>
      <c r="D3524" s="1">
        <v>154172</v>
      </c>
      <c r="E3524" s="1">
        <v>161</v>
      </c>
      <c r="F3524" s="1" t="s">
        <v>4787</v>
      </c>
      <c r="G3524" s="1" t="s">
        <v>4788</v>
      </c>
      <c r="H3524" s="1" t="s">
        <v>141</v>
      </c>
      <c r="I3524" s="1" t="s">
        <v>65</v>
      </c>
      <c r="J3524" s="1">
        <v>3</v>
      </c>
      <c r="K3524" s="1" t="s">
        <v>142</v>
      </c>
      <c r="L3524" s="1" t="s">
        <v>153</v>
      </c>
      <c r="M3524" s="1" t="s">
        <v>1256</v>
      </c>
      <c r="N3524" s="1" t="str">
        <f>HYPERLINK("https://klocwork.india.ti.com:443/review/insight-review.html#issuedetails_goto:problemid=154172,project=MCU_PLUS_SDK_AM263X,searchquery=taxonomy:'C and C++' build:Build_Apr_13_2023_11_11_AM grouping:off ","KW Issue Link")</f>
        <v>KW Issue Link</v>
      </c>
      <c r="O3524" s="1" t="s">
        <v>1083</v>
      </c>
    </row>
    <row r="3525" spans="1:15" ht="60" x14ac:dyDescent="0.25">
      <c r="A3525" s="1" t="s">
        <v>1266</v>
      </c>
      <c r="B3525" s="1"/>
      <c r="C3525" s="1" t="s">
        <v>4784</v>
      </c>
      <c r="D3525" s="1">
        <v>154173</v>
      </c>
      <c r="E3525" s="1">
        <v>75</v>
      </c>
      <c r="F3525" s="1" t="s">
        <v>4789</v>
      </c>
      <c r="G3525" s="1" t="s">
        <v>4786</v>
      </c>
      <c r="H3525" s="1" t="s">
        <v>141</v>
      </c>
      <c r="I3525" s="1" t="s">
        <v>65</v>
      </c>
      <c r="J3525" s="1">
        <v>3</v>
      </c>
      <c r="K3525" s="1" t="s">
        <v>142</v>
      </c>
      <c r="L3525" s="1" t="s">
        <v>153</v>
      </c>
      <c r="M3525" s="1" t="s">
        <v>1256</v>
      </c>
      <c r="N3525" s="1" t="str">
        <f>HYPERLINK("https://klocwork.india.ti.com:443/review/insight-review.html#issuedetails_goto:problemid=154173,project=MCU_PLUS_SDK_AM263X,searchquery=taxonomy:'C and C++' build:Build_Apr_13_2023_11_11_AM grouping:off ","KW Issue Link")</f>
        <v>KW Issue Link</v>
      </c>
      <c r="O3525" s="1" t="s">
        <v>1083</v>
      </c>
    </row>
    <row r="3526" spans="1:15" ht="60" x14ac:dyDescent="0.25">
      <c r="A3526" s="1" t="s">
        <v>1268</v>
      </c>
      <c r="B3526" s="1"/>
      <c r="C3526" s="1" t="s">
        <v>4784</v>
      </c>
      <c r="D3526" s="1">
        <v>154174</v>
      </c>
      <c r="E3526" s="1">
        <v>75</v>
      </c>
      <c r="F3526" s="1" t="s">
        <v>4790</v>
      </c>
      <c r="G3526" s="1" t="s">
        <v>4786</v>
      </c>
      <c r="H3526" s="1" t="s">
        <v>141</v>
      </c>
      <c r="I3526" s="1" t="s">
        <v>65</v>
      </c>
      <c r="J3526" s="1">
        <v>3</v>
      </c>
      <c r="K3526" s="1" t="s">
        <v>142</v>
      </c>
      <c r="L3526" s="1" t="s">
        <v>153</v>
      </c>
      <c r="M3526" s="1" t="s">
        <v>1256</v>
      </c>
      <c r="N3526" s="1" t="str">
        <f>HYPERLINK("https://klocwork.india.ti.com:443/review/insight-review.html#issuedetails_goto:problemid=154174,project=MCU_PLUS_SDK_AM263X,searchquery=taxonomy:'C and C++' build:Build_Apr_13_2023_11_11_AM grouping:off ","KW Issue Link")</f>
        <v>KW Issue Link</v>
      </c>
      <c r="O3526" s="1" t="s">
        <v>1083</v>
      </c>
    </row>
    <row r="3527" spans="1:15" ht="75" x14ac:dyDescent="0.25">
      <c r="A3527" s="1" t="s">
        <v>157</v>
      </c>
      <c r="B3527" s="1"/>
      <c r="C3527" s="1" t="s">
        <v>4791</v>
      </c>
      <c r="D3527" s="1">
        <v>154243</v>
      </c>
      <c r="E3527" s="1">
        <v>96</v>
      </c>
      <c r="F3527" s="1" t="s">
        <v>274</v>
      </c>
      <c r="G3527" s="1" t="s">
        <v>4792</v>
      </c>
      <c r="H3527" s="1" t="s">
        <v>141</v>
      </c>
      <c r="I3527" s="1" t="s">
        <v>65</v>
      </c>
      <c r="J3527" s="1">
        <v>3</v>
      </c>
      <c r="K3527" s="1" t="s">
        <v>142</v>
      </c>
      <c r="L3527" s="1" t="s">
        <v>153</v>
      </c>
      <c r="M3527" s="1" t="s">
        <v>28</v>
      </c>
      <c r="N3527" s="1" t="str">
        <f>HYPERLINK("https://klocwork.india.ti.com:443/review/insight-review.html#issuedetails_goto:problemid=154243,project=MCU_PLUS_SDK_AM263X,searchquery=taxonomy:'C and C++' build:Build_Apr_13_2023_11_11_AM grouping:off ","KW Issue Link")</f>
        <v>KW Issue Link</v>
      </c>
      <c r="O3527" s="1" t="s">
        <v>259</v>
      </c>
    </row>
    <row r="3528" spans="1:15" ht="75" x14ac:dyDescent="0.25">
      <c r="A3528" s="1" t="s">
        <v>157</v>
      </c>
      <c r="B3528" s="1"/>
      <c r="C3528" s="1" t="s">
        <v>1650</v>
      </c>
      <c r="D3528" s="1">
        <v>154273</v>
      </c>
      <c r="E3528" s="1">
        <v>4192</v>
      </c>
      <c r="F3528" s="1" t="s">
        <v>4793</v>
      </c>
      <c r="G3528" s="1" t="s">
        <v>4794</v>
      </c>
      <c r="H3528" s="1" t="s">
        <v>141</v>
      </c>
      <c r="I3528" s="1" t="s">
        <v>65</v>
      </c>
      <c r="J3528" s="1">
        <v>3</v>
      </c>
      <c r="K3528" s="1" t="s">
        <v>142</v>
      </c>
      <c r="L3528" s="1" t="s">
        <v>153</v>
      </c>
      <c r="M3528" s="1" t="s">
        <v>28</v>
      </c>
      <c r="N3528" s="1" t="str">
        <f>HYPERLINK("https://klocwork.india.ti.com:443/review/insight-review.html#issuedetails_goto:problemid=154273,project=MCU_PLUS_SDK_AM263X,searchquery=taxonomy:'C and C++' build:Build_Apr_13_2023_11_11_AM grouping:off ","KW Issue Link")</f>
        <v>KW Issue Link</v>
      </c>
      <c r="O3528" s="1" t="s">
        <v>356</v>
      </c>
    </row>
    <row r="3529" spans="1:15" ht="75" x14ac:dyDescent="0.25">
      <c r="A3529" s="1" t="s">
        <v>157</v>
      </c>
      <c r="B3529" s="1"/>
      <c r="C3529" s="1" t="s">
        <v>1650</v>
      </c>
      <c r="D3529" s="1">
        <v>154274</v>
      </c>
      <c r="E3529" s="1">
        <v>4192</v>
      </c>
      <c r="F3529" s="1" t="s">
        <v>4793</v>
      </c>
      <c r="G3529" s="1" t="s">
        <v>4794</v>
      </c>
      <c r="H3529" s="1" t="s">
        <v>141</v>
      </c>
      <c r="I3529" s="1" t="s">
        <v>65</v>
      </c>
      <c r="J3529" s="1">
        <v>3</v>
      </c>
      <c r="K3529" s="1" t="s">
        <v>142</v>
      </c>
      <c r="L3529" s="1" t="s">
        <v>153</v>
      </c>
      <c r="M3529" s="1" t="s">
        <v>28</v>
      </c>
      <c r="N3529" s="1" t="str">
        <f>HYPERLINK("https://klocwork.india.ti.com:443/review/insight-review.html#issuedetails_goto:problemid=154274,project=MCU_PLUS_SDK_AM263X,searchquery=taxonomy:'C and C++' build:Build_Apr_13_2023_11_11_AM grouping:off ","KW Issue Link")</f>
        <v>KW Issue Link</v>
      </c>
      <c r="O3529" s="1" t="s">
        <v>356</v>
      </c>
    </row>
    <row r="3530" spans="1:15" ht="60" x14ac:dyDescent="0.25">
      <c r="A3530" s="1" t="s">
        <v>1257</v>
      </c>
      <c r="B3530" s="1"/>
      <c r="C3530" s="1" t="s">
        <v>517</v>
      </c>
      <c r="D3530" s="1">
        <v>154290</v>
      </c>
      <c r="E3530" s="1">
        <v>194</v>
      </c>
      <c r="F3530" s="1" t="s">
        <v>4795</v>
      </c>
      <c r="G3530" s="1" t="s">
        <v>1165</v>
      </c>
      <c r="H3530" s="1" t="s">
        <v>141</v>
      </c>
      <c r="I3530" s="1" t="s">
        <v>65</v>
      </c>
      <c r="J3530" s="1">
        <v>3</v>
      </c>
      <c r="K3530" s="1" t="s">
        <v>142</v>
      </c>
      <c r="L3530" s="1" t="s">
        <v>153</v>
      </c>
      <c r="M3530" s="1" t="s">
        <v>1256</v>
      </c>
      <c r="N3530" s="1" t="str">
        <f>HYPERLINK("https://klocwork.india.ti.com:443/review/insight-review.html#issuedetails_goto:problemid=154290,project=MCU_PLUS_SDK_AM263X,searchquery=taxonomy:'C and C++' build:Build_Apr_13_2023_11_11_AM grouping:off ","KW Issue Link")</f>
        <v>KW Issue Link</v>
      </c>
      <c r="O3530" s="1" t="s">
        <v>356</v>
      </c>
    </row>
    <row r="3531" spans="1:15" ht="60" x14ac:dyDescent="0.25">
      <c r="A3531" s="1" t="s">
        <v>155</v>
      </c>
      <c r="B3531" s="1"/>
      <c r="C3531" s="1" t="s">
        <v>517</v>
      </c>
      <c r="D3531" s="1">
        <v>154295</v>
      </c>
      <c r="E3531" s="1">
        <v>275</v>
      </c>
      <c r="F3531" s="1" t="s">
        <v>156</v>
      </c>
      <c r="G3531" s="1" t="s">
        <v>1165</v>
      </c>
      <c r="H3531" s="1" t="s">
        <v>141</v>
      </c>
      <c r="I3531" s="1" t="s">
        <v>65</v>
      </c>
      <c r="J3531" s="1">
        <v>3</v>
      </c>
      <c r="K3531" s="1" t="s">
        <v>142</v>
      </c>
      <c r="L3531" s="1" t="s">
        <v>153</v>
      </c>
      <c r="M3531" s="1" t="s">
        <v>28</v>
      </c>
      <c r="N3531" s="1" t="str">
        <f>HYPERLINK("https://klocwork.india.ti.com:443/review/insight-review.html#issuedetails_goto:problemid=154295,project=MCU_PLUS_SDK_AM263X,searchquery=taxonomy:'C and C++' build:Build_Apr_13_2023_11_11_AM grouping:off ","KW Issue Link")</f>
        <v>KW Issue Link</v>
      </c>
      <c r="O3531" s="1" t="s">
        <v>356</v>
      </c>
    </row>
    <row r="3532" spans="1:15" ht="60" x14ac:dyDescent="0.25">
      <c r="A3532" s="1" t="s">
        <v>157</v>
      </c>
      <c r="B3532" s="1"/>
      <c r="C3532" s="1" t="s">
        <v>844</v>
      </c>
      <c r="D3532" s="1">
        <v>154308</v>
      </c>
      <c r="E3532" s="1">
        <v>164</v>
      </c>
      <c r="F3532" s="1" t="s">
        <v>4796</v>
      </c>
      <c r="G3532" s="1" t="s">
        <v>846</v>
      </c>
      <c r="H3532" s="1" t="s">
        <v>141</v>
      </c>
      <c r="I3532" s="1" t="s">
        <v>65</v>
      </c>
      <c r="J3532" s="1">
        <v>3</v>
      </c>
      <c r="K3532" s="1" t="s">
        <v>142</v>
      </c>
      <c r="L3532" s="1" t="s">
        <v>153</v>
      </c>
      <c r="M3532" s="1" t="s">
        <v>28</v>
      </c>
      <c r="N3532" s="1" t="str">
        <f>HYPERLINK("https://klocwork.india.ti.com:443/review/insight-review.html#issuedetails_goto:problemid=154308,project=MCU_PLUS_SDK_AM263X,searchquery=taxonomy:'C and C++' build:Build_Apr_13_2023_11_11_AM grouping:off ","KW Issue Link")</f>
        <v>KW Issue Link</v>
      </c>
      <c r="O3532" s="1" t="s">
        <v>291</v>
      </c>
    </row>
    <row r="3533" spans="1:15" ht="60" x14ac:dyDescent="0.25">
      <c r="A3533" s="1" t="s">
        <v>136</v>
      </c>
      <c r="B3533" s="1"/>
      <c r="C3533" s="1" t="s">
        <v>1002</v>
      </c>
      <c r="D3533" s="1">
        <v>154518</v>
      </c>
      <c r="E3533" s="1">
        <v>1821</v>
      </c>
      <c r="F3533" s="1" t="s">
        <v>4798</v>
      </c>
      <c r="G3533" s="1" t="s">
        <v>4799</v>
      </c>
      <c r="H3533" s="1" t="s">
        <v>141</v>
      </c>
      <c r="I3533" s="1" t="s">
        <v>66</v>
      </c>
      <c r="J3533" s="1">
        <v>4</v>
      </c>
      <c r="K3533" s="1" t="s">
        <v>142</v>
      </c>
      <c r="L3533" s="1" t="s">
        <v>153</v>
      </c>
      <c r="M3533" s="1" t="s">
        <v>28</v>
      </c>
      <c r="N3533" s="1" t="str">
        <f>HYPERLINK("https://klocwork.india.ti.com:443/review/insight-review.html#issuedetails_goto:problemid=154518,project=MCU_PLUS_SDK_AM263X,searchquery=taxonomy:'C and C++' build:Build_Apr_13_2023_11_11_AM grouping:off ","KW Issue Link")</f>
        <v>KW Issue Link</v>
      </c>
      <c r="O3533" s="1" t="s">
        <v>1005</v>
      </c>
    </row>
    <row r="3534" spans="1:15" ht="60" x14ac:dyDescent="0.25">
      <c r="A3534" s="1" t="s">
        <v>136</v>
      </c>
      <c r="B3534" s="1"/>
      <c r="C3534" s="1" t="s">
        <v>1002</v>
      </c>
      <c r="D3534" s="1">
        <v>154519</v>
      </c>
      <c r="E3534" s="1">
        <v>1860</v>
      </c>
      <c r="F3534" s="1" t="s">
        <v>4798</v>
      </c>
      <c r="G3534" s="1" t="s">
        <v>4800</v>
      </c>
      <c r="H3534" s="1" t="s">
        <v>141</v>
      </c>
      <c r="I3534" s="1" t="s">
        <v>66</v>
      </c>
      <c r="J3534" s="1">
        <v>4</v>
      </c>
      <c r="K3534" s="1" t="s">
        <v>142</v>
      </c>
      <c r="L3534" s="1" t="s">
        <v>153</v>
      </c>
      <c r="M3534" s="1" t="s">
        <v>28</v>
      </c>
      <c r="N3534" s="1" t="str">
        <f>HYPERLINK("https://klocwork.india.ti.com:443/review/insight-review.html#issuedetails_goto:problemid=154519,project=MCU_PLUS_SDK_AM263X,searchquery=taxonomy:'C and C++' build:Build_Apr_13_2023_11_11_AM grouping:off ","KW Issue Link")</f>
        <v>KW Issue Link</v>
      </c>
      <c r="O3534" s="1" t="s">
        <v>1005</v>
      </c>
    </row>
    <row r="3535" spans="1:15" ht="60" x14ac:dyDescent="0.25">
      <c r="A3535" s="1" t="s">
        <v>1252</v>
      </c>
      <c r="B3535" s="1" t="s">
        <v>4801</v>
      </c>
      <c r="C3535" s="1" t="s">
        <v>3438</v>
      </c>
      <c r="D3535" s="1">
        <v>154521</v>
      </c>
      <c r="E3535" s="1">
        <v>846</v>
      </c>
      <c r="F3535" s="1" t="s">
        <v>4802</v>
      </c>
      <c r="G3535" s="1" t="s">
        <v>4803</v>
      </c>
      <c r="H3535" s="1" t="s">
        <v>141</v>
      </c>
      <c r="I3535" s="1" t="s">
        <v>65</v>
      </c>
      <c r="J3535" s="1">
        <v>3</v>
      </c>
      <c r="K3535" s="1" t="s">
        <v>142</v>
      </c>
      <c r="L3535" s="1" t="s">
        <v>143</v>
      </c>
      <c r="M3535" s="1" t="s">
        <v>1256</v>
      </c>
      <c r="N3535" s="1" t="str">
        <f>HYPERLINK("https://klocwork.india.ti.com:443/review/insight-review.html#issuedetails_goto:problemid=154521,project=MCU_PLUS_SDK_AM263X,searchquery=taxonomy:'C and C++' build:Build_Apr_13_2023_11_11_AM grouping:off ","KW Issue Link")</f>
        <v>KW Issue Link</v>
      </c>
      <c r="O3535" s="1" t="s">
        <v>1083</v>
      </c>
    </row>
    <row r="3536" spans="1:15" ht="60" x14ac:dyDescent="0.25">
      <c r="A3536" s="1" t="s">
        <v>1252</v>
      </c>
      <c r="B3536" s="1" t="s">
        <v>4801</v>
      </c>
      <c r="C3536" s="1" t="s">
        <v>3438</v>
      </c>
      <c r="D3536" s="1">
        <v>154522</v>
      </c>
      <c r="E3536" s="1">
        <v>895</v>
      </c>
      <c r="F3536" s="1" t="s">
        <v>4804</v>
      </c>
      <c r="G3536" s="1" t="s">
        <v>4805</v>
      </c>
      <c r="H3536" s="1" t="s">
        <v>141</v>
      </c>
      <c r="I3536" s="1" t="s">
        <v>65</v>
      </c>
      <c r="J3536" s="1">
        <v>3</v>
      </c>
      <c r="K3536" s="1" t="s">
        <v>142</v>
      </c>
      <c r="L3536" s="1" t="s">
        <v>143</v>
      </c>
      <c r="M3536" s="1" t="s">
        <v>1256</v>
      </c>
      <c r="N3536" s="1" t="str">
        <f>HYPERLINK("https://klocwork.india.ti.com:443/review/insight-review.html#issuedetails_goto:problemid=154522,project=MCU_PLUS_SDK_AM263X,searchquery=taxonomy:'C and C++' build:Build_Apr_13_2023_11_11_AM grouping:off ","KW Issue Link")</f>
        <v>KW Issue Link</v>
      </c>
      <c r="O3536" s="1" t="s">
        <v>1083</v>
      </c>
    </row>
    <row r="3537" spans="1:15" ht="60" x14ac:dyDescent="0.25">
      <c r="A3537" s="1" t="s">
        <v>136</v>
      </c>
      <c r="B3537" s="1"/>
      <c r="C3537" s="1" t="s">
        <v>1195</v>
      </c>
      <c r="D3537" s="1">
        <v>154547</v>
      </c>
      <c r="E3537" s="1">
        <v>110</v>
      </c>
      <c r="F3537" s="1" t="s">
        <v>257</v>
      </c>
      <c r="G3537" s="1" t="s">
        <v>4806</v>
      </c>
      <c r="H3537" s="1" t="s">
        <v>141</v>
      </c>
      <c r="I3537" s="1" t="s">
        <v>66</v>
      </c>
      <c r="J3537" s="1">
        <v>4</v>
      </c>
      <c r="K3537" s="1" t="s">
        <v>142</v>
      </c>
      <c r="L3537" s="1" t="s">
        <v>153</v>
      </c>
      <c r="M3537" s="1" t="s">
        <v>28</v>
      </c>
      <c r="N3537" s="1" t="str">
        <f>HYPERLINK("https://klocwork.india.ti.com:443/review/insight-review.html#issuedetails_goto:problemid=154547,project=MCU_PLUS_SDK_AM263X,searchquery=taxonomy:'C and C++' build:Build_Apr_13_2023_11_11_AM grouping:off ","KW Issue Link")</f>
        <v>KW Issue Link</v>
      </c>
      <c r="O3537" s="1" t="s">
        <v>1083</v>
      </c>
    </row>
    <row r="3538" spans="1:15" ht="60" x14ac:dyDescent="0.25">
      <c r="A3538" s="1" t="s">
        <v>1257</v>
      </c>
      <c r="B3538" s="1"/>
      <c r="C3538" s="1" t="s">
        <v>4758</v>
      </c>
      <c r="D3538" s="1">
        <v>154548</v>
      </c>
      <c r="E3538" s="1">
        <v>110</v>
      </c>
      <c r="F3538" s="1" t="s">
        <v>4807</v>
      </c>
      <c r="G3538" s="1" t="s">
        <v>4760</v>
      </c>
      <c r="H3538" s="1" t="s">
        <v>141</v>
      </c>
      <c r="I3538" s="1" t="s">
        <v>65</v>
      </c>
      <c r="J3538" s="1">
        <v>3</v>
      </c>
      <c r="K3538" s="1" t="s">
        <v>4808</v>
      </c>
      <c r="L3538" s="1" t="s">
        <v>153</v>
      </c>
      <c r="M3538" s="1" t="s">
        <v>1256</v>
      </c>
      <c r="N3538" s="1" t="str">
        <f>HYPERLINK("https://klocwork.india.ti.com:443/review/insight-review.html#issuedetails_goto:problemid=154548,project=MCU_PLUS_SDK_AM263X,searchquery=taxonomy:'C and C++' build:Build_Apr_13_2023_11_11_AM grouping:off ","KW Issue Link")</f>
        <v>KW Issue Link</v>
      </c>
      <c r="O3538" s="1" t="s">
        <v>1083</v>
      </c>
    </row>
    <row r="3539" spans="1:15" ht="60" x14ac:dyDescent="0.25">
      <c r="A3539" s="1" t="s">
        <v>174</v>
      </c>
      <c r="B3539" s="1"/>
      <c r="C3539" s="1" t="s">
        <v>4758</v>
      </c>
      <c r="D3539" s="1">
        <v>154549</v>
      </c>
      <c r="E3539" s="1">
        <v>140</v>
      </c>
      <c r="F3539" s="1" t="s">
        <v>4809</v>
      </c>
      <c r="G3539" s="1" t="s">
        <v>4760</v>
      </c>
      <c r="H3539" s="1" t="s">
        <v>141</v>
      </c>
      <c r="I3539" s="1" t="s">
        <v>63</v>
      </c>
      <c r="J3539" s="1">
        <v>1</v>
      </c>
      <c r="K3539" s="1" t="s">
        <v>4808</v>
      </c>
      <c r="L3539" s="1" t="s">
        <v>153</v>
      </c>
      <c r="M3539" s="1" t="s">
        <v>28</v>
      </c>
      <c r="N3539" s="1" t="str">
        <f>HYPERLINK("https://klocwork.india.ti.com:443/review/insight-review.html#issuedetails_goto:problemid=154549,project=MCU_PLUS_SDK_AM263X,searchquery=taxonomy:'C and C++' build:Build_Apr_13_2023_11_11_AM grouping:off ","KW Issue Link")</f>
        <v>KW Issue Link</v>
      </c>
      <c r="O3539" s="1" t="s">
        <v>1083</v>
      </c>
    </row>
    <row r="3540" spans="1:15" ht="60" x14ac:dyDescent="0.25">
      <c r="A3540" s="1" t="s">
        <v>136</v>
      </c>
      <c r="B3540" s="1"/>
      <c r="C3540" s="1" t="s">
        <v>4504</v>
      </c>
      <c r="D3540" s="1">
        <v>154554</v>
      </c>
      <c r="E3540" s="1">
        <v>80</v>
      </c>
      <c r="F3540" s="1" t="s">
        <v>257</v>
      </c>
      <c r="G3540" s="1" t="s">
        <v>4505</v>
      </c>
      <c r="H3540" s="1" t="s">
        <v>141</v>
      </c>
      <c r="I3540" s="1" t="s">
        <v>66</v>
      </c>
      <c r="J3540" s="1">
        <v>4</v>
      </c>
      <c r="K3540" s="1" t="s">
        <v>142</v>
      </c>
      <c r="L3540" s="1" t="s">
        <v>153</v>
      </c>
      <c r="M3540" s="1" t="s">
        <v>28</v>
      </c>
      <c r="N3540" s="1" t="str">
        <f>HYPERLINK("https://klocwork.india.ti.com:443/review/insight-review.html#issuedetails_goto:problemid=154554,project=MCU_PLUS_SDK_AM263X,searchquery=taxonomy:'C and C++' build:Build_Apr_13_2023_11_11_AM grouping:off ","KW Issue Link")</f>
        <v>KW Issue Link</v>
      </c>
      <c r="O3540" s="1" t="s">
        <v>1083</v>
      </c>
    </row>
    <row r="3541" spans="1:15" ht="90" x14ac:dyDescent="0.25">
      <c r="A3541" s="1" t="s">
        <v>1268</v>
      </c>
      <c r="B3541" s="1"/>
      <c r="C3541" s="1" t="s">
        <v>1603</v>
      </c>
      <c r="D3541" s="1">
        <v>154559</v>
      </c>
      <c r="E3541" s="1">
        <v>93</v>
      </c>
      <c r="F3541" s="1" t="s">
        <v>4810</v>
      </c>
      <c r="G3541" s="1" t="s">
        <v>4811</v>
      </c>
      <c r="H3541" s="1" t="s">
        <v>141</v>
      </c>
      <c r="I3541" s="1" t="s">
        <v>65</v>
      </c>
      <c r="J3541" s="1">
        <v>3</v>
      </c>
      <c r="K3541" s="1" t="s">
        <v>142</v>
      </c>
      <c r="L3541" s="1" t="s">
        <v>153</v>
      </c>
      <c r="M3541" s="1" t="s">
        <v>1256</v>
      </c>
      <c r="N3541" s="1" t="str">
        <f>HYPERLINK("https://klocwork.india.ti.com:443/review/insight-review.html#issuedetails_goto:problemid=154559,project=MCU_PLUS_SDK_AM263X,searchquery=taxonomy:'C and C++' build:Build_Apr_13_2023_11_11_AM grouping:off ","KW Issue Link")</f>
        <v>KW Issue Link</v>
      </c>
      <c r="O3541" s="1" t="s">
        <v>356</v>
      </c>
    </row>
    <row r="3542" spans="1:15" ht="60" x14ac:dyDescent="0.25">
      <c r="A3542" s="1" t="s">
        <v>4812</v>
      </c>
      <c r="B3542" s="1"/>
      <c r="C3542" s="1" t="s">
        <v>517</v>
      </c>
      <c r="D3542" s="1">
        <v>154596</v>
      </c>
      <c r="E3542" s="1">
        <v>377</v>
      </c>
      <c r="F3542" s="1" t="s">
        <v>4813</v>
      </c>
      <c r="G3542" s="1" t="s">
        <v>2316</v>
      </c>
      <c r="H3542" s="1" t="s">
        <v>141</v>
      </c>
      <c r="I3542" s="1" t="s">
        <v>63</v>
      </c>
      <c r="J3542" s="1">
        <v>1</v>
      </c>
      <c r="K3542" s="1" t="s">
        <v>142</v>
      </c>
      <c r="L3542" s="1" t="s">
        <v>153</v>
      </c>
      <c r="M3542" s="1" t="s">
        <v>28</v>
      </c>
      <c r="N3542" s="1" t="str">
        <f>HYPERLINK("https://klocwork.india.ti.com:443/review/insight-review.html#issuedetails_goto:problemid=154596,project=MCU_PLUS_SDK_AM263X,searchquery=taxonomy:'C and C++' build:Build_Apr_13_2023_11_11_AM grouping:off ","KW Issue Link")</f>
        <v>KW Issue Link</v>
      </c>
      <c r="O3542" s="1" t="s">
        <v>356</v>
      </c>
    </row>
    <row r="3543" spans="1:15" ht="75" x14ac:dyDescent="0.25">
      <c r="A3543" s="1" t="s">
        <v>302</v>
      </c>
      <c r="B3543" s="1"/>
      <c r="C3543" s="1" t="s">
        <v>1002</v>
      </c>
      <c r="D3543" s="1">
        <v>154597</v>
      </c>
      <c r="E3543" s="1">
        <v>1346</v>
      </c>
      <c r="F3543" s="1" t="s">
        <v>4814</v>
      </c>
      <c r="G3543" s="1" t="s">
        <v>4797</v>
      </c>
      <c r="H3543" s="1" t="s">
        <v>141</v>
      </c>
      <c r="I3543" s="1" t="s">
        <v>63</v>
      </c>
      <c r="J3543" s="1">
        <v>1</v>
      </c>
      <c r="K3543" s="1" t="s">
        <v>142</v>
      </c>
      <c r="L3543" s="1" t="s">
        <v>153</v>
      </c>
      <c r="M3543" s="1" t="s">
        <v>28</v>
      </c>
      <c r="N3543" s="1" t="str">
        <f>HYPERLINK("https://klocwork.india.ti.com:443/review/insight-review.html#issuedetails_goto:problemid=154597,project=MCU_PLUS_SDK_AM263X,searchquery=taxonomy:'C and C++' build:Build_Apr_13_2023_11_11_AM grouping:off ","KW Issue Link")</f>
        <v>KW Issue Link</v>
      </c>
      <c r="O3543" s="1" t="s">
        <v>1005</v>
      </c>
    </row>
    <row r="3544" spans="1:15" ht="60" x14ac:dyDescent="0.25">
      <c r="A3544" s="1" t="s">
        <v>1257</v>
      </c>
      <c r="B3544" s="1"/>
      <c r="C3544" s="1" t="s">
        <v>1233</v>
      </c>
      <c r="D3544" s="1">
        <v>154600</v>
      </c>
      <c r="E3544" s="1">
        <v>645</v>
      </c>
      <c r="F3544" s="1" t="s">
        <v>4815</v>
      </c>
      <c r="G3544" s="1" t="s">
        <v>1236</v>
      </c>
      <c r="H3544" s="1" t="s">
        <v>141</v>
      </c>
      <c r="I3544" s="1" t="s">
        <v>65</v>
      </c>
      <c r="J3544" s="1">
        <v>3</v>
      </c>
      <c r="K3544" s="1" t="s">
        <v>4808</v>
      </c>
      <c r="L3544" s="1" t="s">
        <v>153</v>
      </c>
      <c r="M3544" s="1" t="s">
        <v>1256</v>
      </c>
      <c r="N3544" s="1" t="str">
        <f>HYPERLINK("https://klocwork.india.ti.com:443/review/insight-review.html#issuedetails_goto:problemid=154600,project=MCU_PLUS_SDK_AM263X,searchquery=taxonomy:'C and C++' build:Build_Apr_13_2023_11_11_AM grouping:off ","KW Issue Link")</f>
        <v>KW Issue Link</v>
      </c>
      <c r="O3544" s="1" t="s">
        <v>1235</v>
      </c>
    </row>
    <row r="3545" spans="1:15" ht="60" x14ac:dyDescent="0.25">
      <c r="A3545" s="1" t="s">
        <v>1257</v>
      </c>
      <c r="B3545" s="1"/>
      <c r="C3545" s="1" t="s">
        <v>1233</v>
      </c>
      <c r="D3545" s="1">
        <v>154601</v>
      </c>
      <c r="E3545" s="1">
        <v>716</v>
      </c>
      <c r="F3545" s="1" t="s">
        <v>4816</v>
      </c>
      <c r="G3545" s="1" t="s">
        <v>4817</v>
      </c>
      <c r="H3545" s="1" t="s">
        <v>141</v>
      </c>
      <c r="I3545" s="1" t="s">
        <v>65</v>
      </c>
      <c r="J3545" s="1">
        <v>3</v>
      </c>
      <c r="K3545" s="1" t="s">
        <v>4808</v>
      </c>
      <c r="L3545" s="1" t="s">
        <v>153</v>
      </c>
      <c r="M3545" s="1" t="s">
        <v>1256</v>
      </c>
      <c r="N3545" s="1" t="str">
        <f>HYPERLINK("https://klocwork.india.ti.com:443/review/insight-review.html#issuedetails_goto:problemid=154601,project=MCU_PLUS_SDK_AM263X,searchquery=taxonomy:'C and C++' build:Build_Apr_13_2023_11_11_AM grouping:off ","KW Issue Link")</f>
        <v>KW Issue Link</v>
      </c>
      <c r="O3545" s="1" t="s">
        <v>1235</v>
      </c>
    </row>
    <row r="3546" spans="1:15" ht="60" x14ac:dyDescent="0.25">
      <c r="A3546" s="1" t="s">
        <v>1257</v>
      </c>
      <c r="B3546" s="1"/>
      <c r="C3546" s="1" t="s">
        <v>1233</v>
      </c>
      <c r="D3546" s="1">
        <v>154602</v>
      </c>
      <c r="E3546" s="1">
        <v>2152</v>
      </c>
      <c r="F3546" s="1" t="s">
        <v>4818</v>
      </c>
      <c r="G3546" s="1" t="s">
        <v>4819</v>
      </c>
      <c r="H3546" s="1" t="s">
        <v>141</v>
      </c>
      <c r="I3546" s="1" t="s">
        <v>65</v>
      </c>
      <c r="J3546" s="1">
        <v>3</v>
      </c>
      <c r="K3546" s="1" t="s">
        <v>4808</v>
      </c>
      <c r="L3546" s="1" t="s">
        <v>153</v>
      </c>
      <c r="M3546" s="1" t="s">
        <v>1256</v>
      </c>
      <c r="N3546" s="1" t="str">
        <f>HYPERLINK("https://klocwork.india.ti.com:443/review/insight-review.html#issuedetails_goto:problemid=154602,project=MCU_PLUS_SDK_AM263X,searchquery=taxonomy:'C and C++' build:Build_Apr_13_2023_11_11_AM grouping:off ","KW Issue Link")</f>
        <v>KW Issue Link</v>
      </c>
      <c r="O3546" s="1" t="s">
        <v>1235</v>
      </c>
    </row>
    <row r="3547" spans="1:15" ht="60" x14ac:dyDescent="0.25">
      <c r="A3547" s="1" t="s">
        <v>1257</v>
      </c>
      <c r="B3547" s="1"/>
      <c r="C3547" s="1" t="s">
        <v>1233</v>
      </c>
      <c r="D3547" s="1">
        <v>154603</v>
      </c>
      <c r="E3547" s="1">
        <v>2236</v>
      </c>
      <c r="F3547" s="1" t="s">
        <v>4820</v>
      </c>
      <c r="G3547" s="1" t="s">
        <v>1246</v>
      </c>
      <c r="H3547" s="1" t="s">
        <v>141</v>
      </c>
      <c r="I3547" s="1" t="s">
        <v>65</v>
      </c>
      <c r="J3547" s="1">
        <v>3</v>
      </c>
      <c r="K3547" s="1" t="s">
        <v>4808</v>
      </c>
      <c r="L3547" s="1" t="s">
        <v>153</v>
      </c>
      <c r="M3547" s="1" t="s">
        <v>1256</v>
      </c>
      <c r="N3547" s="1" t="str">
        <f>HYPERLINK("https://klocwork.india.ti.com:443/review/insight-review.html#issuedetails_goto:problemid=154603,project=MCU_PLUS_SDK_AM263X,searchquery=taxonomy:'C and C++' build:Build_Apr_13_2023_11_11_AM grouping:off ","KW Issue Link")</f>
        <v>KW Issue Link</v>
      </c>
      <c r="O3547" s="1" t="s">
        <v>1235</v>
      </c>
    </row>
  </sheetData>
  <autoFilter ref="A1:O3547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4"/>
  <sheetViews>
    <sheetView workbookViewId="0"/>
  </sheetViews>
  <sheetFormatPr defaultRowHeight="15" x14ac:dyDescent="0.25"/>
  <cols>
    <col min="1" max="1" width="41" customWidth="1"/>
    <col min="2" max="2" width="8" customWidth="1"/>
    <col min="3" max="3" width="75" customWidth="1"/>
    <col min="4" max="4" width="8" customWidth="1"/>
    <col min="5" max="5" width="13" customWidth="1"/>
    <col min="6" max="6" width="20" customWidth="1"/>
  </cols>
  <sheetData>
    <row r="1" spans="1:6" ht="30" x14ac:dyDescent="0.25">
      <c r="A1" s="2" t="s">
        <v>121</v>
      </c>
      <c r="B1" s="2" t="s">
        <v>4821</v>
      </c>
      <c r="C1" s="2" t="s">
        <v>4822</v>
      </c>
      <c r="D1" s="2" t="s">
        <v>129</v>
      </c>
      <c r="E1" s="2" t="s">
        <v>4823</v>
      </c>
      <c r="F1" s="2" t="s">
        <v>4824</v>
      </c>
    </row>
    <row r="2" spans="1:6" x14ac:dyDescent="0.25">
      <c r="A2" s="1" t="s">
        <v>4825</v>
      </c>
      <c r="B2" s="1" t="b">
        <v>1</v>
      </c>
      <c r="C2" s="1" t="s">
        <v>4826</v>
      </c>
      <c r="D2" s="1">
        <v>1</v>
      </c>
      <c r="E2" s="1">
        <v>1</v>
      </c>
      <c r="F2" s="1" t="s">
        <v>28</v>
      </c>
    </row>
    <row r="3" spans="1:6" x14ac:dyDescent="0.25">
      <c r="A3" s="1" t="s">
        <v>199</v>
      </c>
      <c r="B3" s="1" t="b">
        <v>1</v>
      </c>
      <c r="C3" s="1" t="s">
        <v>4826</v>
      </c>
      <c r="D3" s="1">
        <v>1</v>
      </c>
      <c r="E3" s="1">
        <v>1</v>
      </c>
      <c r="F3" s="1" t="s">
        <v>28</v>
      </c>
    </row>
    <row r="4" spans="1:6" x14ac:dyDescent="0.25">
      <c r="A4" s="1" t="s">
        <v>4827</v>
      </c>
      <c r="B4" s="1" t="b">
        <v>1</v>
      </c>
      <c r="C4" s="1" t="s">
        <v>4828</v>
      </c>
      <c r="D4" s="1">
        <v>1</v>
      </c>
      <c r="E4" s="1">
        <v>1</v>
      </c>
      <c r="F4" s="1" t="s">
        <v>28</v>
      </c>
    </row>
    <row r="5" spans="1:6" x14ac:dyDescent="0.25">
      <c r="A5" s="1" t="s">
        <v>4829</v>
      </c>
      <c r="B5" s="1" t="b">
        <v>1</v>
      </c>
      <c r="C5" s="1" t="s">
        <v>4826</v>
      </c>
      <c r="D5" s="1">
        <v>1</v>
      </c>
      <c r="E5" s="1">
        <v>1</v>
      </c>
      <c r="F5" s="1" t="s">
        <v>28</v>
      </c>
    </row>
    <row r="6" spans="1:6" x14ac:dyDescent="0.25">
      <c r="A6" s="1" t="s">
        <v>643</v>
      </c>
      <c r="B6" s="1" t="b">
        <v>1</v>
      </c>
      <c r="C6" s="1" t="s">
        <v>4830</v>
      </c>
      <c r="D6" s="1">
        <v>1</v>
      </c>
      <c r="E6" s="1">
        <v>1</v>
      </c>
      <c r="F6" s="1" t="s">
        <v>28</v>
      </c>
    </row>
    <row r="7" spans="1:6" x14ac:dyDescent="0.25">
      <c r="A7" s="1" t="s">
        <v>4831</v>
      </c>
      <c r="B7" s="1" t="b">
        <v>1</v>
      </c>
      <c r="C7" s="1" t="s">
        <v>4832</v>
      </c>
      <c r="D7" s="1">
        <v>1</v>
      </c>
      <c r="E7" s="1">
        <v>1</v>
      </c>
      <c r="F7" s="1" t="s">
        <v>28</v>
      </c>
    </row>
    <row r="8" spans="1:6" x14ac:dyDescent="0.25">
      <c r="A8" s="1" t="s">
        <v>4833</v>
      </c>
      <c r="B8" s="1" t="b">
        <v>0</v>
      </c>
      <c r="C8" s="1" t="s">
        <v>4834</v>
      </c>
      <c r="D8" s="1">
        <v>1</v>
      </c>
      <c r="E8" s="1">
        <v>1</v>
      </c>
      <c r="F8" s="1" t="s">
        <v>28</v>
      </c>
    </row>
    <row r="9" spans="1:6" x14ac:dyDescent="0.25">
      <c r="A9" s="1" t="s">
        <v>4835</v>
      </c>
      <c r="B9" s="1" t="b">
        <v>0</v>
      </c>
      <c r="C9" s="1" t="s">
        <v>4836</v>
      </c>
      <c r="D9" s="1">
        <v>1</v>
      </c>
      <c r="E9" s="1">
        <v>1</v>
      </c>
      <c r="F9" s="1" t="s">
        <v>28</v>
      </c>
    </row>
    <row r="10" spans="1:6" x14ac:dyDescent="0.25">
      <c r="A10" s="1" t="s">
        <v>4837</v>
      </c>
      <c r="B10" s="1" t="b">
        <v>0</v>
      </c>
      <c r="C10" s="1" t="s">
        <v>4834</v>
      </c>
      <c r="D10" s="1">
        <v>1</v>
      </c>
      <c r="E10" s="1">
        <v>1</v>
      </c>
      <c r="F10" s="1" t="s">
        <v>28</v>
      </c>
    </row>
    <row r="11" spans="1:6" x14ac:dyDescent="0.25">
      <c r="A11" s="1" t="s">
        <v>4838</v>
      </c>
      <c r="B11" s="1" t="b">
        <v>0</v>
      </c>
      <c r="C11" s="1" t="s">
        <v>4836</v>
      </c>
      <c r="D11" s="1">
        <v>1</v>
      </c>
      <c r="E11" s="1">
        <v>1</v>
      </c>
      <c r="F11" s="1" t="s">
        <v>28</v>
      </c>
    </row>
    <row r="12" spans="1:6" x14ac:dyDescent="0.25">
      <c r="A12" s="1" t="s">
        <v>4839</v>
      </c>
      <c r="B12" s="1" t="b">
        <v>1</v>
      </c>
      <c r="C12" s="1" t="s">
        <v>4826</v>
      </c>
      <c r="D12" s="1">
        <v>1</v>
      </c>
      <c r="E12" s="1">
        <v>1</v>
      </c>
      <c r="F12" s="1" t="s">
        <v>28</v>
      </c>
    </row>
    <row r="13" spans="1:6" x14ac:dyDescent="0.25">
      <c r="A13" s="1" t="s">
        <v>4840</v>
      </c>
      <c r="B13" s="1" t="b">
        <v>0</v>
      </c>
      <c r="C13" s="1" t="s">
        <v>4841</v>
      </c>
      <c r="D13" s="1">
        <v>3</v>
      </c>
      <c r="E13" s="1">
        <v>2</v>
      </c>
      <c r="F13" s="1" t="s">
        <v>28</v>
      </c>
    </row>
    <row r="14" spans="1:6" x14ac:dyDescent="0.25">
      <c r="A14" s="1" t="s">
        <v>4842</v>
      </c>
      <c r="B14" s="1" t="b">
        <v>0</v>
      </c>
      <c r="C14" s="1" t="s">
        <v>4843</v>
      </c>
      <c r="D14" s="1">
        <v>3</v>
      </c>
      <c r="E14" s="1">
        <v>2</v>
      </c>
      <c r="F14" s="1" t="s">
        <v>28</v>
      </c>
    </row>
    <row r="15" spans="1:6" x14ac:dyDescent="0.25">
      <c r="A15" s="1" t="s">
        <v>4844</v>
      </c>
      <c r="B15" s="1" t="b">
        <v>0</v>
      </c>
      <c r="C15" s="1" t="s">
        <v>4845</v>
      </c>
      <c r="D15" s="1">
        <v>4</v>
      </c>
      <c r="E15" s="1">
        <v>2</v>
      </c>
      <c r="F15" s="1" t="s">
        <v>28</v>
      </c>
    </row>
    <row r="16" spans="1:6" x14ac:dyDescent="0.25">
      <c r="A16" s="1" t="s">
        <v>4846</v>
      </c>
      <c r="B16" s="1" t="b">
        <v>0</v>
      </c>
      <c r="C16" s="1" t="s">
        <v>4847</v>
      </c>
      <c r="D16" s="1">
        <v>4</v>
      </c>
      <c r="E16" s="1">
        <v>2</v>
      </c>
      <c r="F16" s="1" t="s">
        <v>28</v>
      </c>
    </row>
    <row r="17" spans="1:6" x14ac:dyDescent="0.25">
      <c r="A17" s="1" t="s">
        <v>4848</v>
      </c>
      <c r="B17" s="1" t="b">
        <v>0</v>
      </c>
      <c r="C17" s="1" t="s">
        <v>4849</v>
      </c>
      <c r="D17" s="1">
        <v>4</v>
      </c>
      <c r="E17" s="1">
        <v>2</v>
      </c>
      <c r="F17" s="1" t="s">
        <v>28</v>
      </c>
    </row>
    <row r="18" spans="1:6" x14ac:dyDescent="0.25">
      <c r="A18" s="1" t="s">
        <v>4850</v>
      </c>
      <c r="B18" s="1" t="b">
        <v>0</v>
      </c>
      <c r="C18" s="1" t="s">
        <v>4851</v>
      </c>
      <c r="D18" s="1">
        <v>4</v>
      </c>
      <c r="E18" s="1">
        <v>2</v>
      </c>
      <c r="F18" s="1" t="s">
        <v>28</v>
      </c>
    </row>
    <row r="19" spans="1:6" x14ac:dyDescent="0.25">
      <c r="A19" s="1" t="s">
        <v>4852</v>
      </c>
      <c r="B19" s="1" t="b">
        <v>0</v>
      </c>
      <c r="C19" s="1" t="s">
        <v>4853</v>
      </c>
      <c r="D19" s="1">
        <v>4</v>
      </c>
      <c r="E19" s="1">
        <v>2</v>
      </c>
      <c r="F19" s="1" t="s">
        <v>28</v>
      </c>
    </row>
    <row r="20" spans="1:6" x14ac:dyDescent="0.25">
      <c r="A20" s="1" t="s">
        <v>4854</v>
      </c>
      <c r="B20" s="1" t="b">
        <v>0</v>
      </c>
      <c r="C20" s="1" t="s">
        <v>4855</v>
      </c>
      <c r="D20" s="1">
        <v>4</v>
      </c>
      <c r="E20" s="1">
        <v>2</v>
      </c>
      <c r="F20" s="1" t="s">
        <v>28</v>
      </c>
    </row>
    <row r="21" spans="1:6" x14ac:dyDescent="0.25">
      <c r="A21" s="1" t="s">
        <v>4856</v>
      </c>
      <c r="B21" s="1" t="b">
        <v>0</v>
      </c>
      <c r="C21" s="1" t="s">
        <v>4857</v>
      </c>
      <c r="D21" s="1">
        <v>4</v>
      </c>
      <c r="E21" s="1">
        <v>2</v>
      </c>
      <c r="F21" s="1" t="s">
        <v>28</v>
      </c>
    </row>
    <row r="22" spans="1:6" x14ac:dyDescent="0.25">
      <c r="A22" s="1" t="s">
        <v>4858</v>
      </c>
      <c r="B22" s="1" t="b">
        <v>0</v>
      </c>
      <c r="C22" s="1" t="s">
        <v>4859</v>
      </c>
      <c r="D22" s="1">
        <v>4</v>
      </c>
      <c r="E22" s="1">
        <v>2</v>
      </c>
      <c r="F22" s="1" t="s">
        <v>28</v>
      </c>
    </row>
    <row r="23" spans="1:6" x14ac:dyDescent="0.25">
      <c r="A23" s="1" t="s">
        <v>4860</v>
      </c>
      <c r="B23" s="1" t="b">
        <v>0</v>
      </c>
      <c r="C23" s="1" t="s">
        <v>4861</v>
      </c>
      <c r="D23" s="1">
        <v>4</v>
      </c>
      <c r="E23" s="1">
        <v>2</v>
      </c>
      <c r="F23" s="1" t="s">
        <v>28</v>
      </c>
    </row>
    <row r="24" spans="1:6" x14ac:dyDescent="0.25">
      <c r="A24" s="1" t="s">
        <v>4862</v>
      </c>
      <c r="B24" s="1" t="b">
        <v>0</v>
      </c>
      <c r="C24" s="1" t="s">
        <v>4863</v>
      </c>
      <c r="D24" s="1">
        <v>4</v>
      </c>
      <c r="E24" s="1">
        <v>2</v>
      </c>
      <c r="F24" s="1" t="s">
        <v>28</v>
      </c>
    </row>
    <row r="25" spans="1:6" x14ac:dyDescent="0.25">
      <c r="A25" s="1" t="s">
        <v>4864</v>
      </c>
      <c r="B25" s="1" t="b">
        <v>0</v>
      </c>
      <c r="C25" s="1" t="s">
        <v>4865</v>
      </c>
      <c r="D25" s="1">
        <v>4</v>
      </c>
      <c r="E25" s="1">
        <v>2</v>
      </c>
      <c r="F25" s="1" t="s">
        <v>28</v>
      </c>
    </row>
    <row r="26" spans="1:6" x14ac:dyDescent="0.25">
      <c r="A26" s="1" t="s">
        <v>4866</v>
      </c>
      <c r="B26" s="1" t="b">
        <v>0</v>
      </c>
      <c r="C26" s="1" t="s">
        <v>4867</v>
      </c>
      <c r="D26" s="1">
        <v>3</v>
      </c>
      <c r="E26" s="1">
        <v>2</v>
      </c>
      <c r="F26" s="1" t="s">
        <v>28</v>
      </c>
    </row>
    <row r="27" spans="1:6" x14ac:dyDescent="0.25">
      <c r="A27" s="1" t="s">
        <v>4868</v>
      </c>
      <c r="B27" s="1" t="b">
        <v>0</v>
      </c>
      <c r="C27" s="1" t="s">
        <v>4867</v>
      </c>
      <c r="D27" s="1">
        <v>3</v>
      </c>
      <c r="E27" s="1">
        <v>2</v>
      </c>
      <c r="F27" s="1" t="s">
        <v>28</v>
      </c>
    </row>
    <row r="28" spans="1:6" x14ac:dyDescent="0.25">
      <c r="A28" s="1" t="s">
        <v>4869</v>
      </c>
      <c r="B28" s="1" t="b">
        <v>0</v>
      </c>
      <c r="C28" s="1" t="s">
        <v>4870</v>
      </c>
      <c r="D28" s="1">
        <v>3</v>
      </c>
      <c r="E28" s="1">
        <v>2</v>
      </c>
      <c r="F28" s="1" t="s">
        <v>28</v>
      </c>
    </row>
    <row r="29" spans="1:6" x14ac:dyDescent="0.25">
      <c r="A29" s="1" t="s">
        <v>4871</v>
      </c>
      <c r="B29" s="1" t="b">
        <v>0</v>
      </c>
      <c r="C29" s="1" t="s">
        <v>4870</v>
      </c>
      <c r="D29" s="1">
        <v>3</v>
      </c>
      <c r="E29" s="1">
        <v>2</v>
      </c>
      <c r="F29" s="1" t="s">
        <v>28</v>
      </c>
    </row>
    <row r="30" spans="1:6" x14ac:dyDescent="0.25">
      <c r="A30" s="1" t="s">
        <v>4872</v>
      </c>
      <c r="B30" s="1" t="b">
        <v>1</v>
      </c>
      <c r="C30" s="1" t="s">
        <v>4873</v>
      </c>
      <c r="D30" s="1">
        <v>4</v>
      </c>
      <c r="E30" s="1">
        <v>2</v>
      </c>
      <c r="F30" s="1" t="s">
        <v>28</v>
      </c>
    </row>
    <row r="31" spans="1:6" x14ac:dyDescent="0.25">
      <c r="A31" s="1" t="s">
        <v>4874</v>
      </c>
      <c r="B31" s="1" t="b">
        <v>1</v>
      </c>
      <c r="C31" s="1" t="s">
        <v>4875</v>
      </c>
      <c r="D31" s="1">
        <v>4</v>
      </c>
      <c r="E31" s="1">
        <v>2</v>
      </c>
      <c r="F31" s="1" t="s">
        <v>28</v>
      </c>
    </row>
    <row r="32" spans="1:6" x14ac:dyDescent="0.25">
      <c r="A32" s="1" t="s">
        <v>4876</v>
      </c>
      <c r="B32" s="1" t="b">
        <v>1</v>
      </c>
      <c r="C32" s="1" t="s">
        <v>4877</v>
      </c>
      <c r="D32" s="1">
        <v>4</v>
      </c>
      <c r="E32" s="1">
        <v>2</v>
      </c>
      <c r="F32" s="1" t="s">
        <v>28</v>
      </c>
    </row>
    <row r="33" spans="1:6" x14ac:dyDescent="0.25">
      <c r="A33" s="1" t="s">
        <v>4878</v>
      </c>
      <c r="B33" s="1" t="b">
        <v>1</v>
      </c>
      <c r="C33" s="1" t="s">
        <v>4879</v>
      </c>
      <c r="D33" s="1">
        <v>3</v>
      </c>
      <c r="E33" s="1">
        <v>2</v>
      </c>
      <c r="F33" s="1" t="s">
        <v>28</v>
      </c>
    </row>
    <row r="34" spans="1:6" x14ac:dyDescent="0.25">
      <c r="A34" s="1" t="s">
        <v>4880</v>
      </c>
      <c r="B34" s="1" t="b">
        <v>1</v>
      </c>
      <c r="C34" s="1" t="s">
        <v>4881</v>
      </c>
      <c r="D34" s="1">
        <v>3</v>
      </c>
      <c r="E34" s="1">
        <v>2</v>
      </c>
      <c r="F34" s="1" t="s">
        <v>28</v>
      </c>
    </row>
    <row r="35" spans="1:6" x14ac:dyDescent="0.25">
      <c r="A35" s="1" t="s">
        <v>4882</v>
      </c>
      <c r="B35" s="1" t="b">
        <v>1</v>
      </c>
      <c r="C35" s="1" t="s">
        <v>4883</v>
      </c>
      <c r="D35" s="1">
        <v>3</v>
      </c>
      <c r="E35" s="1">
        <v>2</v>
      </c>
      <c r="F35" s="1" t="s">
        <v>28</v>
      </c>
    </row>
    <row r="36" spans="1:6" x14ac:dyDescent="0.25">
      <c r="A36" s="1" t="s">
        <v>4884</v>
      </c>
      <c r="B36" s="1" t="b">
        <v>1</v>
      </c>
      <c r="C36" s="1" t="s">
        <v>4885</v>
      </c>
      <c r="D36" s="1">
        <v>3</v>
      </c>
      <c r="E36" s="1">
        <v>2</v>
      </c>
      <c r="F36" s="1" t="s">
        <v>28</v>
      </c>
    </row>
    <row r="37" spans="1:6" x14ac:dyDescent="0.25">
      <c r="A37" s="1" t="s">
        <v>4886</v>
      </c>
      <c r="B37" s="1" t="b">
        <v>1</v>
      </c>
      <c r="C37" s="1" t="s">
        <v>4887</v>
      </c>
      <c r="D37" s="1">
        <v>3</v>
      </c>
      <c r="E37" s="1">
        <v>2</v>
      </c>
      <c r="F37" s="1" t="s">
        <v>28</v>
      </c>
    </row>
    <row r="38" spans="1:6" x14ac:dyDescent="0.25">
      <c r="A38" s="1" t="s">
        <v>4888</v>
      </c>
      <c r="B38" s="1" t="b">
        <v>1</v>
      </c>
      <c r="C38" s="1" t="s">
        <v>4889</v>
      </c>
      <c r="D38" s="1">
        <v>2</v>
      </c>
      <c r="E38" s="1">
        <v>1</v>
      </c>
      <c r="F38" s="1" t="s">
        <v>28</v>
      </c>
    </row>
    <row r="39" spans="1:6" x14ac:dyDescent="0.25">
      <c r="A39" s="1" t="s">
        <v>4890</v>
      </c>
      <c r="B39" s="1" t="b">
        <v>1</v>
      </c>
      <c r="C39" s="1" t="s">
        <v>4891</v>
      </c>
      <c r="D39" s="1">
        <v>2</v>
      </c>
      <c r="E39" s="1">
        <v>1</v>
      </c>
      <c r="F39" s="1" t="s">
        <v>28</v>
      </c>
    </row>
    <row r="40" spans="1:6" x14ac:dyDescent="0.25">
      <c r="A40" s="1" t="s">
        <v>4892</v>
      </c>
      <c r="B40" s="1" t="b">
        <v>1</v>
      </c>
      <c r="C40" s="1" t="s">
        <v>4893</v>
      </c>
      <c r="D40" s="1">
        <v>2</v>
      </c>
      <c r="E40" s="1">
        <v>1</v>
      </c>
      <c r="F40" s="1" t="s">
        <v>28</v>
      </c>
    </row>
    <row r="41" spans="1:6" x14ac:dyDescent="0.25">
      <c r="A41" s="1" t="s">
        <v>4894</v>
      </c>
      <c r="B41" s="1" t="b">
        <v>1</v>
      </c>
      <c r="C41" s="1" t="s">
        <v>4895</v>
      </c>
      <c r="D41" s="1">
        <v>2</v>
      </c>
      <c r="E41" s="1">
        <v>1</v>
      </c>
      <c r="F41" s="1" t="s">
        <v>28</v>
      </c>
    </row>
    <row r="42" spans="1:6" x14ac:dyDescent="0.25">
      <c r="A42" s="1" t="s">
        <v>4896</v>
      </c>
      <c r="B42" s="1" t="b">
        <v>0</v>
      </c>
      <c r="C42" s="1" t="s">
        <v>4897</v>
      </c>
      <c r="D42" s="1">
        <v>2</v>
      </c>
      <c r="E42" s="1">
        <v>1</v>
      </c>
      <c r="F42" s="1" t="s">
        <v>28</v>
      </c>
    </row>
    <row r="43" spans="1:6" x14ac:dyDescent="0.25">
      <c r="A43" s="1" t="s">
        <v>178</v>
      </c>
      <c r="B43" s="1" t="b">
        <v>1</v>
      </c>
      <c r="C43" s="1" t="s">
        <v>4898</v>
      </c>
      <c r="D43" s="1">
        <v>2</v>
      </c>
      <c r="E43" s="1">
        <v>1</v>
      </c>
      <c r="F43" s="1" t="s">
        <v>28</v>
      </c>
    </row>
    <row r="44" spans="1:6" x14ac:dyDescent="0.25">
      <c r="A44" s="1" t="s">
        <v>4899</v>
      </c>
      <c r="B44" s="1" t="b">
        <v>1</v>
      </c>
      <c r="C44" s="1" t="s">
        <v>4900</v>
      </c>
      <c r="D44" s="1">
        <v>3</v>
      </c>
      <c r="E44" s="1">
        <v>2</v>
      </c>
      <c r="F44" s="1" t="s">
        <v>28</v>
      </c>
    </row>
    <row r="45" spans="1:6" x14ac:dyDescent="0.25">
      <c r="A45" s="1" t="s">
        <v>4901</v>
      </c>
      <c r="B45" s="1" t="b">
        <v>1</v>
      </c>
      <c r="C45" s="1" t="s">
        <v>4902</v>
      </c>
      <c r="D45" s="1">
        <v>4</v>
      </c>
      <c r="E45" s="1">
        <v>2</v>
      </c>
      <c r="F45" s="1" t="s">
        <v>28</v>
      </c>
    </row>
    <row r="46" spans="1:6" x14ac:dyDescent="0.25">
      <c r="A46" s="1" t="s">
        <v>4903</v>
      </c>
      <c r="B46" s="1" t="b">
        <v>0</v>
      </c>
      <c r="C46" s="1" t="s">
        <v>4904</v>
      </c>
      <c r="D46" s="1">
        <v>4</v>
      </c>
      <c r="E46" s="1">
        <v>2</v>
      </c>
      <c r="F46" s="1" t="s">
        <v>28</v>
      </c>
    </row>
    <row r="47" spans="1:6" x14ac:dyDescent="0.25">
      <c r="A47" s="1" t="s">
        <v>547</v>
      </c>
      <c r="B47" s="1" t="b">
        <v>1</v>
      </c>
      <c r="C47" s="1" t="s">
        <v>4905</v>
      </c>
      <c r="D47" s="1">
        <v>4</v>
      </c>
      <c r="E47" s="1">
        <v>2</v>
      </c>
      <c r="F47" s="1" t="s">
        <v>28</v>
      </c>
    </row>
    <row r="48" spans="1:6" x14ac:dyDescent="0.25">
      <c r="A48" s="1" t="s">
        <v>4906</v>
      </c>
      <c r="B48" s="1" t="b">
        <v>1</v>
      </c>
      <c r="C48" s="1" t="s">
        <v>4907</v>
      </c>
      <c r="D48" s="1">
        <v>4</v>
      </c>
      <c r="E48" s="1">
        <v>2</v>
      </c>
      <c r="F48" s="1" t="s">
        <v>28</v>
      </c>
    </row>
    <row r="49" spans="1:6" ht="30" x14ac:dyDescent="0.25">
      <c r="A49" s="1" t="s">
        <v>4908</v>
      </c>
      <c r="B49" s="1" t="b">
        <v>0</v>
      </c>
      <c r="C49" s="1" t="s">
        <v>4909</v>
      </c>
      <c r="D49" s="1">
        <v>4</v>
      </c>
      <c r="E49" s="1">
        <v>2</v>
      </c>
      <c r="F49" s="1" t="s">
        <v>28</v>
      </c>
    </row>
    <row r="50" spans="1:6" x14ac:dyDescent="0.25">
      <c r="A50" s="1" t="s">
        <v>4910</v>
      </c>
      <c r="B50" s="1" t="b">
        <v>0</v>
      </c>
      <c r="C50" s="1" t="s">
        <v>4911</v>
      </c>
      <c r="D50" s="1">
        <v>4</v>
      </c>
      <c r="E50" s="1">
        <v>2</v>
      </c>
      <c r="F50" s="1" t="s">
        <v>28</v>
      </c>
    </row>
    <row r="51" spans="1:6" x14ac:dyDescent="0.25">
      <c r="A51" s="1" t="s">
        <v>4912</v>
      </c>
      <c r="B51" s="1" t="b">
        <v>0</v>
      </c>
      <c r="C51" s="1" t="s">
        <v>4913</v>
      </c>
      <c r="D51" s="1">
        <v>4</v>
      </c>
      <c r="E51" s="1">
        <v>2</v>
      </c>
      <c r="F51" s="1" t="s">
        <v>28</v>
      </c>
    </row>
    <row r="52" spans="1:6" x14ac:dyDescent="0.25">
      <c r="A52" s="1" t="s">
        <v>4914</v>
      </c>
      <c r="B52" s="1" t="b">
        <v>0</v>
      </c>
      <c r="C52" s="1" t="s">
        <v>4915</v>
      </c>
      <c r="D52" s="1">
        <v>4</v>
      </c>
      <c r="E52" s="1">
        <v>2</v>
      </c>
      <c r="F52" s="1" t="s">
        <v>28</v>
      </c>
    </row>
    <row r="53" spans="1:6" x14ac:dyDescent="0.25">
      <c r="A53" s="1" t="s">
        <v>4916</v>
      </c>
      <c r="B53" s="1" t="b">
        <v>0</v>
      </c>
      <c r="C53" s="1" t="s">
        <v>4917</v>
      </c>
      <c r="D53" s="1">
        <v>4</v>
      </c>
      <c r="E53" s="1">
        <v>2</v>
      </c>
      <c r="F53" s="1" t="s">
        <v>28</v>
      </c>
    </row>
    <row r="54" spans="1:6" x14ac:dyDescent="0.25">
      <c r="A54" s="1" t="s">
        <v>4918</v>
      </c>
      <c r="B54" s="1" t="b">
        <v>0</v>
      </c>
      <c r="C54" s="1" t="s">
        <v>4919</v>
      </c>
      <c r="D54" s="1">
        <v>4</v>
      </c>
      <c r="E54" s="1">
        <v>2</v>
      </c>
      <c r="F54" s="1" t="s">
        <v>28</v>
      </c>
    </row>
    <row r="55" spans="1:6" x14ac:dyDescent="0.25">
      <c r="A55" s="1" t="s">
        <v>4920</v>
      </c>
      <c r="B55" s="1" t="b">
        <v>0</v>
      </c>
      <c r="C55" s="1" t="s">
        <v>4921</v>
      </c>
      <c r="D55" s="1">
        <v>4</v>
      </c>
      <c r="E55" s="1">
        <v>2</v>
      </c>
      <c r="F55" s="1" t="s">
        <v>28</v>
      </c>
    </row>
    <row r="56" spans="1:6" x14ac:dyDescent="0.25">
      <c r="A56" s="1" t="s">
        <v>4922</v>
      </c>
      <c r="B56" s="1" t="b">
        <v>0</v>
      </c>
      <c r="C56" s="1" t="s">
        <v>4923</v>
      </c>
      <c r="D56" s="1">
        <v>4</v>
      </c>
      <c r="E56" s="1">
        <v>2</v>
      </c>
      <c r="F56" s="1" t="s">
        <v>28</v>
      </c>
    </row>
    <row r="57" spans="1:6" ht="30" x14ac:dyDescent="0.25">
      <c r="A57" s="1" t="s">
        <v>4924</v>
      </c>
      <c r="B57" s="1" t="b">
        <v>1</v>
      </c>
      <c r="C57" s="1" t="s">
        <v>4925</v>
      </c>
      <c r="D57" s="1">
        <v>2</v>
      </c>
      <c r="E57" s="1">
        <v>1</v>
      </c>
      <c r="F57" s="1" t="s">
        <v>28</v>
      </c>
    </row>
    <row r="58" spans="1:6" ht="30" x14ac:dyDescent="0.25">
      <c r="A58" s="1" t="s">
        <v>4926</v>
      </c>
      <c r="B58" s="1" t="b">
        <v>1</v>
      </c>
      <c r="C58" s="1" t="s">
        <v>4927</v>
      </c>
      <c r="D58" s="1">
        <v>2</v>
      </c>
      <c r="E58" s="1">
        <v>1</v>
      </c>
      <c r="F58" s="1" t="s">
        <v>28</v>
      </c>
    </row>
    <row r="59" spans="1:6" x14ac:dyDescent="0.25">
      <c r="A59" s="1" t="s">
        <v>4928</v>
      </c>
      <c r="B59" s="1" t="b">
        <v>1</v>
      </c>
      <c r="C59" s="1" t="s">
        <v>4929</v>
      </c>
      <c r="D59" s="1">
        <v>3</v>
      </c>
      <c r="E59" s="1">
        <v>2</v>
      </c>
      <c r="F59" s="1" t="s">
        <v>28</v>
      </c>
    </row>
    <row r="60" spans="1:6" x14ac:dyDescent="0.25">
      <c r="A60" s="1" t="s">
        <v>4930</v>
      </c>
      <c r="B60" s="1" t="b">
        <v>0</v>
      </c>
      <c r="C60" s="1" t="s">
        <v>4931</v>
      </c>
      <c r="D60" s="1">
        <v>4</v>
      </c>
      <c r="E60" s="1">
        <v>2</v>
      </c>
      <c r="F60" s="1" t="s">
        <v>28</v>
      </c>
    </row>
    <row r="61" spans="1:6" x14ac:dyDescent="0.25">
      <c r="A61" s="1" t="s">
        <v>4932</v>
      </c>
      <c r="B61" s="1" t="b">
        <v>0</v>
      </c>
      <c r="C61" s="1" t="s">
        <v>4933</v>
      </c>
      <c r="D61" s="1">
        <v>4</v>
      </c>
      <c r="E61" s="1">
        <v>2</v>
      </c>
      <c r="F61" s="1" t="s">
        <v>28</v>
      </c>
    </row>
    <row r="62" spans="1:6" x14ac:dyDescent="0.25">
      <c r="A62" s="1" t="s">
        <v>4934</v>
      </c>
      <c r="B62" s="1" t="b">
        <v>0</v>
      </c>
      <c r="C62" s="1" t="s">
        <v>4935</v>
      </c>
      <c r="D62" s="1">
        <v>2</v>
      </c>
      <c r="E62" s="1">
        <v>1</v>
      </c>
      <c r="F62" s="1" t="s">
        <v>28</v>
      </c>
    </row>
    <row r="63" spans="1:6" x14ac:dyDescent="0.25">
      <c r="A63" s="1" t="s">
        <v>4936</v>
      </c>
      <c r="B63" s="1" t="b">
        <v>0</v>
      </c>
      <c r="C63" s="1" t="s">
        <v>4937</v>
      </c>
      <c r="D63" s="1">
        <v>4</v>
      </c>
      <c r="E63" s="1">
        <v>2</v>
      </c>
      <c r="F63" s="1" t="s">
        <v>28</v>
      </c>
    </row>
    <row r="64" spans="1:6" x14ac:dyDescent="0.25">
      <c r="A64" s="1" t="s">
        <v>4938</v>
      </c>
      <c r="B64" s="1" t="b">
        <v>0</v>
      </c>
      <c r="C64" s="1" t="s">
        <v>4939</v>
      </c>
      <c r="D64" s="1">
        <v>4</v>
      </c>
      <c r="E64" s="1">
        <v>2</v>
      </c>
      <c r="F64" s="1" t="s">
        <v>28</v>
      </c>
    </row>
    <row r="65" spans="1:6" x14ac:dyDescent="0.25">
      <c r="A65" s="1" t="s">
        <v>4940</v>
      </c>
      <c r="B65" s="1" t="b">
        <v>0</v>
      </c>
      <c r="C65" s="1" t="s">
        <v>4941</v>
      </c>
      <c r="D65" s="1">
        <v>4</v>
      </c>
      <c r="E65" s="1">
        <v>2</v>
      </c>
      <c r="F65" s="1" t="s">
        <v>28</v>
      </c>
    </row>
    <row r="66" spans="1:6" x14ac:dyDescent="0.25">
      <c r="A66" s="1" t="s">
        <v>4942</v>
      </c>
      <c r="B66" s="1" t="b">
        <v>0</v>
      </c>
      <c r="C66" s="1" t="s">
        <v>4943</v>
      </c>
      <c r="D66" s="1">
        <v>4</v>
      </c>
      <c r="E66" s="1">
        <v>2</v>
      </c>
      <c r="F66" s="1" t="s">
        <v>28</v>
      </c>
    </row>
    <row r="67" spans="1:6" x14ac:dyDescent="0.25">
      <c r="A67" s="1" t="s">
        <v>4944</v>
      </c>
      <c r="B67" s="1" t="b">
        <v>0</v>
      </c>
      <c r="C67" s="1" t="s">
        <v>4945</v>
      </c>
      <c r="D67" s="1">
        <v>4</v>
      </c>
      <c r="E67" s="1">
        <v>2</v>
      </c>
      <c r="F67" s="1" t="s">
        <v>28</v>
      </c>
    </row>
    <row r="68" spans="1:6" x14ac:dyDescent="0.25">
      <c r="A68" s="1" t="s">
        <v>4946</v>
      </c>
      <c r="B68" s="1" t="b">
        <v>1</v>
      </c>
      <c r="C68" s="1" t="s">
        <v>4947</v>
      </c>
      <c r="D68" s="1">
        <v>4</v>
      </c>
      <c r="E68" s="1">
        <v>2</v>
      </c>
      <c r="F68" s="1" t="s">
        <v>28</v>
      </c>
    </row>
    <row r="69" spans="1:6" ht="30" x14ac:dyDescent="0.25">
      <c r="A69" s="1" t="s">
        <v>4948</v>
      </c>
      <c r="B69" s="1" t="b">
        <v>0</v>
      </c>
      <c r="C69" s="1" t="s">
        <v>4949</v>
      </c>
      <c r="D69" s="1">
        <v>4</v>
      </c>
      <c r="E69" s="1">
        <v>2</v>
      </c>
      <c r="F69" s="1" t="s">
        <v>28</v>
      </c>
    </row>
    <row r="70" spans="1:6" x14ac:dyDescent="0.25">
      <c r="A70" s="1" t="s">
        <v>4950</v>
      </c>
      <c r="B70" s="1" t="b">
        <v>0</v>
      </c>
      <c r="C70" s="1" t="s">
        <v>4951</v>
      </c>
      <c r="D70" s="1">
        <v>4</v>
      </c>
      <c r="E70" s="1">
        <v>2</v>
      </c>
      <c r="F70" s="1" t="s">
        <v>28</v>
      </c>
    </row>
    <row r="71" spans="1:6" x14ac:dyDescent="0.25">
      <c r="A71" s="1" t="s">
        <v>4952</v>
      </c>
      <c r="B71" s="1" t="b">
        <v>1</v>
      </c>
      <c r="C71" s="1" t="s">
        <v>4953</v>
      </c>
      <c r="D71" s="1">
        <v>4</v>
      </c>
      <c r="E71" s="1">
        <v>2</v>
      </c>
      <c r="F71" s="1" t="s">
        <v>28</v>
      </c>
    </row>
    <row r="72" spans="1:6" x14ac:dyDescent="0.25">
      <c r="A72" s="1" t="s">
        <v>4954</v>
      </c>
      <c r="B72" s="1" t="b">
        <v>0</v>
      </c>
      <c r="C72" s="1" t="s">
        <v>4955</v>
      </c>
      <c r="D72" s="1">
        <v>3</v>
      </c>
      <c r="E72" s="1">
        <v>2</v>
      </c>
      <c r="F72" s="1" t="s">
        <v>28</v>
      </c>
    </row>
    <row r="73" spans="1:6" x14ac:dyDescent="0.25">
      <c r="A73" s="1" t="s">
        <v>4956</v>
      </c>
      <c r="B73" s="1" t="b">
        <v>0</v>
      </c>
      <c r="C73" s="1" t="s">
        <v>4957</v>
      </c>
      <c r="D73" s="1">
        <v>4</v>
      </c>
      <c r="E73" s="1">
        <v>2</v>
      </c>
      <c r="F73" s="1" t="s">
        <v>28</v>
      </c>
    </row>
    <row r="74" spans="1:6" x14ac:dyDescent="0.25">
      <c r="A74" s="1" t="s">
        <v>283</v>
      </c>
      <c r="B74" s="1" t="b">
        <v>1</v>
      </c>
      <c r="C74" s="1" t="s">
        <v>285</v>
      </c>
      <c r="D74" s="1">
        <v>4</v>
      </c>
      <c r="E74" s="1">
        <v>1</v>
      </c>
      <c r="F74" s="1" t="s">
        <v>28</v>
      </c>
    </row>
    <row r="75" spans="1:6" x14ac:dyDescent="0.25">
      <c r="A75" s="1" t="s">
        <v>4958</v>
      </c>
      <c r="B75" s="1" t="b">
        <v>0</v>
      </c>
      <c r="C75" s="1" t="s">
        <v>4959</v>
      </c>
      <c r="D75" s="1">
        <v>4</v>
      </c>
      <c r="E75" s="1">
        <v>1</v>
      </c>
      <c r="F75" s="1" t="s">
        <v>28</v>
      </c>
    </row>
    <row r="76" spans="1:6" x14ac:dyDescent="0.25">
      <c r="A76" s="1" t="s">
        <v>4960</v>
      </c>
      <c r="B76" s="1" t="b">
        <v>1</v>
      </c>
      <c r="C76" s="1" t="s">
        <v>4961</v>
      </c>
      <c r="D76" s="1">
        <v>4</v>
      </c>
      <c r="E76" s="1">
        <v>1</v>
      </c>
      <c r="F76" s="1" t="s">
        <v>28</v>
      </c>
    </row>
    <row r="77" spans="1:6" x14ac:dyDescent="0.25">
      <c r="A77" s="1" t="s">
        <v>4962</v>
      </c>
      <c r="B77" s="1" t="b">
        <v>0</v>
      </c>
      <c r="C77" s="1" t="s">
        <v>4963</v>
      </c>
      <c r="D77" s="1">
        <v>4</v>
      </c>
      <c r="E77" s="1">
        <v>1</v>
      </c>
      <c r="F77" s="1" t="s">
        <v>28</v>
      </c>
    </row>
    <row r="78" spans="1:6" x14ac:dyDescent="0.25">
      <c r="A78" s="1" t="s">
        <v>4964</v>
      </c>
      <c r="B78" s="1" t="b">
        <v>1</v>
      </c>
      <c r="C78" s="1" t="s">
        <v>4965</v>
      </c>
      <c r="D78" s="1">
        <v>4</v>
      </c>
      <c r="E78" s="1">
        <v>2</v>
      </c>
      <c r="F78" s="1" t="s">
        <v>28</v>
      </c>
    </row>
    <row r="79" spans="1:6" x14ac:dyDescent="0.25">
      <c r="A79" s="1" t="s">
        <v>4966</v>
      </c>
      <c r="B79" s="1" t="b">
        <v>1</v>
      </c>
      <c r="C79" s="1" t="s">
        <v>4967</v>
      </c>
      <c r="D79" s="1">
        <v>4</v>
      </c>
      <c r="E79" s="1">
        <v>2</v>
      </c>
      <c r="F79" s="1" t="s">
        <v>28</v>
      </c>
    </row>
    <row r="80" spans="1:6" x14ac:dyDescent="0.25">
      <c r="A80" s="1" t="s">
        <v>4968</v>
      </c>
      <c r="B80" s="1" t="b">
        <v>0</v>
      </c>
      <c r="C80" s="1" t="s">
        <v>4969</v>
      </c>
      <c r="D80" s="1">
        <v>4</v>
      </c>
      <c r="E80" s="1">
        <v>2</v>
      </c>
      <c r="F80" s="1" t="s">
        <v>28</v>
      </c>
    </row>
    <row r="81" spans="1:6" x14ac:dyDescent="0.25">
      <c r="A81" s="1" t="s">
        <v>4970</v>
      </c>
      <c r="B81" s="1" t="b">
        <v>0</v>
      </c>
      <c r="C81" s="1" t="s">
        <v>4971</v>
      </c>
      <c r="D81" s="1">
        <v>4</v>
      </c>
      <c r="E81" s="1">
        <v>2</v>
      </c>
      <c r="F81" s="1" t="s">
        <v>28</v>
      </c>
    </row>
    <row r="82" spans="1:6" x14ac:dyDescent="0.25">
      <c r="A82" s="1" t="s">
        <v>4972</v>
      </c>
      <c r="B82" s="1" t="b">
        <v>0</v>
      </c>
      <c r="C82" s="1" t="s">
        <v>4973</v>
      </c>
      <c r="D82" s="1">
        <v>4</v>
      </c>
      <c r="E82" s="1">
        <v>2</v>
      </c>
      <c r="F82" s="1" t="s">
        <v>28</v>
      </c>
    </row>
    <row r="83" spans="1:6" x14ac:dyDescent="0.25">
      <c r="A83" s="1" t="s">
        <v>4974</v>
      </c>
      <c r="B83" s="1" t="b">
        <v>1</v>
      </c>
      <c r="C83" s="1" t="s">
        <v>4975</v>
      </c>
      <c r="D83" s="1">
        <v>4</v>
      </c>
      <c r="E83" s="1">
        <v>2</v>
      </c>
      <c r="F83" s="1" t="s">
        <v>28</v>
      </c>
    </row>
    <row r="84" spans="1:6" x14ac:dyDescent="0.25">
      <c r="A84" s="1" t="s">
        <v>4976</v>
      </c>
      <c r="B84" s="1" t="b">
        <v>1</v>
      </c>
      <c r="C84" s="1" t="s">
        <v>4977</v>
      </c>
      <c r="D84" s="1">
        <v>4</v>
      </c>
      <c r="E84" s="1">
        <v>2</v>
      </c>
      <c r="F84" s="1" t="s">
        <v>28</v>
      </c>
    </row>
    <row r="85" spans="1:6" x14ac:dyDescent="0.25">
      <c r="A85" s="1" t="s">
        <v>4978</v>
      </c>
      <c r="B85" s="1" t="b">
        <v>0</v>
      </c>
      <c r="C85" s="1" t="s">
        <v>4979</v>
      </c>
      <c r="D85" s="1">
        <v>1</v>
      </c>
      <c r="E85" s="1">
        <v>1</v>
      </c>
      <c r="F85" s="1" t="s">
        <v>28</v>
      </c>
    </row>
    <row r="86" spans="1:6" x14ac:dyDescent="0.25">
      <c r="A86" s="1" t="s">
        <v>4980</v>
      </c>
      <c r="B86" s="1" t="b">
        <v>0</v>
      </c>
      <c r="C86" s="1" t="s">
        <v>4981</v>
      </c>
      <c r="D86" s="1">
        <v>1</v>
      </c>
      <c r="E86" s="1">
        <v>1</v>
      </c>
      <c r="F86" s="1" t="s">
        <v>28</v>
      </c>
    </row>
    <row r="87" spans="1:6" x14ac:dyDescent="0.25">
      <c r="A87" s="1" t="s">
        <v>4982</v>
      </c>
      <c r="B87" s="1" t="b">
        <v>0</v>
      </c>
      <c r="C87" s="1" t="s">
        <v>4983</v>
      </c>
      <c r="D87" s="1">
        <v>1</v>
      </c>
      <c r="E87" s="1">
        <v>1</v>
      </c>
      <c r="F87" s="1" t="s">
        <v>28</v>
      </c>
    </row>
    <row r="88" spans="1:6" x14ac:dyDescent="0.25">
      <c r="A88" s="1" t="s">
        <v>4984</v>
      </c>
      <c r="B88" s="1" t="b">
        <v>0</v>
      </c>
      <c r="C88" s="1" t="s">
        <v>4985</v>
      </c>
      <c r="D88" s="1">
        <v>1</v>
      </c>
      <c r="E88" s="1">
        <v>1</v>
      </c>
      <c r="F88" s="1" t="s">
        <v>28</v>
      </c>
    </row>
    <row r="89" spans="1:6" x14ac:dyDescent="0.25">
      <c r="A89" s="1" t="s">
        <v>3466</v>
      </c>
      <c r="B89" s="1" t="b">
        <v>1</v>
      </c>
      <c r="C89" s="1" t="s">
        <v>3467</v>
      </c>
      <c r="D89" s="1">
        <v>4</v>
      </c>
      <c r="E89" s="1">
        <v>1</v>
      </c>
      <c r="F89" s="1" t="s">
        <v>28</v>
      </c>
    </row>
    <row r="90" spans="1:6" x14ac:dyDescent="0.25">
      <c r="A90" s="1" t="s">
        <v>4986</v>
      </c>
      <c r="B90" s="1" t="b">
        <v>1</v>
      </c>
      <c r="C90" s="1" t="s">
        <v>4987</v>
      </c>
      <c r="D90" s="1">
        <v>2</v>
      </c>
      <c r="E90" s="1">
        <v>1</v>
      </c>
      <c r="F90" s="1" t="s">
        <v>28</v>
      </c>
    </row>
    <row r="91" spans="1:6" x14ac:dyDescent="0.25">
      <c r="A91" s="1" t="s">
        <v>4988</v>
      </c>
      <c r="B91" s="1" t="b">
        <v>1</v>
      </c>
      <c r="C91" s="1" t="s">
        <v>4989</v>
      </c>
      <c r="D91" s="1">
        <v>1</v>
      </c>
      <c r="E91" s="1">
        <v>1</v>
      </c>
      <c r="F91" s="1" t="s">
        <v>28</v>
      </c>
    </row>
    <row r="92" spans="1:6" x14ac:dyDescent="0.25">
      <c r="A92" s="1" t="s">
        <v>4990</v>
      </c>
      <c r="B92" s="1" t="b">
        <v>1</v>
      </c>
      <c r="C92" s="1" t="s">
        <v>4991</v>
      </c>
      <c r="D92" s="1">
        <v>1</v>
      </c>
      <c r="E92" s="1">
        <v>1</v>
      </c>
      <c r="F92" s="1" t="s">
        <v>28</v>
      </c>
    </row>
    <row r="93" spans="1:6" x14ac:dyDescent="0.25">
      <c r="A93" s="1" t="s">
        <v>4992</v>
      </c>
      <c r="B93" s="1" t="b">
        <v>1</v>
      </c>
      <c r="C93" s="1" t="s">
        <v>4993</v>
      </c>
      <c r="D93" s="1">
        <v>2</v>
      </c>
      <c r="E93" s="1">
        <v>1</v>
      </c>
      <c r="F93" s="1" t="s">
        <v>28</v>
      </c>
    </row>
    <row r="94" spans="1:6" x14ac:dyDescent="0.25">
      <c r="A94" s="1" t="s">
        <v>163</v>
      </c>
      <c r="B94" s="1" t="b">
        <v>1</v>
      </c>
      <c r="C94" s="1" t="s">
        <v>4994</v>
      </c>
      <c r="D94" s="1">
        <v>3</v>
      </c>
      <c r="E94" s="1">
        <v>1</v>
      </c>
      <c r="F94" s="1" t="s">
        <v>28</v>
      </c>
    </row>
    <row r="95" spans="1:6" x14ac:dyDescent="0.25">
      <c r="A95" s="1" t="s">
        <v>4995</v>
      </c>
      <c r="B95" s="1" t="b">
        <v>1</v>
      </c>
      <c r="C95" s="1" t="s">
        <v>4996</v>
      </c>
      <c r="D95" s="1">
        <v>1</v>
      </c>
      <c r="E95" s="1">
        <v>1</v>
      </c>
      <c r="F95" s="1" t="s">
        <v>28</v>
      </c>
    </row>
    <row r="96" spans="1:6" x14ac:dyDescent="0.25">
      <c r="A96" s="1" t="s">
        <v>4997</v>
      </c>
      <c r="B96" s="1" t="b">
        <v>1</v>
      </c>
      <c r="C96" s="1" t="s">
        <v>4998</v>
      </c>
      <c r="D96" s="1">
        <v>1</v>
      </c>
      <c r="E96" s="1">
        <v>1</v>
      </c>
      <c r="F96" s="1" t="s">
        <v>28</v>
      </c>
    </row>
    <row r="97" spans="1:6" x14ac:dyDescent="0.25">
      <c r="A97" s="1" t="s">
        <v>4999</v>
      </c>
      <c r="B97" s="1" t="b">
        <v>1</v>
      </c>
      <c r="C97" s="1" t="s">
        <v>5000</v>
      </c>
      <c r="D97" s="1">
        <v>1</v>
      </c>
      <c r="E97" s="1">
        <v>1</v>
      </c>
      <c r="F97" s="1" t="s">
        <v>28</v>
      </c>
    </row>
    <row r="98" spans="1:6" x14ac:dyDescent="0.25">
      <c r="A98" s="1" t="s">
        <v>5001</v>
      </c>
      <c r="B98" s="1" t="b">
        <v>1</v>
      </c>
      <c r="C98" s="1" t="s">
        <v>5002</v>
      </c>
      <c r="D98" s="1">
        <v>2</v>
      </c>
      <c r="E98" s="1">
        <v>1</v>
      </c>
      <c r="F98" s="1" t="s">
        <v>28</v>
      </c>
    </row>
    <row r="99" spans="1:6" x14ac:dyDescent="0.25">
      <c r="A99" s="1" t="s">
        <v>5003</v>
      </c>
      <c r="B99" s="1" t="b">
        <v>1</v>
      </c>
      <c r="C99" s="1" t="s">
        <v>5004</v>
      </c>
      <c r="D99" s="1">
        <v>2</v>
      </c>
      <c r="E99" s="1">
        <v>1</v>
      </c>
      <c r="F99" s="1" t="s">
        <v>28</v>
      </c>
    </row>
    <row r="100" spans="1:6" x14ac:dyDescent="0.25">
      <c r="A100" s="1" t="s">
        <v>5005</v>
      </c>
      <c r="B100" s="1" t="b">
        <v>1</v>
      </c>
      <c r="C100" s="1" t="s">
        <v>5006</v>
      </c>
      <c r="D100" s="1">
        <v>2</v>
      </c>
      <c r="E100" s="1">
        <v>1</v>
      </c>
      <c r="F100" s="1" t="s">
        <v>28</v>
      </c>
    </row>
    <row r="101" spans="1:6" x14ac:dyDescent="0.25">
      <c r="A101" s="1" t="s">
        <v>5007</v>
      </c>
      <c r="B101" s="1" t="b">
        <v>1</v>
      </c>
      <c r="C101" s="1" t="s">
        <v>5008</v>
      </c>
      <c r="D101" s="1">
        <v>2</v>
      </c>
      <c r="E101" s="1">
        <v>1</v>
      </c>
      <c r="F101" s="1" t="s">
        <v>28</v>
      </c>
    </row>
    <row r="102" spans="1:6" x14ac:dyDescent="0.25">
      <c r="A102" s="1" t="s">
        <v>5009</v>
      </c>
      <c r="B102" s="1" t="b">
        <v>1</v>
      </c>
      <c r="C102" s="1" t="s">
        <v>5010</v>
      </c>
      <c r="D102" s="1">
        <v>4</v>
      </c>
      <c r="E102" s="1">
        <v>2</v>
      </c>
      <c r="F102" s="1" t="s">
        <v>28</v>
      </c>
    </row>
    <row r="103" spans="1:6" x14ac:dyDescent="0.25">
      <c r="A103" s="1" t="s">
        <v>5011</v>
      </c>
      <c r="B103" s="1" t="b">
        <v>1</v>
      </c>
      <c r="C103" s="1" t="s">
        <v>5012</v>
      </c>
      <c r="D103" s="1">
        <v>3</v>
      </c>
      <c r="E103" s="1">
        <v>2</v>
      </c>
      <c r="F103" s="1" t="s">
        <v>28</v>
      </c>
    </row>
    <row r="104" spans="1:6" x14ac:dyDescent="0.25">
      <c r="A104" s="1" t="s">
        <v>5013</v>
      </c>
      <c r="B104" s="1" t="b">
        <v>0</v>
      </c>
      <c r="C104" s="1" t="s">
        <v>147</v>
      </c>
      <c r="D104" s="1">
        <v>2</v>
      </c>
      <c r="E104" s="1">
        <v>1</v>
      </c>
      <c r="F104" s="1" t="s">
        <v>28</v>
      </c>
    </row>
    <row r="105" spans="1:6" x14ac:dyDescent="0.25">
      <c r="A105" s="1" t="s">
        <v>145</v>
      </c>
      <c r="B105" s="1" t="b">
        <v>1</v>
      </c>
      <c r="C105" s="1" t="s">
        <v>147</v>
      </c>
      <c r="D105" s="1">
        <v>2</v>
      </c>
      <c r="E105" s="1">
        <v>1</v>
      </c>
      <c r="F105" s="1" t="s">
        <v>28</v>
      </c>
    </row>
    <row r="106" spans="1:6" x14ac:dyDescent="0.25">
      <c r="A106" s="1" t="s">
        <v>5014</v>
      </c>
      <c r="B106" s="1" t="b">
        <v>0</v>
      </c>
      <c r="C106" s="1" t="s">
        <v>147</v>
      </c>
      <c r="D106" s="1">
        <v>2</v>
      </c>
      <c r="E106" s="1">
        <v>1</v>
      </c>
      <c r="F106" s="1" t="s">
        <v>28</v>
      </c>
    </row>
    <row r="107" spans="1:6" x14ac:dyDescent="0.25">
      <c r="A107" s="1" t="s">
        <v>157</v>
      </c>
      <c r="B107" s="1" t="b">
        <v>1</v>
      </c>
      <c r="C107" s="1" t="s">
        <v>5015</v>
      </c>
      <c r="D107" s="1">
        <v>3</v>
      </c>
      <c r="E107" s="1">
        <v>1</v>
      </c>
      <c r="F107" s="1" t="s">
        <v>28</v>
      </c>
    </row>
    <row r="108" spans="1:6" x14ac:dyDescent="0.25">
      <c r="A108" s="1" t="s">
        <v>149</v>
      </c>
      <c r="B108" s="1" t="b">
        <v>1</v>
      </c>
      <c r="C108" s="1" t="s">
        <v>5015</v>
      </c>
      <c r="D108" s="1">
        <v>3</v>
      </c>
      <c r="E108" s="1">
        <v>1</v>
      </c>
      <c r="F108" s="1" t="s">
        <v>28</v>
      </c>
    </row>
    <row r="109" spans="1:6" x14ac:dyDescent="0.25">
      <c r="A109" s="1" t="s">
        <v>5016</v>
      </c>
      <c r="B109" s="1" t="b">
        <v>1</v>
      </c>
      <c r="C109" s="1" t="s">
        <v>5017</v>
      </c>
      <c r="D109" s="1">
        <v>3</v>
      </c>
      <c r="E109" s="1">
        <v>2</v>
      </c>
      <c r="F109" s="1" t="s">
        <v>28</v>
      </c>
    </row>
    <row r="110" spans="1:6" x14ac:dyDescent="0.25">
      <c r="A110" s="1" t="s">
        <v>5018</v>
      </c>
      <c r="B110" s="1" t="b">
        <v>1</v>
      </c>
      <c r="C110" s="1" t="s">
        <v>5019</v>
      </c>
      <c r="D110" s="1">
        <v>3</v>
      </c>
      <c r="E110" s="1">
        <v>2</v>
      </c>
      <c r="F110" s="1" t="s">
        <v>28</v>
      </c>
    </row>
    <row r="111" spans="1:6" x14ac:dyDescent="0.25">
      <c r="A111" s="1" t="s">
        <v>5020</v>
      </c>
      <c r="B111" s="1" t="b">
        <v>1</v>
      </c>
      <c r="C111" s="1" t="s">
        <v>5019</v>
      </c>
      <c r="D111" s="1">
        <v>3</v>
      </c>
      <c r="E111" s="1">
        <v>2</v>
      </c>
      <c r="F111" s="1" t="s">
        <v>28</v>
      </c>
    </row>
    <row r="112" spans="1:6" x14ac:dyDescent="0.25">
      <c r="A112" s="1" t="s">
        <v>5021</v>
      </c>
      <c r="B112" s="1" t="b">
        <v>1</v>
      </c>
      <c r="C112" s="1" t="s">
        <v>5022</v>
      </c>
      <c r="D112" s="1">
        <v>4</v>
      </c>
      <c r="E112" s="1">
        <v>2</v>
      </c>
      <c r="F112" s="1" t="s">
        <v>28</v>
      </c>
    </row>
    <row r="113" spans="1:6" x14ac:dyDescent="0.25">
      <c r="A113" s="1" t="s">
        <v>5023</v>
      </c>
      <c r="B113" s="1" t="b">
        <v>1</v>
      </c>
      <c r="C113" s="1" t="s">
        <v>5022</v>
      </c>
      <c r="D113" s="1">
        <v>4</v>
      </c>
      <c r="E113" s="1">
        <v>2</v>
      </c>
      <c r="F113" s="1" t="s">
        <v>28</v>
      </c>
    </row>
    <row r="114" spans="1:6" x14ac:dyDescent="0.25">
      <c r="A114" s="1" t="s">
        <v>5024</v>
      </c>
      <c r="B114" s="1" t="b">
        <v>1</v>
      </c>
      <c r="C114" s="1" t="s">
        <v>5025</v>
      </c>
      <c r="D114" s="1">
        <v>4</v>
      </c>
      <c r="E114" s="1">
        <v>1</v>
      </c>
      <c r="F114" s="1" t="s">
        <v>28</v>
      </c>
    </row>
    <row r="115" spans="1:6" x14ac:dyDescent="0.25">
      <c r="A115" s="1" t="s">
        <v>5026</v>
      </c>
      <c r="B115" s="1" t="b">
        <v>1</v>
      </c>
      <c r="C115" s="1" t="s">
        <v>5027</v>
      </c>
      <c r="D115" s="1">
        <v>1</v>
      </c>
      <c r="E115" s="1">
        <v>1</v>
      </c>
      <c r="F115" s="1" t="s">
        <v>28</v>
      </c>
    </row>
    <row r="116" spans="1:6" x14ac:dyDescent="0.25">
      <c r="A116" s="1" t="s">
        <v>5028</v>
      </c>
      <c r="B116" s="1" t="b">
        <v>1</v>
      </c>
      <c r="C116" s="1" t="s">
        <v>5027</v>
      </c>
      <c r="D116" s="1">
        <v>1</v>
      </c>
      <c r="E116" s="1">
        <v>1</v>
      </c>
      <c r="F116" s="1" t="s">
        <v>28</v>
      </c>
    </row>
    <row r="117" spans="1:6" x14ac:dyDescent="0.25">
      <c r="A117" s="1" t="s">
        <v>5029</v>
      </c>
      <c r="B117" s="1" t="b">
        <v>1</v>
      </c>
      <c r="C117" s="1" t="s">
        <v>5027</v>
      </c>
      <c r="D117" s="1">
        <v>1</v>
      </c>
      <c r="E117" s="1">
        <v>1</v>
      </c>
      <c r="F117" s="1" t="s">
        <v>28</v>
      </c>
    </row>
    <row r="118" spans="1:6" x14ac:dyDescent="0.25">
      <c r="A118" s="1" t="s">
        <v>5030</v>
      </c>
      <c r="B118" s="1" t="b">
        <v>0</v>
      </c>
      <c r="C118" s="1" t="s">
        <v>5031</v>
      </c>
      <c r="D118" s="1">
        <v>3</v>
      </c>
      <c r="E118" s="1">
        <v>2</v>
      </c>
      <c r="F118" s="1" t="s">
        <v>28</v>
      </c>
    </row>
    <row r="119" spans="1:6" x14ac:dyDescent="0.25">
      <c r="A119" s="1" t="s">
        <v>5032</v>
      </c>
      <c r="B119" s="1" t="b">
        <v>0</v>
      </c>
      <c r="C119" s="1" t="s">
        <v>5031</v>
      </c>
      <c r="D119" s="1">
        <v>3</v>
      </c>
      <c r="E119" s="1">
        <v>2</v>
      </c>
      <c r="F119" s="1" t="s">
        <v>28</v>
      </c>
    </row>
    <row r="120" spans="1:6" x14ac:dyDescent="0.25">
      <c r="A120" s="1" t="s">
        <v>5033</v>
      </c>
      <c r="B120" s="1" t="b">
        <v>1</v>
      </c>
      <c r="C120" s="1" t="s">
        <v>5034</v>
      </c>
      <c r="D120" s="1">
        <v>4</v>
      </c>
      <c r="E120" s="1">
        <v>1</v>
      </c>
      <c r="F120" s="1" t="s">
        <v>28</v>
      </c>
    </row>
    <row r="121" spans="1:6" x14ac:dyDescent="0.25">
      <c r="A121" s="1" t="s">
        <v>4757</v>
      </c>
      <c r="B121" s="1" t="b">
        <v>1</v>
      </c>
      <c r="C121" s="1" t="s">
        <v>5035</v>
      </c>
      <c r="D121" s="1">
        <v>2</v>
      </c>
      <c r="E121" s="1">
        <v>1</v>
      </c>
      <c r="F121" s="1" t="s">
        <v>28</v>
      </c>
    </row>
    <row r="122" spans="1:6" x14ac:dyDescent="0.25">
      <c r="A122" s="1" t="s">
        <v>5036</v>
      </c>
      <c r="B122" s="1" t="b">
        <v>1</v>
      </c>
      <c r="C122" s="1" t="s">
        <v>5037</v>
      </c>
      <c r="D122" s="1">
        <v>2</v>
      </c>
      <c r="E122" s="1">
        <v>1</v>
      </c>
      <c r="F122" s="1" t="s">
        <v>28</v>
      </c>
    </row>
    <row r="123" spans="1:6" x14ac:dyDescent="0.25">
      <c r="A123" s="1" t="s">
        <v>5038</v>
      </c>
      <c r="B123" s="1" t="b">
        <v>1</v>
      </c>
      <c r="C123" s="1" t="s">
        <v>5035</v>
      </c>
      <c r="D123" s="1">
        <v>2</v>
      </c>
      <c r="E123" s="1">
        <v>1</v>
      </c>
      <c r="F123" s="1" t="s">
        <v>28</v>
      </c>
    </row>
    <row r="124" spans="1:6" x14ac:dyDescent="0.25">
      <c r="A124" s="1" t="s">
        <v>5039</v>
      </c>
      <c r="B124" s="1" t="b">
        <v>1</v>
      </c>
      <c r="C124" s="1" t="s">
        <v>5037</v>
      </c>
      <c r="D124" s="1">
        <v>2</v>
      </c>
      <c r="E124" s="1">
        <v>1</v>
      </c>
      <c r="F124" s="1" t="s">
        <v>28</v>
      </c>
    </row>
    <row r="125" spans="1:6" x14ac:dyDescent="0.25">
      <c r="A125" s="1" t="s">
        <v>4698</v>
      </c>
      <c r="B125" s="1" t="b">
        <v>1</v>
      </c>
      <c r="C125" s="1" t="s">
        <v>5040</v>
      </c>
      <c r="D125" s="1">
        <v>1</v>
      </c>
      <c r="E125" s="1">
        <v>1</v>
      </c>
      <c r="F125" s="1" t="s">
        <v>28</v>
      </c>
    </row>
    <row r="126" spans="1:6" x14ac:dyDescent="0.25">
      <c r="A126" s="1" t="s">
        <v>5041</v>
      </c>
      <c r="B126" s="1" t="b">
        <v>1</v>
      </c>
      <c r="C126" s="1" t="s">
        <v>5040</v>
      </c>
      <c r="D126" s="1">
        <v>1</v>
      </c>
      <c r="E126" s="1">
        <v>1</v>
      </c>
      <c r="F126" s="1" t="s">
        <v>28</v>
      </c>
    </row>
    <row r="127" spans="1:6" x14ac:dyDescent="0.25">
      <c r="A127" s="1" t="s">
        <v>5042</v>
      </c>
      <c r="B127" s="1" t="b">
        <v>1</v>
      </c>
      <c r="C127" s="1" t="s">
        <v>5043</v>
      </c>
      <c r="D127" s="1">
        <v>1</v>
      </c>
      <c r="E127" s="1">
        <v>1</v>
      </c>
      <c r="F127" s="1" t="s">
        <v>28</v>
      </c>
    </row>
    <row r="128" spans="1:6" ht="30" x14ac:dyDescent="0.25">
      <c r="A128" s="1" t="s">
        <v>461</v>
      </c>
      <c r="B128" s="1" t="b">
        <v>1</v>
      </c>
      <c r="C128" s="1" t="s">
        <v>5044</v>
      </c>
      <c r="D128" s="1">
        <v>1</v>
      </c>
      <c r="E128" s="1">
        <v>1</v>
      </c>
      <c r="F128" s="1" t="s">
        <v>28</v>
      </c>
    </row>
    <row r="129" spans="1:6" ht="30" x14ac:dyDescent="0.25">
      <c r="A129" s="1" t="s">
        <v>459</v>
      </c>
      <c r="B129" s="1" t="b">
        <v>1</v>
      </c>
      <c r="C129" s="1" t="s">
        <v>5045</v>
      </c>
      <c r="D129" s="1">
        <v>1</v>
      </c>
      <c r="E129" s="1">
        <v>1</v>
      </c>
      <c r="F129" s="1" t="s">
        <v>28</v>
      </c>
    </row>
    <row r="130" spans="1:6" x14ac:dyDescent="0.25">
      <c r="A130" s="1" t="s">
        <v>302</v>
      </c>
      <c r="B130" s="1" t="b">
        <v>1</v>
      </c>
      <c r="C130" s="1" t="s">
        <v>5046</v>
      </c>
      <c r="D130" s="1">
        <v>1</v>
      </c>
      <c r="E130" s="1">
        <v>1</v>
      </c>
      <c r="F130" s="1" t="s">
        <v>28</v>
      </c>
    </row>
    <row r="131" spans="1:6" x14ac:dyDescent="0.25">
      <c r="A131" s="1" t="s">
        <v>298</v>
      </c>
      <c r="B131" s="1" t="b">
        <v>1</v>
      </c>
      <c r="C131" s="1" t="s">
        <v>5047</v>
      </c>
      <c r="D131" s="1">
        <v>1</v>
      </c>
      <c r="E131" s="1">
        <v>1</v>
      </c>
      <c r="F131" s="1" t="s">
        <v>28</v>
      </c>
    </row>
    <row r="132" spans="1:6" x14ac:dyDescent="0.25">
      <c r="A132" s="1" t="s">
        <v>5048</v>
      </c>
      <c r="B132" s="1" t="b">
        <v>0</v>
      </c>
      <c r="C132" s="1" t="s">
        <v>5049</v>
      </c>
      <c r="D132" s="1">
        <v>1</v>
      </c>
      <c r="E132" s="1">
        <v>1</v>
      </c>
      <c r="F132" s="1" t="s">
        <v>28</v>
      </c>
    </row>
    <row r="133" spans="1:6" x14ac:dyDescent="0.25">
      <c r="A133" s="1" t="s">
        <v>5050</v>
      </c>
      <c r="B133" s="1" t="b">
        <v>0</v>
      </c>
      <c r="C133" s="1" t="s">
        <v>5051</v>
      </c>
      <c r="D133" s="1">
        <v>1</v>
      </c>
      <c r="E133" s="1">
        <v>1</v>
      </c>
      <c r="F133" s="1" t="s">
        <v>28</v>
      </c>
    </row>
    <row r="134" spans="1:6" ht="30" x14ac:dyDescent="0.25">
      <c r="A134" s="1" t="s">
        <v>5052</v>
      </c>
      <c r="B134" s="1" t="b">
        <v>0</v>
      </c>
      <c r="C134" s="1" t="s">
        <v>5053</v>
      </c>
      <c r="D134" s="1">
        <v>1</v>
      </c>
      <c r="E134" s="1">
        <v>1</v>
      </c>
      <c r="F134" s="1" t="s">
        <v>28</v>
      </c>
    </row>
    <row r="135" spans="1:6" ht="30" x14ac:dyDescent="0.25">
      <c r="A135" s="1" t="s">
        <v>5054</v>
      </c>
      <c r="B135" s="1" t="b">
        <v>0</v>
      </c>
      <c r="C135" s="1" t="s">
        <v>5055</v>
      </c>
      <c r="D135" s="1">
        <v>1</v>
      </c>
      <c r="E135" s="1">
        <v>1</v>
      </c>
      <c r="F135" s="1" t="s">
        <v>28</v>
      </c>
    </row>
    <row r="136" spans="1:6" x14ac:dyDescent="0.25">
      <c r="A136" s="1" t="s">
        <v>750</v>
      </c>
      <c r="B136" s="1" t="b">
        <v>1</v>
      </c>
      <c r="C136" s="1" t="s">
        <v>5056</v>
      </c>
      <c r="D136" s="1">
        <v>1</v>
      </c>
      <c r="E136" s="1">
        <v>1</v>
      </c>
      <c r="F136" s="1" t="s">
        <v>28</v>
      </c>
    </row>
    <row r="137" spans="1:6" x14ac:dyDescent="0.25">
      <c r="A137" s="1" t="s">
        <v>190</v>
      </c>
      <c r="B137" s="1" t="b">
        <v>1</v>
      </c>
      <c r="C137" s="1" t="s">
        <v>5057</v>
      </c>
      <c r="D137" s="1">
        <v>1</v>
      </c>
      <c r="E137" s="1">
        <v>1</v>
      </c>
      <c r="F137" s="1" t="s">
        <v>28</v>
      </c>
    </row>
    <row r="138" spans="1:6" x14ac:dyDescent="0.25">
      <c r="A138" s="1" t="s">
        <v>493</v>
      </c>
      <c r="B138" s="1" t="b">
        <v>1</v>
      </c>
      <c r="C138" s="1" t="s">
        <v>5058</v>
      </c>
      <c r="D138" s="1">
        <v>1</v>
      </c>
      <c r="E138" s="1">
        <v>1</v>
      </c>
      <c r="F138" s="1" t="s">
        <v>28</v>
      </c>
    </row>
    <row r="139" spans="1:6" x14ac:dyDescent="0.25">
      <c r="A139" s="1" t="s">
        <v>506</v>
      </c>
      <c r="B139" s="1" t="b">
        <v>1</v>
      </c>
      <c r="C139" s="1" t="s">
        <v>5059</v>
      </c>
      <c r="D139" s="1">
        <v>1</v>
      </c>
      <c r="E139" s="1">
        <v>1</v>
      </c>
      <c r="F139" s="1" t="s">
        <v>28</v>
      </c>
    </row>
    <row r="140" spans="1:6" x14ac:dyDescent="0.25">
      <c r="A140" s="1" t="s">
        <v>327</v>
      </c>
      <c r="B140" s="1" t="b">
        <v>1</v>
      </c>
      <c r="C140" s="1" t="s">
        <v>5060</v>
      </c>
      <c r="D140" s="1">
        <v>1</v>
      </c>
      <c r="E140" s="1">
        <v>1</v>
      </c>
      <c r="F140" s="1" t="s">
        <v>28</v>
      </c>
    </row>
    <row r="141" spans="1:6" x14ac:dyDescent="0.25">
      <c r="A141" s="1" t="s">
        <v>4812</v>
      </c>
      <c r="B141" s="1" t="b">
        <v>1</v>
      </c>
      <c r="C141" s="1" t="s">
        <v>5061</v>
      </c>
      <c r="D141" s="1">
        <v>1</v>
      </c>
      <c r="E141" s="1">
        <v>1</v>
      </c>
      <c r="F141" s="1" t="s">
        <v>28</v>
      </c>
    </row>
    <row r="142" spans="1:6" x14ac:dyDescent="0.25">
      <c r="A142" s="1" t="s">
        <v>5062</v>
      </c>
      <c r="B142" s="1" t="b">
        <v>0</v>
      </c>
      <c r="C142" s="1" t="s">
        <v>5063</v>
      </c>
      <c r="D142" s="1">
        <v>3</v>
      </c>
      <c r="E142" s="1">
        <v>2</v>
      </c>
      <c r="F142" s="1" t="s">
        <v>28</v>
      </c>
    </row>
    <row r="143" spans="1:6" x14ac:dyDescent="0.25">
      <c r="A143" s="1" t="s">
        <v>5064</v>
      </c>
      <c r="B143" s="1" t="b">
        <v>0</v>
      </c>
      <c r="C143" s="1" t="s">
        <v>5065</v>
      </c>
      <c r="D143" s="1">
        <v>4</v>
      </c>
      <c r="E143" s="1">
        <v>2</v>
      </c>
      <c r="F143" s="1" t="s">
        <v>28</v>
      </c>
    </row>
    <row r="144" spans="1:6" x14ac:dyDescent="0.25">
      <c r="A144" s="1" t="s">
        <v>5066</v>
      </c>
      <c r="B144" s="1" t="b">
        <v>0</v>
      </c>
      <c r="C144" s="1" t="s">
        <v>5067</v>
      </c>
      <c r="D144" s="1">
        <v>4</v>
      </c>
      <c r="E144" s="1">
        <v>2</v>
      </c>
      <c r="F144" s="1" t="s">
        <v>28</v>
      </c>
    </row>
    <row r="145" spans="1:6" x14ac:dyDescent="0.25">
      <c r="A145" s="1" t="s">
        <v>5068</v>
      </c>
      <c r="B145" s="1" t="b">
        <v>0</v>
      </c>
      <c r="C145" s="1" t="s">
        <v>5069</v>
      </c>
      <c r="D145" s="1">
        <v>4</v>
      </c>
      <c r="E145" s="1">
        <v>2</v>
      </c>
      <c r="F145" s="1" t="s">
        <v>28</v>
      </c>
    </row>
    <row r="146" spans="1:6" x14ac:dyDescent="0.25">
      <c r="A146" s="1" t="s">
        <v>5070</v>
      </c>
      <c r="B146" s="1" t="b">
        <v>0</v>
      </c>
      <c r="C146" s="1" t="s">
        <v>5071</v>
      </c>
      <c r="D146" s="1">
        <v>4</v>
      </c>
      <c r="E146" s="1">
        <v>2</v>
      </c>
      <c r="F146" s="1" t="s">
        <v>28</v>
      </c>
    </row>
    <row r="147" spans="1:6" x14ac:dyDescent="0.25">
      <c r="A147" s="1" t="s">
        <v>5072</v>
      </c>
      <c r="B147" s="1" t="b">
        <v>0</v>
      </c>
      <c r="C147" s="1" t="s">
        <v>5073</v>
      </c>
      <c r="D147" s="1">
        <v>4</v>
      </c>
      <c r="E147" s="1">
        <v>2</v>
      </c>
      <c r="F147" s="1" t="s">
        <v>28</v>
      </c>
    </row>
    <row r="148" spans="1:6" ht="30" x14ac:dyDescent="0.25">
      <c r="A148" s="1" t="s">
        <v>5074</v>
      </c>
      <c r="B148" s="1" t="b">
        <v>0</v>
      </c>
      <c r="C148" s="1" t="s">
        <v>5075</v>
      </c>
      <c r="D148" s="1">
        <v>4</v>
      </c>
      <c r="E148" s="1">
        <v>2</v>
      </c>
      <c r="F148" s="1" t="s">
        <v>28</v>
      </c>
    </row>
    <row r="149" spans="1:6" x14ac:dyDescent="0.25">
      <c r="A149" s="1" t="s">
        <v>5076</v>
      </c>
      <c r="B149" s="1" t="b">
        <v>0</v>
      </c>
      <c r="C149" s="1" t="s">
        <v>5077</v>
      </c>
      <c r="D149" s="1">
        <v>4</v>
      </c>
      <c r="E149" s="1">
        <v>2</v>
      </c>
      <c r="F149" s="1" t="s">
        <v>28</v>
      </c>
    </row>
    <row r="150" spans="1:6" x14ac:dyDescent="0.25">
      <c r="A150" s="1" t="s">
        <v>5078</v>
      </c>
      <c r="B150" s="1" t="b">
        <v>0</v>
      </c>
      <c r="C150" s="1" t="s">
        <v>5079</v>
      </c>
      <c r="D150" s="1">
        <v>4</v>
      </c>
      <c r="E150" s="1">
        <v>2</v>
      </c>
      <c r="F150" s="1" t="s">
        <v>28</v>
      </c>
    </row>
    <row r="151" spans="1:6" x14ac:dyDescent="0.25">
      <c r="A151" s="1" t="s">
        <v>5080</v>
      </c>
      <c r="B151" s="1" t="b">
        <v>0</v>
      </c>
      <c r="C151" s="1" t="s">
        <v>5081</v>
      </c>
      <c r="D151" s="1">
        <v>4</v>
      </c>
      <c r="E151" s="1">
        <v>2</v>
      </c>
      <c r="F151" s="1" t="s">
        <v>28</v>
      </c>
    </row>
    <row r="152" spans="1:6" x14ac:dyDescent="0.25">
      <c r="A152" s="1" t="s">
        <v>5082</v>
      </c>
      <c r="B152" s="1" t="b">
        <v>0</v>
      </c>
      <c r="C152" s="1" t="s">
        <v>5083</v>
      </c>
      <c r="D152" s="1">
        <v>4</v>
      </c>
      <c r="E152" s="1">
        <v>2</v>
      </c>
      <c r="F152" s="1" t="s">
        <v>28</v>
      </c>
    </row>
    <row r="153" spans="1:6" x14ac:dyDescent="0.25">
      <c r="A153" s="1" t="s">
        <v>5084</v>
      </c>
      <c r="B153" s="1" t="b">
        <v>0</v>
      </c>
      <c r="C153" s="1" t="s">
        <v>5085</v>
      </c>
      <c r="D153" s="1">
        <v>4</v>
      </c>
      <c r="E153" s="1">
        <v>2</v>
      </c>
      <c r="F153" s="1" t="s">
        <v>28</v>
      </c>
    </row>
    <row r="154" spans="1:6" x14ac:dyDescent="0.25">
      <c r="A154" s="1" t="s">
        <v>5086</v>
      </c>
      <c r="B154" s="1" t="b">
        <v>0</v>
      </c>
      <c r="C154" s="1" t="s">
        <v>5087</v>
      </c>
      <c r="D154" s="1">
        <v>4</v>
      </c>
      <c r="E154" s="1">
        <v>2</v>
      </c>
      <c r="F154" s="1" t="s">
        <v>28</v>
      </c>
    </row>
    <row r="155" spans="1:6" x14ac:dyDescent="0.25">
      <c r="A155" s="1" t="s">
        <v>5088</v>
      </c>
      <c r="B155" s="1" t="b">
        <v>0</v>
      </c>
      <c r="C155" s="1" t="s">
        <v>5089</v>
      </c>
      <c r="D155" s="1">
        <v>4</v>
      </c>
      <c r="E155" s="1">
        <v>2</v>
      </c>
      <c r="F155" s="1" t="s">
        <v>28</v>
      </c>
    </row>
    <row r="156" spans="1:6" x14ac:dyDescent="0.25">
      <c r="A156" s="1" t="s">
        <v>5090</v>
      </c>
      <c r="B156" s="1" t="b">
        <v>0</v>
      </c>
      <c r="C156" s="1" t="s">
        <v>5091</v>
      </c>
      <c r="D156" s="1">
        <v>4</v>
      </c>
      <c r="E156" s="1">
        <v>2</v>
      </c>
      <c r="F156" s="1" t="s">
        <v>28</v>
      </c>
    </row>
    <row r="157" spans="1:6" x14ac:dyDescent="0.25">
      <c r="A157" s="1" t="s">
        <v>5092</v>
      </c>
      <c r="B157" s="1" t="b">
        <v>0</v>
      </c>
      <c r="C157" s="1" t="s">
        <v>5093</v>
      </c>
      <c r="D157" s="1">
        <v>4</v>
      </c>
      <c r="E157" s="1">
        <v>2</v>
      </c>
      <c r="F157" s="1" t="s">
        <v>28</v>
      </c>
    </row>
    <row r="158" spans="1:6" x14ac:dyDescent="0.25">
      <c r="A158" s="1" t="s">
        <v>5094</v>
      </c>
      <c r="B158" s="1" t="b">
        <v>0</v>
      </c>
      <c r="C158" s="1" t="s">
        <v>5095</v>
      </c>
      <c r="D158" s="1">
        <v>4</v>
      </c>
      <c r="E158" s="1">
        <v>2</v>
      </c>
      <c r="F158" s="1" t="s">
        <v>28</v>
      </c>
    </row>
    <row r="159" spans="1:6" ht="30" x14ac:dyDescent="0.25">
      <c r="A159" s="1" t="s">
        <v>5096</v>
      </c>
      <c r="B159" s="1" t="b">
        <v>0</v>
      </c>
      <c r="C159" s="1" t="s">
        <v>5097</v>
      </c>
      <c r="D159" s="1">
        <v>4</v>
      </c>
      <c r="E159" s="1">
        <v>2</v>
      </c>
      <c r="F159" s="1" t="s">
        <v>28</v>
      </c>
    </row>
    <row r="160" spans="1:6" x14ac:dyDescent="0.25">
      <c r="A160" s="1" t="s">
        <v>5098</v>
      </c>
      <c r="B160" s="1" t="b">
        <v>0</v>
      </c>
      <c r="C160" s="1" t="s">
        <v>5099</v>
      </c>
      <c r="D160" s="1">
        <v>4</v>
      </c>
      <c r="E160" s="1">
        <v>2</v>
      </c>
      <c r="F160" s="1" t="s">
        <v>28</v>
      </c>
    </row>
    <row r="161" spans="1:6" x14ac:dyDescent="0.25">
      <c r="A161" s="1" t="s">
        <v>5100</v>
      </c>
      <c r="B161" s="1" t="b">
        <v>0</v>
      </c>
      <c r="C161" s="1" t="s">
        <v>5101</v>
      </c>
      <c r="D161" s="1">
        <v>4</v>
      </c>
      <c r="E161" s="1">
        <v>2</v>
      </c>
      <c r="F161" s="1" t="s">
        <v>28</v>
      </c>
    </row>
    <row r="162" spans="1:6" x14ac:dyDescent="0.25">
      <c r="A162" s="1" t="s">
        <v>5102</v>
      </c>
      <c r="B162" s="1" t="b">
        <v>0</v>
      </c>
      <c r="C162" s="1" t="s">
        <v>5103</v>
      </c>
      <c r="D162" s="1">
        <v>4</v>
      </c>
      <c r="E162" s="1">
        <v>2</v>
      </c>
      <c r="F162" s="1" t="s">
        <v>28</v>
      </c>
    </row>
    <row r="163" spans="1:6" x14ac:dyDescent="0.25">
      <c r="A163" s="1" t="s">
        <v>5104</v>
      </c>
      <c r="B163" s="1" t="b">
        <v>0</v>
      </c>
      <c r="C163" s="1" t="s">
        <v>5105</v>
      </c>
      <c r="D163" s="1">
        <v>4</v>
      </c>
      <c r="E163" s="1">
        <v>2</v>
      </c>
      <c r="F163" s="1" t="s">
        <v>28</v>
      </c>
    </row>
    <row r="164" spans="1:6" ht="30" x14ac:dyDescent="0.25">
      <c r="A164" s="1" t="s">
        <v>5106</v>
      </c>
      <c r="B164" s="1" t="b">
        <v>0</v>
      </c>
      <c r="C164" s="1" t="s">
        <v>5107</v>
      </c>
      <c r="D164" s="1">
        <v>4</v>
      </c>
      <c r="E164" s="1">
        <v>2</v>
      </c>
      <c r="F164" s="1" t="s">
        <v>28</v>
      </c>
    </row>
    <row r="165" spans="1:6" x14ac:dyDescent="0.25">
      <c r="A165" s="1" t="s">
        <v>997</v>
      </c>
      <c r="B165" s="1" t="b">
        <v>1</v>
      </c>
      <c r="C165" s="1" t="s">
        <v>5108</v>
      </c>
      <c r="D165" s="1">
        <v>4</v>
      </c>
      <c r="E165" s="1">
        <v>1</v>
      </c>
      <c r="F165" s="1" t="s">
        <v>28</v>
      </c>
    </row>
    <row r="166" spans="1:6" x14ac:dyDescent="0.25">
      <c r="A166" s="1" t="s">
        <v>5109</v>
      </c>
      <c r="B166" s="1" t="b">
        <v>0</v>
      </c>
      <c r="C166" s="1" t="s">
        <v>5110</v>
      </c>
      <c r="D166" s="1">
        <v>4</v>
      </c>
      <c r="E166" s="1">
        <v>2</v>
      </c>
      <c r="F166" s="1" t="s">
        <v>28</v>
      </c>
    </row>
    <row r="167" spans="1:6" x14ac:dyDescent="0.25">
      <c r="A167" s="1" t="s">
        <v>5111</v>
      </c>
      <c r="B167" s="1" t="b">
        <v>0</v>
      </c>
      <c r="C167" s="1" t="s">
        <v>5112</v>
      </c>
      <c r="D167" s="1">
        <v>4</v>
      </c>
      <c r="E167" s="1">
        <v>2</v>
      </c>
      <c r="F167" s="1" t="s">
        <v>28</v>
      </c>
    </row>
    <row r="168" spans="1:6" x14ac:dyDescent="0.25">
      <c r="A168" s="1" t="s">
        <v>1042</v>
      </c>
      <c r="B168" s="1" t="b">
        <v>1</v>
      </c>
      <c r="C168" s="1" t="s">
        <v>5113</v>
      </c>
      <c r="D168" s="1">
        <v>1</v>
      </c>
      <c r="E168" s="1">
        <v>1</v>
      </c>
      <c r="F168" s="1" t="s">
        <v>28</v>
      </c>
    </row>
    <row r="169" spans="1:6" x14ac:dyDescent="0.25">
      <c r="A169" s="1" t="s">
        <v>5114</v>
      </c>
      <c r="B169" s="1" t="b">
        <v>1</v>
      </c>
      <c r="C169" s="1" t="s">
        <v>5115</v>
      </c>
      <c r="D169" s="1">
        <v>2</v>
      </c>
      <c r="E169" s="1">
        <v>1</v>
      </c>
      <c r="F169" s="1" t="s">
        <v>28</v>
      </c>
    </row>
    <row r="170" spans="1:6" x14ac:dyDescent="0.25">
      <c r="A170" s="1" t="s">
        <v>5116</v>
      </c>
      <c r="B170" s="1" t="b">
        <v>1</v>
      </c>
      <c r="C170" s="1" t="s">
        <v>5117</v>
      </c>
      <c r="D170" s="1">
        <v>2</v>
      </c>
      <c r="E170" s="1">
        <v>1</v>
      </c>
      <c r="F170" s="1" t="s">
        <v>28</v>
      </c>
    </row>
    <row r="171" spans="1:6" x14ac:dyDescent="0.25">
      <c r="A171" s="1" t="s">
        <v>5118</v>
      </c>
      <c r="B171" s="1" t="b">
        <v>1</v>
      </c>
      <c r="C171" s="1" t="s">
        <v>5119</v>
      </c>
      <c r="D171" s="1">
        <v>2</v>
      </c>
      <c r="E171" s="1">
        <v>1</v>
      </c>
      <c r="F171" s="1" t="s">
        <v>28</v>
      </c>
    </row>
    <row r="172" spans="1:6" x14ac:dyDescent="0.25">
      <c r="A172" s="1" t="s">
        <v>5120</v>
      </c>
      <c r="B172" s="1" t="b">
        <v>1</v>
      </c>
      <c r="C172" s="1" t="s">
        <v>5121</v>
      </c>
      <c r="D172" s="1">
        <v>2</v>
      </c>
      <c r="E172" s="1">
        <v>1</v>
      </c>
      <c r="F172" s="1" t="s">
        <v>28</v>
      </c>
    </row>
    <row r="173" spans="1:6" x14ac:dyDescent="0.25">
      <c r="A173" s="1" t="s">
        <v>5122</v>
      </c>
      <c r="B173" s="1" t="b">
        <v>1</v>
      </c>
      <c r="C173" s="1" t="s">
        <v>5123</v>
      </c>
      <c r="D173" s="1">
        <v>2</v>
      </c>
      <c r="E173" s="1">
        <v>1</v>
      </c>
      <c r="F173" s="1" t="s">
        <v>28</v>
      </c>
    </row>
    <row r="174" spans="1:6" x14ac:dyDescent="0.25">
      <c r="A174" s="1" t="s">
        <v>5124</v>
      </c>
      <c r="B174" s="1" t="b">
        <v>1</v>
      </c>
      <c r="C174" s="1" t="s">
        <v>5125</v>
      </c>
      <c r="D174" s="1">
        <v>1</v>
      </c>
      <c r="E174" s="1">
        <v>1</v>
      </c>
      <c r="F174" s="1" t="s">
        <v>28</v>
      </c>
    </row>
    <row r="175" spans="1:6" x14ac:dyDescent="0.25">
      <c r="A175" s="1" t="s">
        <v>5126</v>
      </c>
      <c r="B175" s="1" t="b">
        <v>1</v>
      </c>
      <c r="C175" s="1" t="s">
        <v>5127</v>
      </c>
      <c r="D175" s="1">
        <v>1</v>
      </c>
      <c r="E175" s="1">
        <v>1</v>
      </c>
      <c r="F175" s="1" t="s">
        <v>28</v>
      </c>
    </row>
    <row r="176" spans="1:6" x14ac:dyDescent="0.25">
      <c r="A176" s="1" t="s">
        <v>1169</v>
      </c>
      <c r="B176" s="1" t="b">
        <v>1</v>
      </c>
      <c r="C176" s="1" t="s">
        <v>5128</v>
      </c>
      <c r="D176" s="1">
        <v>1</v>
      </c>
      <c r="E176" s="1">
        <v>1</v>
      </c>
      <c r="F176" s="1" t="s">
        <v>28</v>
      </c>
    </row>
    <row r="177" spans="1:6" x14ac:dyDescent="0.25">
      <c r="A177" s="1" t="s">
        <v>5129</v>
      </c>
      <c r="B177" s="1" t="b">
        <v>0</v>
      </c>
      <c r="C177" s="1" t="s">
        <v>5130</v>
      </c>
      <c r="D177" s="1">
        <v>4</v>
      </c>
      <c r="E177" s="1">
        <v>2</v>
      </c>
      <c r="F177" s="1" t="s">
        <v>28</v>
      </c>
    </row>
    <row r="178" spans="1:6" x14ac:dyDescent="0.25">
      <c r="A178" s="1" t="s">
        <v>5131</v>
      </c>
      <c r="B178" s="1" t="b">
        <v>0</v>
      </c>
      <c r="C178" s="1" t="s">
        <v>5132</v>
      </c>
      <c r="D178" s="1">
        <v>3</v>
      </c>
      <c r="E178" s="1">
        <v>2</v>
      </c>
      <c r="F178" s="1" t="s">
        <v>28</v>
      </c>
    </row>
    <row r="179" spans="1:6" x14ac:dyDescent="0.25">
      <c r="A179" s="1" t="s">
        <v>5133</v>
      </c>
      <c r="B179" s="1" t="b">
        <v>0</v>
      </c>
      <c r="C179" s="1" t="s">
        <v>5134</v>
      </c>
      <c r="D179" s="1">
        <v>4</v>
      </c>
      <c r="E179" s="1">
        <v>2</v>
      </c>
      <c r="F179" s="1" t="s">
        <v>28</v>
      </c>
    </row>
    <row r="180" spans="1:6" x14ac:dyDescent="0.25">
      <c r="A180" s="1" t="s">
        <v>5135</v>
      </c>
      <c r="B180" s="1" t="b">
        <v>0</v>
      </c>
      <c r="C180" s="1" t="s">
        <v>5134</v>
      </c>
      <c r="D180" s="1">
        <v>4</v>
      </c>
      <c r="E180" s="1">
        <v>2</v>
      </c>
      <c r="F180" s="1" t="s">
        <v>28</v>
      </c>
    </row>
    <row r="181" spans="1:6" x14ac:dyDescent="0.25">
      <c r="A181" s="1" t="s">
        <v>5136</v>
      </c>
      <c r="B181" s="1" t="b">
        <v>0</v>
      </c>
      <c r="C181" s="1" t="s">
        <v>5134</v>
      </c>
      <c r="D181" s="1">
        <v>4</v>
      </c>
      <c r="E181" s="1">
        <v>2</v>
      </c>
      <c r="F181" s="1" t="s">
        <v>28</v>
      </c>
    </row>
    <row r="182" spans="1:6" x14ac:dyDescent="0.25">
      <c r="A182" s="1" t="s">
        <v>5137</v>
      </c>
      <c r="B182" s="1" t="b">
        <v>0</v>
      </c>
      <c r="C182" s="1" t="s">
        <v>5134</v>
      </c>
      <c r="D182" s="1">
        <v>4</v>
      </c>
      <c r="E182" s="1">
        <v>2</v>
      </c>
      <c r="F182" s="1" t="s">
        <v>28</v>
      </c>
    </row>
    <row r="183" spans="1:6" x14ac:dyDescent="0.25">
      <c r="A183" s="1" t="s">
        <v>5138</v>
      </c>
      <c r="B183" s="1" t="b">
        <v>0</v>
      </c>
      <c r="C183" s="1" t="s">
        <v>5134</v>
      </c>
      <c r="D183" s="1">
        <v>4</v>
      </c>
      <c r="E183" s="1">
        <v>2</v>
      </c>
      <c r="F183" s="1" t="s">
        <v>28</v>
      </c>
    </row>
    <row r="184" spans="1:6" x14ac:dyDescent="0.25">
      <c r="A184" s="1" t="s">
        <v>5139</v>
      </c>
      <c r="B184" s="1" t="b">
        <v>0</v>
      </c>
      <c r="C184" s="1" t="s">
        <v>5134</v>
      </c>
      <c r="D184" s="1">
        <v>4</v>
      </c>
      <c r="E184" s="1">
        <v>2</v>
      </c>
      <c r="F184" s="1" t="s">
        <v>28</v>
      </c>
    </row>
    <row r="185" spans="1:6" x14ac:dyDescent="0.25">
      <c r="A185" s="1" t="s">
        <v>5140</v>
      </c>
      <c r="B185" s="1" t="b">
        <v>0</v>
      </c>
      <c r="C185" s="1" t="s">
        <v>5134</v>
      </c>
      <c r="D185" s="1">
        <v>4</v>
      </c>
      <c r="E185" s="1">
        <v>2</v>
      </c>
      <c r="F185" s="1" t="s">
        <v>28</v>
      </c>
    </row>
    <row r="186" spans="1:6" x14ac:dyDescent="0.25">
      <c r="A186" s="1" t="s">
        <v>5141</v>
      </c>
      <c r="B186" s="1" t="b">
        <v>0</v>
      </c>
      <c r="C186" s="1" t="s">
        <v>5142</v>
      </c>
      <c r="D186" s="1">
        <v>4</v>
      </c>
      <c r="E186" s="1">
        <v>2</v>
      </c>
      <c r="F186" s="1" t="s">
        <v>28</v>
      </c>
    </row>
    <row r="187" spans="1:6" x14ac:dyDescent="0.25">
      <c r="A187" s="1" t="s">
        <v>5143</v>
      </c>
      <c r="B187" s="1" t="b">
        <v>0</v>
      </c>
      <c r="C187" s="1" t="s">
        <v>5142</v>
      </c>
      <c r="D187" s="1">
        <v>4</v>
      </c>
      <c r="E187" s="1">
        <v>2</v>
      </c>
      <c r="F187" s="1" t="s">
        <v>28</v>
      </c>
    </row>
    <row r="188" spans="1:6" x14ac:dyDescent="0.25">
      <c r="A188" s="1" t="s">
        <v>5144</v>
      </c>
      <c r="B188" s="1" t="b">
        <v>0</v>
      </c>
      <c r="C188" s="1" t="s">
        <v>5142</v>
      </c>
      <c r="D188" s="1">
        <v>4</v>
      </c>
      <c r="E188" s="1">
        <v>2</v>
      </c>
      <c r="F188" s="1" t="s">
        <v>28</v>
      </c>
    </row>
    <row r="189" spans="1:6" x14ac:dyDescent="0.25">
      <c r="A189" s="1" t="s">
        <v>5145</v>
      </c>
      <c r="B189" s="1" t="b">
        <v>0</v>
      </c>
      <c r="C189" s="1" t="s">
        <v>5142</v>
      </c>
      <c r="D189" s="1">
        <v>4</v>
      </c>
      <c r="E189" s="1">
        <v>2</v>
      </c>
      <c r="F189" s="1" t="s">
        <v>28</v>
      </c>
    </row>
    <row r="190" spans="1:6" x14ac:dyDescent="0.25">
      <c r="A190" s="1" t="s">
        <v>5146</v>
      </c>
      <c r="B190" s="1" t="b">
        <v>0</v>
      </c>
      <c r="C190" s="1" t="s">
        <v>5142</v>
      </c>
      <c r="D190" s="1">
        <v>4</v>
      </c>
      <c r="E190" s="1">
        <v>2</v>
      </c>
      <c r="F190" s="1" t="s">
        <v>28</v>
      </c>
    </row>
    <row r="191" spans="1:6" x14ac:dyDescent="0.25">
      <c r="A191" s="1" t="s">
        <v>5147</v>
      </c>
      <c r="B191" s="1" t="b">
        <v>0</v>
      </c>
      <c r="C191" s="1" t="s">
        <v>5148</v>
      </c>
      <c r="D191" s="1">
        <v>4</v>
      </c>
      <c r="E191" s="1">
        <v>2</v>
      </c>
      <c r="F191" s="1" t="s">
        <v>28</v>
      </c>
    </row>
    <row r="192" spans="1:6" x14ac:dyDescent="0.25">
      <c r="A192" s="1" t="s">
        <v>5149</v>
      </c>
      <c r="B192" s="1" t="b">
        <v>0</v>
      </c>
      <c r="C192" s="1" t="s">
        <v>5150</v>
      </c>
      <c r="D192" s="1">
        <v>4</v>
      </c>
      <c r="E192" s="1">
        <v>2</v>
      </c>
      <c r="F192" s="1" t="s">
        <v>28</v>
      </c>
    </row>
    <row r="193" spans="1:6" x14ac:dyDescent="0.25">
      <c r="A193" s="1" t="s">
        <v>5151</v>
      </c>
      <c r="B193" s="1" t="b">
        <v>0</v>
      </c>
      <c r="C193" s="1" t="s">
        <v>5152</v>
      </c>
      <c r="D193" s="1">
        <v>4</v>
      </c>
      <c r="E193" s="1">
        <v>2</v>
      </c>
      <c r="F193" s="1" t="s">
        <v>28</v>
      </c>
    </row>
    <row r="194" spans="1:6" x14ac:dyDescent="0.25">
      <c r="A194" s="1" t="s">
        <v>5153</v>
      </c>
      <c r="B194" s="1" t="b">
        <v>0</v>
      </c>
      <c r="C194" s="1" t="s">
        <v>5154</v>
      </c>
      <c r="D194" s="1">
        <v>4</v>
      </c>
      <c r="E194" s="1">
        <v>2</v>
      </c>
      <c r="F194" s="1" t="s">
        <v>28</v>
      </c>
    </row>
    <row r="195" spans="1:6" x14ac:dyDescent="0.25">
      <c r="A195" s="1" t="s">
        <v>5155</v>
      </c>
      <c r="B195" s="1" t="b">
        <v>0</v>
      </c>
      <c r="C195" s="1" t="s">
        <v>5156</v>
      </c>
      <c r="D195" s="1">
        <v>4</v>
      </c>
      <c r="E195" s="1">
        <v>2</v>
      </c>
      <c r="F195" s="1" t="s">
        <v>28</v>
      </c>
    </row>
    <row r="196" spans="1:6" x14ac:dyDescent="0.25">
      <c r="A196" s="1" t="s">
        <v>5157</v>
      </c>
      <c r="B196" s="1" t="b">
        <v>0</v>
      </c>
      <c r="C196" s="1" t="s">
        <v>5158</v>
      </c>
      <c r="D196" s="1">
        <v>4</v>
      </c>
      <c r="E196" s="1">
        <v>2</v>
      </c>
      <c r="F196" s="1" t="s">
        <v>28</v>
      </c>
    </row>
    <row r="197" spans="1:6" x14ac:dyDescent="0.25">
      <c r="A197" s="1" t="s">
        <v>5159</v>
      </c>
      <c r="B197" s="1" t="b">
        <v>0</v>
      </c>
      <c r="C197" s="1" t="s">
        <v>5160</v>
      </c>
      <c r="D197" s="1">
        <v>4</v>
      </c>
      <c r="E197" s="1">
        <v>2</v>
      </c>
      <c r="F197" s="1" t="s">
        <v>28</v>
      </c>
    </row>
    <row r="198" spans="1:6" x14ac:dyDescent="0.25">
      <c r="A198" s="1" t="s">
        <v>5161</v>
      </c>
      <c r="B198" s="1" t="b">
        <v>0</v>
      </c>
      <c r="C198" s="1" t="s">
        <v>5162</v>
      </c>
      <c r="D198" s="1">
        <v>4</v>
      </c>
      <c r="E198" s="1">
        <v>2</v>
      </c>
      <c r="F198" s="1" t="s">
        <v>28</v>
      </c>
    </row>
    <row r="199" spans="1:6" x14ac:dyDescent="0.25">
      <c r="A199" s="1" t="s">
        <v>5163</v>
      </c>
      <c r="B199" s="1" t="b">
        <v>0</v>
      </c>
      <c r="C199" s="1" t="s">
        <v>5164</v>
      </c>
      <c r="D199" s="1">
        <v>4</v>
      </c>
      <c r="E199" s="1">
        <v>2</v>
      </c>
      <c r="F199" s="1" t="s">
        <v>28</v>
      </c>
    </row>
    <row r="200" spans="1:6" x14ac:dyDescent="0.25">
      <c r="A200" s="1" t="s">
        <v>5165</v>
      </c>
      <c r="B200" s="1" t="b">
        <v>0</v>
      </c>
      <c r="C200" s="1" t="s">
        <v>5166</v>
      </c>
      <c r="D200" s="1">
        <v>4</v>
      </c>
      <c r="E200" s="1">
        <v>2</v>
      </c>
      <c r="F200" s="1" t="s">
        <v>28</v>
      </c>
    </row>
    <row r="201" spans="1:6" x14ac:dyDescent="0.25">
      <c r="A201" s="1" t="s">
        <v>5167</v>
      </c>
      <c r="B201" s="1" t="b">
        <v>0</v>
      </c>
      <c r="C201" s="1" t="s">
        <v>5168</v>
      </c>
      <c r="D201" s="1">
        <v>4</v>
      </c>
      <c r="E201" s="1">
        <v>2</v>
      </c>
      <c r="F201" s="1" t="s">
        <v>28</v>
      </c>
    </row>
    <row r="202" spans="1:6" x14ac:dyDescent="0.25">
      <c r="A202" s="1" t="s">
        <v>5169</v>
      </c>
      <c r="B202" s="1" t="b">
        <v>0</v>
      </c>
      <c r="C202" s="1" t="s">
        <v>5170</v>
      </c>
      <c r="D202" s="1">
        <v>4</v>
      </c>
      <c r="E202" s="1">
        <v>2</v>
      </c>
      <c r="F202" s="1" t="s">
        <v>28</v>
      </c>
    </row>
    <row r="203" spans="1:6" x14ac:dyDescent="0.25">
      <c r="A203" s="1" t="s">
        <v>5171</v>
      </c>
      <c r="B203" s="1" t="b">
        <v>0</v>
      </c>
      <c r="C203" s="1" t="s">
        <v>5172</v>
      </c>
      <c r="D203" s="1">
        <v>4</v>
      </c>
      <c r="E203" s="1">
        <v>2</v>
      </c>
      <c r="F203" s="1" t="s">
        <v>28</v>
      </c>
    </row>
    <row r="204" spans="1:6" x14ac:dyDescent="0.25">
      <c r="A204" s="1" t="s">
        <v>5173</v>
      </c>
      <c r="B204" s="1" t="b">
        <v>0</v>
      </c>
      <c r="C204" s="1" t="s">
        <v>5174</v>
      </c>
      <c r="D204" s="1">
        <v>4</v>
      </c>
      <c r="E204" s="1">
        <v>2</v>
      </c>
      <c r="F204" s="1" t="s">
        <v>28</v>
      </c>
    </row>
    <row r="205" spans="1:6" ht="30" x14ac:dyDescent="0.25">
      <c r="A205" s="1" t="s">
        <v>5175</v>
      </c>
      <c r="B205" s="1" t="b">
        <v>0</v>
      </c>
      <c r="C205" s="1" t="s">
        <v>5176</v>
      </c>
      <c r="D205" s="1">
        <v>4</v>
      </c>
      <c r="E205" s="1">
        <v>2</v>
      </c>
      <c r="F205" s="1" t="s">
        <v>28</v>
      </c>
    </row>
    <row r="206" spans="1:6" ht="30" x14ac:dyDescent="0.25">
      <c r="A206" s="1" t="s">
        <v>5177</v>
      </c>
      <c r="B206" s="1" t="b">
        <v>0</v>
      </c>
      <c r="C206" s="1" t="s">
        <v>5178</v>
      </c>
      <c r="D206" s="1">
        <v>4</v>
      </c>
      <c r="E206" s="1">
        <v>2</v>
      </c>
      <c r="F206" s="1" t="s">
        <v>28</v>
      </c>
    </row>
    <row r="207" spans="1:6" x14ac:dyDescent="0.25">
      <c r="A207" s="1" t="s">
        <v>5179</v>
      </c>
      <c r="B207" s="1" t="b">
        <v>0</v>
      </c>
      <c r="C207" s="1" t="s">
        <v>5180</v>
      </c>
      <c r="D207" s="1">
        <v>3</v>
      </c>
      <c r="E207" s="1">
        <v>2</v>
      </c>
      <c r="F207" s="1" t="s">
        <v>28</v>
      </c>
    </row>
    <row r="208" spans="1:6" x14ac:dyDescent="0.25">
      <c r="A208" s="1" t="s">
        <v>5181</v>
      </c>
      <c r="B208" s="1" t="b">
        <v>0</v>
      </c>
      <c r="C208" s="1" t="s">
        <v>5182</v>
      </c>
      <c r="D208" s="1">
        <v>2</v>
      </c>
      <c r="E208" s="1">
        <v>1</v>
      </c>
      <c r="F208" s="1" t="s">
        <v>28</v>
      </c>
    </row>
    <row r="209" spans="1:6" x14ac:dyDescent="0.25">
      <c r="A209" s="1" t="s">
        <v>5183</v>
      </c>
      <c r="B209" s="1" t="b">
        <v>0</v>
      </c>
      <c r="C209" s="1" t="s">
        <v>5184</v>
      </c>
      <c r="D209" s="1">
        <v>2</v>
      </c>
      <c r="E209" s="1">
        <v>1</v>
      </c>
      <c r="F209" s="1" t="s">
        <v>28</v>
      </c>
    </row>
    <row r="210" spans="1:6" x14ac:dyDescent="0.25">
      <c r="A210" s="1" t="s">
        <v>5185</v>
      </c>
      <c r="B210" s="1" t="b">
        <v>0</v>
      </c>
      <c r="C210" s="1" t="s">
        <v>5186</v>
      </c>
      <c r="D210" s="1">
        <v>2</v>
      </c>
      <c r="E210" s="1">
        <v>1</v>
      </c>
      <c r="F210" s="1" t="s">
        <v>28</v>
      </c>
    </row>
    <row r="211" spans="1:6" x14ac:dyDescent="0.25">
      <c r="A211" s="1" t="s">
        <v>5187</v>
      </c>
      <c r="B211" s="1" t="b">
        <v>0</v>
      </c>
      <c r="C211" s="1" t="s">
        <v>5188</v>
      </c>
      <c r="D211" s="1">
        <v>4</v>
      </c>
      <c r="E211" s="1">
        <v>2</v>
      </c>
      <c r="F211" s="1" t="s">
        <v>28</v>
      </c>
    </row>
    <row r="212" spans="1:6" x14ac:dyDescent="0.25">
      <c r="A212" s="1" t="s">
        <v>5189</v>
      </c>
      <c r="B212" s="1" t="b">
        <v>0</v>
      </c>
      <c r="C212" s="1" t="s">
        <v>5190</v>
      </c>
      <c r="D212" s="1">
        <v>1</v>
      </c>
      <c r="E212" s="1">
        <v>1</v>
      </c>
      <c r="F212" s="1" t="s">
        <v>28</v>
      </c>
    </row>
    <row r="213" spans="1:6" x14ac:dyDescent="0.25">
      <c r="A213" s="1" t="s">
        <v>5191</v>
      </c>
      <c r="B213" s="1" t="b">
        <v>1</v>
      </c>
      <c r="C213" s="1" t="s">
        <v>5192</v>
      </c>
      <c r="D213" s="1">
        <v>2</v>
      </c>
      <c r="E213" s="1">
        <v>1</v>
      </c>
      <c r="F213" s="1" t="s">
        <v>28</v>
      </c>
    </row>
    <row r="214" spans="1:6" ht="30" x14ac:dyDescent="0.25">
      <c r="A214" s="1" t="s">
        <v>5193</v>
      </c>
      <c r="B214" s="1" t="b">
        <v>1</v>
      </c>
      <c r="C214" s="1" t="s">
        <v>5194</v>
      </c>
      <c r="D214" s="1">
        <v>2</v>
      </c>
      <c r="E214" s="1">
        <v>1</v>
      </c>
      <c r="F214" s="1" t="s">
        <v>28</v>
      </c>
    </row>
    <row r="215" spans="1:6" ht="30" x14ac:dyDescent="0.25">
      <c r="A215" s="1" t="s">
        <v>5195</v>
      </c>
      <c r="B215" s="1" t="b">
        <v>1</v>
      </c>
      <c r="C215" s="1" t="s">
        <v>5196</v>
      </c>
      <c r="D215" s="1">
        <v>4</v>
      </c>
      <c r="E215" s="1">
        <v>2</v>
      </c>
      <c r="F215" s="1" t="s">
        <v>28</v>
      </c>
    </row>
    <row r="216" spans="1:6" x14ac:dyDescent="0.25">
      <c r="A216" s="1" t="s">
        <v>5197</v>
      </c>
      <c r="B216" s="1" t="b">
        <v>1</v>
      </c>
      <c r="C216" s="1" t="s">
        <v>5198</v>
      </c>
      <c r="D216" s="1">
        <v>2</v>
      </c>
      <c r="E216" s="1">
        <v>1</v>
      </c>
      <c r="F216" s="1" t="s">
        <v>28</v>
      </c>
    </row>
    <row r="217" spans="1:6" ht="30" x14ac:dyDescent="0.25">
      <c r="A217" s="1" t="s">
        <v>5199</v>
      </c>
      <c r="B217" s="1" t="b">
        <v>1</v>
      </c>
      <c r="C217" s="1" t="s">
        <v>5200</v>
      </c>
      <c r="D217" s="1">
        <v>2</v>
      </c>
      <c r="E217" s="1">
        <v>1</v>
      </c>
      <c r="F217" s="1" t="s">
        <v>28</v>
      </c>
    </row>
    <row r="218" spans="1:6" ht="30" x14ac:dyDescent="0.25">
      <c r="A218" s="1" t="s">
        <v>5201</v>
      </c>
      <c r="B218" s="1" t="b">
        <v>1</v>
      </c>
      <c r="C218" s="1" t="s">
        <v>5202</v>
      </c>
      <c r="D218" s="1">
        <v>2</v>
      </c>
      <c r="E218" s="1">
        <v>1</v>
      </c>
      <c r="F218" s="1" t="s">
        <v>28</v>
      </c>
    </row>
    <row r="219" spans="1:6" ht="30" x14ac:dyDescent="0.25">
      <c r="A219" s="1" t="s">
        <v>5203</v>
      </c>
      <c r="B219" s="1" t="b">
        <v>1</v>
      </c>
      <c r="C219" s="1" t="s">
        <v>5204</v>
      </c>
      <c r="D219" s="1">
        <v>2</v>
      </c>
      <c r="E219" s="1">
        <v>1</v>
      </c>
      <c r="F219" s="1" t="s">
        <v>28</v>
      </c>
    </row>
    <row r="220" spans="1:6" ht="30" x14ac:dyDescent="0.25">
      <c r="A220" s="1" t="s">
        <v>5205</v>
      </c>
      <c r="B220" s="1" t="b">
        <v>1</v>
      </c>
      <c r="C220" s="1" t="s">
        <v>5206</v>
      </c>
      <c r="D220" s="1">
        <v>2</v>
      </c>
      <c r="E220" s="1">
        <v>1</v>
      </c>
      <c r="F220" s="1" t="s">
        <v>28</v>
      </c>
    </row>
    <row r="221" spans="1:6" x14ac:dyDescent="0.25">
      <c r="A221" s="1" t="s">
        <v>5207</v>
      </c>
      <c r="B221" s="1" t="b">
        <v>1</v>
      </c>
      <c r="C221" s="1" t="s">
        <v>5208</v>
      </c>
      <c r="D221" s="1">
        <v>2</v>
      </c>
      <c r="E221" s="1">
        <v>1</v>
      </c>
      <c r="F221" s="1" t="s">
        <v>28</v>
      </c>
    </row>
    <row r="222" spans="1:6" ht="30" x14ac:dyDescent="0.25">
      <c r="A222" s="1" t="s">
        <v>5209</v>
      </c>
      <c r="B222" s="1" t="b">
        <v>1</v>
      </c>
      <c r="C222" s="1" t="s">
        <v>5210</v>
      </c>
      <c r="D222" s="1">
        <v>2</v>
      </c>
      <c r="E222" s="1">
        <v>1</v>
      </c>
      <c r="F222" s="1" t="s">
        <v>28</v>
      </c>
    </row>
    <row r="223" spans="1:6" ht="30" x14ac:dyDescent="0.25">
      <c r="A223" s="1" t="s">
        <v>5211</v>
      </c>
      <c r="B223" s="1" t="b">
        <v>1</v>
      </c>
      <c r="C223" s="1" t="s">
        <v>5212</v>
      </c>
      <c r="D223" s="1">
        <v>2</v>
      </c>
      <c r="E223" s="1">
        <v>1</v>
      </c>
      <c r="F223" s="1" t="s">
        <v>28</v>
      </c>
    </row>
    <row r="224" spans="1:6" x14ac:dyDescent="0.25">
      <c r="A224" s="1" t="s">
        <v>5213</v>
      </c>
      <c r="B224" s="1" t="b">
        <v>1</v>
      </c>
      <c r="C224" s="1" t="s">
        <v>5214</v>
      </c>
      <c r="D224" s="1">
        <v>3</v>
      </c>
      <c r="E224" s="1">
        <v>2</v>
      </c>
      <c r="F224" s="1" t="s">
        <v>28</v>
      </c>
    </row>
    <row r="225" spans="1:6" x14ac:dyDescent="0.25">
      <c r="A225" s="1" t="s">
        <v>5215</v>
      </c>
      <c r="B225" s="1" t="b">
        <v>1</v>
      </c>
      <c r="C225" s="1" t="s">
        <v>5216</v>
      </c>
      <c r="D225" s="1">
        <v>3</v>
      </c>
      <c r="E225" s="1">
        <v>2</v>
      </c>
      <c r="F225" s="1" t="s">
        <v>28</v>
      </c>
    </row>
    <row r="226" spans="1:6" x14ac:dyDescent="0.25">
      <c r="A226" s="1" t="s">
        <v>5217</v>
      </c>
      <c r="B226" s="1" t="b">
        <v>0</v>
      </c>
      <c r="C226" s="1" t="s">
        <v>5218</v>
      </c>
      <c r="D226" s="1">
        <v>3</v>
      </c>
      <c r="E226" s="1">
        <v>2</v>
      </c>
      <c r="F226" s="1" t="s">
        <v>28</v>
      </c>
    </row>
    <row r="227" spans="1:6" ht="30" x14ac:dyDescent="0.25">
      <c r="A227" s="1" t="s">
        <v>5219</v>
      </c>
      <c r="B227" s="1" t="b">
        <v>0</v>
      </c>
      <c r="C227" s="1" t="s">
        <v>5218</v>
      </c>
      <c r="D227" s="1">
        <v>3</v>
      </c>
      <c r="E227" s="1">
        <v>2</v>
      </c>
      <c r="F227" s="1" t="s">
        <v>28</v>
      </c>
    </row>
    <row r="228" spans="1:6" x14ac:dyDescent="0.25">
      <c r="A228" s="1" t="s">
        <v>5220</v>
      </c>
      <c r="B228" s="1" t="b">
        <v>0</v>
      </c>
      <c r="C228" s="1" t="s">
        <v>5221</v>
      </c>
      <c r="D228" s="1">
        <v>3</v>
      </c>
      <c r="E228" s="1">
        <v>2</v>
      </c>
      <c r="F228" s="1" t="s">
        <v>28</v>
      </c>
    </row>
    <row r="229" spans="1:6" x14ac:dyDescent="0.25">
      <c r="A229" s="1" t="s">
        <v>5222</v>
      </c>
      <c r="B229" s="1" t="b">
        <v>0</v>
      </c>
      <c r="C229" s="1" t="s">
        <v>5223</v>
      </c>
      <c r="D229" s="1">
        <v>3</v>
      </c>
      <c r="E229" s="1">
        <v>2</v>
      </c>
      <c r="F229" s="1" t="s">
        <v>28</v>
      </c>
    </row>
    <row r="230" spans="1:6" x14ac:dyDescent="0.25">
      <c r="A230" s="1" t="s">
        <v>5224</v>
      </c>
      <c r="B230" s="1" t="b">
        <v>0</v>
      </c>
      <c r="C230" s="1" t="s">
        <v>5225</v>
      </c>
      <c r="D230" s="1">
        <v>4</v>
      </c>
      <c r="E230" s="1">
        <v>2</v>
      </c>
      <c r="F230" s="1" t="s">
        <v>28</v>
      </c>
    </row>
    <row r="231" spans="1:6" x14ac:dyDescent="0.25">
      <c r="A231" s="1" t="s">
        <v>5226</v>
      </c>
      <c r="B231" s="1" t="b">
        <v>0</v>
      </c>
      <c r="C231" s="1" t="s">
        <v>5227</v>
      </c>
      <c r="D231" s="1">
        <v>4</v>
      </c>
      <c r="E231" s="1">
        <v>2</v>
      </c>
      <c r="F231" s="1" t="s">
        <v>28</v>
      </c>
    </row>
    <row r="232" spans="1:6" x14ac:dyDescent="0.25">
      <c r="A232" s="1" t="s">
        <v>5228</v>
      </c>
      <c r="B232" s="1" t="b">
        <v>0</v>
      </c>
      <c r="C232" s="1" t="s">
        <v>5229</v>
      </c>
      <c r="D232" s="1">
        <v>4</v>
      </c>
      <c r="E232" s="1">
        <v>2</v>
      </c>
      <c r="F232" s="1" t="s">
        <v>28</v>
      </c>
    </row>
    <row r="233" spans="1:6" x14ac:dyDescent="0.25">
      <c r="A233" s="1" t="s">
        <v>5230</v>
      </c>
      <c r="B233" s="1" t="b">
        <v>0</v>
      </c>
      <c r="C233" s="1" t="s">
        <v>5231</v>
      </c>
      <c r="D233" s="1">
        <v>4</v>
      </c>
      <c r="E233" s="1">
        <v>2</v>
      </c>
      <c r="F233" s="1" t="s">
        <v>28</v>
      </c>
    </row>
    <row r="234" spans="1:6" x14ac:dyDescent="0.25">
      <c r="A234" s="1" t="s">
        <v>5232</v>
      </c>
      <c r="B234" s="1" t="b">
        <v>0</v>
      </c>
      <c r="C234" s="1" t="s">
        <v>5233</v>
      </c>
      <c r="D234" s="1">
        <v>4</v>
      </c>
      <c r="E234" s="1">
        <v>2</v>
      </c>
      <c r="F234" s="1" t="s">
        <v>28</v>
      </c>
    </row>
    <row r="235" spans="1:6" x14ac:dyDescent="0.25">
      <c r="A235" s="1" t="s">
        <v>5234</v>
      </c>
      <c r="B235" s="1" t="b">
        <v>0</v>
      </c>
      <c r="C235" s="1" t="s">
        <v>5235</v>
      </c>
      <c r="D235" s="1">
        <v>3</v>
      </c>
      <c r="E235" s="1">
        <v>2</v>
      </c>
      <c r="F235" s="1" t="s">
        <v>28</v>
      </c>
    </row>
    <row r="236" spans="1:6" x14ac:dyDescent="0.25">
      <c r="A236" s="1" t="s">
        <v>5236</v>
      </c>
      <c r="B236" s="1" t="b">
        <v>0</v>
      </c>
      <c r="C236" s="1" t="s">
        <v>5235</v>
      </c>
      <c r="D236" s="1">
        <v>3</v>
      </c>
      <c r="E236" s="1">
        <v>2</v>
      </c>
      <c r="F236" s="1" t="s">
        <v>28</v>
      </c>
    </row>
    <row r="237" spans="1:6" x14ac:dyDescent="0.25">
      <c r="A237" s="1" t="s">
        <v>5237</v>
      </c>
      <c r="B237" s="1" t="b">
        <v>0</v>
      </c>
      <c r="C237" s="1" t="s">
        <v>5238</v>
      </c>
      <c r="D237" s="1">
        <v>4</v>
      </c>
      <c r="E237" s="1">
        <v>2</v>
      </c>
      <c r="F237" s="1" t="s">
        <v>28</v>
      </c>
    </row>
    <row r="238" spans="1:6" x14ac:dyDescent="0.25">
      <c r="A238" s="1" t="s">
        <v>5239</v>
      </c>
      <c r="B238" s="1" t="b">
        <v>0</v>
      </c>
      <c r="C238" s="1" t="s">
        <v>5221</v>
      </c>
      <c r="D238" s="1">
        <v>3</v>
      </c>
      <c r="E238" s="1">
        <v>2</v>
      </c>
      <c r="F238" s="1" t="s">
        <v>28</v>
      </c>
    </row>
    <row r="239" spans="1:6" x14ac:dyDescent="0.25">
      <c r="A239" s="1" t="s">
        <v>5240</v>
      </c>
      <c r="B239" s="1" t="b">
        <v>0</v>
      </c>
      <c r="C239" s="1" t="s">
        <v>5223</v>
      </c>
      <c r="D239" s="1">
        <v>3</v>
      </c>
      <c r="E239" s="1">
        <v>2</v>
      </c>
      <c r="F239" s="1" t="s">
        <v>28</v>
      </c>
    </row>
    <row r="240" spans="1:6" x14ac:dyDescent="0.25">
      <c r="A240" s="1" t="s">
        <v>5241</v>
      </c>
      <c r="B240" s="1" t="b">
        <v>0</v>
      </c>
      <c r="C240" s="1" t="s">
        <v>5242</v>
      </c>
      <c r="D240" s="1">
        <v>1</v>
      </c>
      <c r="E240" s="1">
        <v>1</v>
      </c>
      <c r="F240" s="1" t="s">
        <v>28</v>
      </c>
    </row>
    <row r="241" spans="1:6" x14ac:dyDescent="0.25">
      <c r="A241" s="1" t="s">
        <v>5243</v>
      </c>
      <c r="B241" s="1" t="b">
        <v>0</v>
      </c>
      <c r="C241" s="1" t="s">
        <v>5244</v>
      </c>
      <c r="D241" s="1">
        <v>2</v>
      </c>
      <c r="E241" s="1">
        <v>1</v>
      </c>
      <c r="F241" s="1" t="s">
        <v>28</v>
      </c>
    </row>
    <row r="242" spans="1:6" x14ac:dyDescent="0.25">
      <c r="A242" s="1" t="s">
        <v>5245</v>
      </c>
      <c r="B242" s="1" t="b">
        <v>0</v>
      </c>
      <c r="C242" s="1" t="s">
        <v>5246</v>
      </c>
      <c r="D242" s="1">
        <v>1</v>
      </c>
      <c r="E242" s="1">
        <v>1</v>
      </c>
      <c r="F242" s="1" t="s">
        <v>28</v>
      </c>
    </row>
    <row r="243" spans="1:6" x14ac:dyDescent="0.25">
      <c r="A243" s="1" t="s">
        <v>5247</v>
      </c>
      <c r="B243" s="1" t="b">
        <v>0</v>
      </c>
      <c r="C243" s="1" t="s">
        <v>5248</v>
      </c>
      <c r="D243" s="1">
        <v>1</v>
      </c>
      <c r="E243" s="1">
        <v>1</v>
      </c>
      <c r="F243" s="1" t="s">
        <v>28</v>
      </c>
    </row>
    <row r="244" spans="1:6" x14ac:dyDescent="0.25">
      <c r="A244" s="1" t="s">
        <v>5249</v>
      </c>
      <c r="B244" s="1" t="b">
        <v>0</v>
      </c>
      <c r="C244" s="1" t="s">
        <v>5250</v>
      </c>
      <c r="D244" s="1">
        <v>1</v>
      </c>
      <c r="E244" s="1">
        <v>1</v>
      </c>
      <c r="F244" s="1" t="s">
        <v>28</v>
      </c>
    </row>
    <row r="245" spans="1:6" ht="30" x14ac:dyDescent="0.25">
      <c r="A245" s="1" t="s">
        <v>5251</v>
      </c>
      <c r="B245" s="1" t="b">
        <v>0</v>
      </c>
      <c r="C245" s="1" t="s">
        <v>5252</v>
      </c>
      <c r="D245" s="1">
        <v>4</v>
      </c>
      <c r="E245" s="1">
        <v>2</v>
      </c>
      <c r="F245" s="1" t="s">
        <v>28</v>
      </c>
    </row>
    <row r="246" spans="1:6" x14ac:dyDescent="0.25">
      <c r="A246" s="1" t="s">
        <v>5253</v>
      </c>
      <c r="B246" s="1" t="b">
        <v>1</v>
      </c>
      <c r="C246" s="1" t="s">
        <v>5254</v>
      </c>
      <c r="D246" s="1">
        <v>2</v>
      </c>
      <c r="E246" s="1">
        <v>1</v>
      </c>
      <c r="F246" s="1" t="s">
        <v>28</v>
      </c>
    </row>
    <row r="247" spans="1:6" x14ac:dyDescent="0.25">
      <c r="A247" s="1" t="s">
        <v>5255</v>
      </c>
      <c r="B247" s="1" t="b">
        <v>1</v>
      </c>
      <c r="C247" s="1" t="s">
        <v>5256</v>
      </c>
      <c r="D247" s="1">
        <v>3</v>
      </c>
      <c r="E247" s="1">
        <v>1</v>
      </c>
      <c r="F247" s="1" t="s">
        <v>28</v>
      </c>
    </row>
    <row r="248" spans="1:6" x14ac:dyDescent="0.25">
      <c r="A248" s="1" t="s">
        <v>5257</v>
      </c>
      <c r="B248" s="1" t="b">
        <v>1</v>
      </c>
      <c r="C248" s="1" t="s">
        <v>5256</v>
      </c>
      <c r="D248" s="1">
        <v>3</v>
      </c>
      <c r="E248" s="1">
        <v>1</v>
      </c>
      <c r="F248" s="1" t="s">
        <v>28</v>
      </c>
    </row>
    <row r="249" spans="1:6" x14ac:dyDescent="0.25">
      <c r="A249" s="1" t="s">
        <v>1062</v>
      </c>
      <c r="B249" s="1" t="b">
        <v>1</v>
      </c>
      <c r="C249" s="1" t="s">
        <v>5258</v>
      </c>
      <c r="D249" s="1">
        <v>3</v>
      </c>
      <c r="E249" s="1">
        <v>1</v>
      </c>
      <c r="F249" s="1" t="s">
        <v>28</v>
      </c>
    </row>
    <row r="250" spans="1:6" x14ac:dyDescent="0.25">
      <c r="A250" s="1" t="s">
        <v>5259</v>
      </c>
      <c r="B250" s="1" t="b">
        <v>0</v>
      </c>
      <c r="C250" s="1" t="s">
        <v>5260</v>
      </c>
      <c r="D250" s="1">
        <v>3</v>
      </c>
      <c r="E250" s="1">
        <v>2</v>
      </c>
      <c r="F250" s="1" t="s">
        <v>28</v>
      </c>
    </row>
    <row r="251" spans="1:6" x14ac:dyDescent="0.25">
      <c r="A251" s="1" t="s">
        <v>5261</v>
      </c>
      <c r="B251" s="1" t="b">
        <v>1</v>
      </c>
      <c r="C251" s="1" t="s">
        <v>5262</v>
      </c>
      <c r="D251" s="1">
        <v>2</v>
      </c>
      <c r="E251" s="1">
        <v>1</v>
      </c>
      <c r="F251" s="1" t="s">
        <v>28</v>
      </c>
    </row>
    <row r="252" spans="1:6" x14ac:dyDescent="0.25">
      <c r="A252" s="1" t="s">
        <v>5263</v>
      </c>
      <c r="B252" s="1" t="b">
        <v>1</v>
      </c>
      <c r="C252" s="1" t="s">
        <v>5264</v>
      </c>
      <c r="D252" s="1">
        <v>2</v>
      </c>
      <c r="E252" s="1">
        <v>1</v>
      </c>
      <c r="F252" s="1" t="s">
        <v>28</v>
      </c>
    </row>
    <row r="253" spans="1:6" x14ac:dyDescent="0.25">
      <c r="A253" s="1" t="s">
        <v>5265</v>
      </c>
      <c r="B253" s="1" t="b">
        <v>1</v>
      </c>
      <c r="C253" s="1" t="s">
        <v>5258</v>
      </c>
      <c r="D253" s="1">
        <v>3</v>
      </c>
      <c r="E253" s="1">
        <v>1</v>
      </c>
      <c r="F253" s="1" t="s">
        <v>28</v>
      </c>
    </row>
    <row r="254" spans="1:6" x14ac:dyDescent="0.25">
      <c r="A254" s="1" t="s">
        <v>5266</v>
      </c>
      <c r="B254" s="1" t="b">
        <v>1</v>
      </c>
      <c r="C254" s="1" t="s">
        <v>5267</v>
      </c>
      <c r="D254" s="1">
        <v>1</v>
      </c>
      <c r="E254" s="1">
        <v>1</v>
      </c>
      <c r="F254" s="1" t="s">
        <v>28</v>
      </c>
    </row>
    <row r="255" spans="1:6" x14ac:dyDescent="0.25">
      <c r="A255" s="1" t="s">
        <v>5268</v>
      </c>
      <c r="B255" s="1" t="b">
        <v>0</v>
      </c>
      <c r="C255" s="1" t="s">
        <v>5260</v>
      </c>
      <c r="D255" s="1">
        <v>3</v>
      </c>
      <c r="E255" s="1">
        <v>2</v>
      </c>
      <c r="F255" s="1" t="s">
        <v>28</v>
      </c>
    </row>
    <row r="256" spans="1:6" x14ac:dyDescent="0.25">
      <c r="A256" s="1" t="s">
        <v>5269</v>
      </c>
      <c r="B256" s="1" t="b">
        <v>1</v>
      </c>
      <c r="C256" s="1" t="s">
        <v>5270</v>
      </c>
      <c r="D256" s="1">
        <v>1</v>
      </c>
      <c r="E256" s="1">
        <v>1</v>
      </c>
      <c r="F256" s="1" t="s">
        <v>28</v>
      </c>
    </row>
    <row r="257" spans="1:6" x14ac:dyDescent="0.25">
      <c r="A257" s="1" t="s">
        <v>5271</v>
      </c>
      <c r="B257" s="1" t="b">
        <v>1</v>
      </c>
      <c r="C257" s="1" t="s">
        <v>5272</v>
      </c>
      <c r="D257" s="1">
        <v>3</v>
      </c>
      <c r="E257" s="1">
        <v>2</v>
      </c>
      <c r="F257" s="1" t="s">
        <v>28</v>
      </c>
    </row>
    <row r="258" spans="1:6" x14ac:dyDescent="0.25">
      <c r="A258" s="1" t="s">
        <v>5273</v>
      </c>
      <c r="B258" s="1" t="b">
        <v>1</v>
      </c>
      <c r="C258" s="1" t="s">
        <v>5274</v>
      </c>
      <c r="D258" s="1">
        <v>2</v>
      </c>
      <c r="E258" s="1">
        <v>1</v>
      </c>
      <c r="F258" s="1" t="s">
        <v>28</v>
      </c>
    </row>
    <row r="259" spans="1:6" x14ac:dyDescent="0.25">
      <c r="A259" s="1" t="s">
        <v>5275</v>
      </c>
      <c r="B259" s="1" t="b">
        <v>1</v>
      </c>
      <c r="C259" s="1" t="s">
        <v>5276</v>
      </c>
      <c r="D259" s="1">
        <v>1</v>
      </c>
      <c r="E259" s="1">
        <v>1</v>
      </c>
      <c r="F259" s="1" t="s">
        <v>28</v>
      </c>
    </row>
    <row r="260" spans="1:6" x14ac:dyDescent="0.25">
      <c r="A260" s="1" t="s">
        <v>5277</v>
      </c>
      <c r="B260" s="1" t="b">
        <v>1</v>
      </c>
      <c r="C260" s="1" t="s">
        <v>5278</v>
      </c>
      <c r="D260" s="1">
        <v>3</v>
      </c>
      <c r="E260" s="1">
        <v>1</v>
      </c>
      <c r="F260" s="1" t="s">
        <v>28</v>
      </c>
    </row>
    <row r="261" spans="1:6" x14ac:dyDescent="0.25">
      <c r="A261" s="1" t="s">
        <v>5279</v>
      </c>
      <c r="B261" s="1" t="b">
        <v>0</v>
      </c>
      <c r="C261" s="1" t="s">
        <v>5280</v>
      </c>
      <c r="D261" s="1">
        <v>3</v>
      </c>
      <c r="E261" s="1">
        <v>2</v>
      </c>
      <c r="F261" s="1" t="s">
        <v>28</v>
      </c>
    </row>
    <row r="262" spans="1:6" x14ac:dyDescent="0.25">
      <c r="A262" s="1" t="s">
        <v>5281</v>
      </c>
      <c r="B262" s="1" t="b">
        <v>0</v>
      </c>
      <c r="C262" s="1" t="s">
        <v>5282</v>
      </c>
      <c r="D262" s="1">
        <v>4</v>
      </c>
      <c r="E262" s="1">
        <v>2</v>
      </c>
      <c r="F262" s="1" t="s">
        <v>28</v>
      </c>
    </row>
    <row r="263" spans="1:6" x14ac:dyDescent="0.25">
      <c r="A263" s="1" t="s">
        <v>5283</v>
      </c>
      <c r="B263" s="1" t="b">
        <v>1</v>
      </c>
      <c r="C263" s="1" t="s">
        <v>5284</v>
      </c>
      <c r="D263" s="1">
        <v>1</v>
      </c>
      <c r="E263" s="1">
        <v>1</v>
      </c>
      <c r="F263" s="1" t="s">
        <v>28</v>
      </c>
    </row>
    <row r="264" spans="1:6" x14ac:dyDescent="0.25">
      <c r="A264" s="1" t="s">
        <v>5285</v>
      </c>
      <c r="B264" s="1" t="b">
        <v>1</v>
      </c>
      <c r="C264" s="1" t="s">
        <v>5286</v>
      </c>
      <c r="D264" s="1">
        <v>1</v>
      </c>
      <c r="E264" s="1">
        <v>1</v>
      </c>
      <c r="F264" s="1" t="s">
        <v>28</v>
      </c>
    </row>
    <row r="265" spans="1:6" x14ac:dyDescent="0.25">
      <c r="A265" s="1" t="s">
        <v>5287</v>
      </c>
      <c r="B265" s="1" t="b">
        <v>0</v>
      </c>
      <c r="C265" s="1" t="s">
        <v>5288</v>
      </c>
      <c r="D265" s="1">
        <v>4</v>
      </c>
      <c r="E265" s="1">
        <v>2</v>
      </c>
      <c r="F265" s="1" t="s">
        <v>28</v>
      </c>
    </row>
    <row r="266" spans="1:6" x14ac:dyDescent="0.25">
      <c r="A266" s="1" t="s">
        <v>5289</v>
      </c>
      <c r="B266" s="1" t="b">
        <v>0</v>
      </c>
      <c r="C266" s="1" t="s">
        <v>5290</v>
      </c>
      <c r="D266" s="1">
        <v>4</v>
      </c>
      <c r="E266" s="1">
        <v>2</v>
      </c>
      <c r="F266" s="1" t="s">
        <v>28</v>
      </c>
    </row>
    <row r="267" spans="1:6" x14ac:dyDescent="0.25">
      <c r="A267" s="1" t="s">
        <v>5291</v>
      </c>
      <c r="B267" s="1" t="b">
        <v>0</v>
      </c>
      <c r="C267" s="1" t="s">
        <v>5292</v>
      </c>
      <c r="D267" s="1">
        <v>4</v>
      </c>
      <c r="E267" s="1">
        <v>2</v>
      </c>
      <c r="F267" s="1" t="s">
        <v>28</v>
      </c>
    </row>
    <row r="268" spans="1:6" x14ac:dyDescent="0.25">
      <c r="A268" s="1" t="s">
        <v>5293</v>
      </c>
      <c r="B268" s="1" t="b">
        <v>0</v>
      </c>
      <c r="C268" s="1" t="s">
        <v>5294</v>
      </c>
      <c r="D268" s="1">
        <v>4</v>
      </c>
      <c r="E268" s="1">
        <v>2</v>
      </c>
      <c r="F268" s="1" t="s">
        <v>28</v>
      </c>
    </row>
    <row r="269" spans="1:6" x14ac:dyDescent="0.25">
      <c r="A269" s="1" t="s">
        <v>5295</v>
      </c>
      <c r="B269" s="1" t="b">
        <v>1</v>
      </c>
      <c r="C269" s="1" t="s">
        <v>5296</v>
      </c>
      <c r="D269" s="1">
        <v>1</v>
      </c>
      <c r="E269" s="1">
        <v>1</v>
      </c>
      <c r="F269" s="1" t="s">
        <v>28</v>
      </c>
    </row>
    <row r="270" spans="1:6" x14ac:dyDescent="0.25">
      <c r="A270" s="1" t="s">
        <v>5297</v>
      </c>
      <c r="B270" s="1" t="b">
        <v>1</v>
      </c>
      <c r="C270" s="1" t="s">
        <v>5298</v>
      </c>
      <c r="D270" s="1">
        <v>1</v>
      </c>
      <c r="E270" s="1">
        <v>1</v>
      </c>
      <c r="F270" s="1" t="s">
        <v>28</v>
      </c>
    </row>
    <row r="271" spans="1:6" x14ac:dyDescent="0.25">
      <c r="A271" s="1" t="s">
        <v>5299</v>
      </c>
      <c r="B271" s="1" t="b">
        <v>1</v>
      </c>
      <c r="C271" s="1" t="s">
        <v>5300</v>
      </c>
      <c r="D271" s="1">
        <v>1</v>
      </c>
      <c r="E271" s="1">
        <v>1</v>
      </c>
      <c r="F271" s="1" t="s">
        <v>28</v>
      </c>
    </row>
    <row r="272" spans="1:6" x14ac:dyDescent="0.25">
      <c r="A272" s="1" t="s">
        <v>5301</v>
      </c>
      <c r="B272" s="1" t="b">
        <v>1</v>
      </c>
      <c r="C272" s="1" t="s">
        <v>5302</v>
      </c>
      <c r="D272" s="1">
        <v>1</v>
      </c>
      <c r="E272" s="1">
        <v>1</v>
      </c>
      <c r="F272" s="1" t="s">
        <v>28</v>
      </c>
    </row>
    <row r="273" spans="1:6" x14ac:dyDescent="0.25">
      <c r="A273" s="1" t="s">
        <v>5303</v>
      </c>
      <c r="B273" s="1" t="b">
        <v>1</v>
      </c>
      <c r="C273" s="1" t="s">
        <v>5304</v>
      </c>
      <c r="D273" s="1">
        <v>2</v>
      </c>
      <c r="E273" s="1">
        <v>1</v>
      </c>
      <c r="F273" s="1" t="s">
        <v>28</v>
      </c>
    </row>
    <row r="274" spans="1:6" x14ac:dyDescent="0.25">
      <c r="A274" s="1" t="s">
        <v>5305</v>
      </c>
      <c r="B274" s="1" t="b">
        <v>1</v>
      </c>
      <c r="C274" s="1" t="s">
        <v>5306</v>
      </c>
      <c r="D274" s="1">
        <v>2</v>
      </c>
      <c r="E274" s="1">
        <v>1</v>
      </c>
      <c r="F274" s="1" t="s">
        <v>28</v>
      </c>
    </row>
    <row r="275" spans="1:6" x14ac:dyDescent="0.25">
      <c r="A275" s="1" t="s">
        <v>5307</v>
      </c>
      <c r="B275" s="1" t="b">
        <v>1</v>
      </c>
      <c r="C275" s="1" t="s">
        <v>5308</v>
      </c>
      <c r="D275" s="1">
        <v>2</v>
      </c>
      <c r="E275" s="1">
        <v>1</v>
      </c>
      <c r="F275" s="1" t="s">
        <v>28</v>
      </c>
    </row>
    <row r="276" spans="1:6" x14ac:dyDescent="0.25">
      <c r="A276" s="1" t="s">
        <v>5309</v>
      </c>
      <c r="B276" s="1" t="b">
        <v>1</v>
      </c>
      <c r="C276" s="1" t="s">
        <v>5310</v>
      </c>
      <c r="D276" s="1">
        <v>2</v>
      </c>
      <c r="E276" s="1">
        <v>1</v>
      </c>
      <c r="F276" s="1" t="s">
        <v>28</v>
      </c>
    </row>
    <row r="277" spans="1:6" x14ac:dyDescent="0.25">
      <c r="A277" s="1" t="s">
        <v>5311</v>
      </c>
      <c r="B277" s="1" t="b">
        <v>1</v>
      </c>
      <c r="C277" s="1" t="s">
        <v>5312</v>
      </c>
      <c r="D277" s="1">
        <v>1</v>
      </c>
      <c r="E277" s="1">
        <v>1</v>
      </c>
      <c r="F277" s="1" t="s">
        <v>28</v>
      </c>
    </row>
    <row r="278" spans="1:6" x14ac:dyDescent="0.25">
      <c r="A278" s="1" t="s">
        <v>5313</v>
      </c>
      <c r="B278" s="1" t="b">
        <v>0</v>
      </c>
      <c r="C278" s="1" t="s">
        <v>5314</v>
      </c>
      <c r="D278" s="1">
        <v>2</v>
      </c>
      <c r="E278" s="1">
        <v>1</v>
      </c>
      <c r="F278" s="1" t="s">
        <v>28</v>
      </c>
    </row>
    <row r="279" spans="1:6" x14ac:dyDescent="0.25">
      <c r="A279" s="1" t="s">
        <v>5315</v>
      </c>
      <c r="B279" s="1" t="b">
        <v>1</v>
      </c>
      <c r="C279" s="1" t="s">
        <v>5316</v>
      </c>
      <c r="D279" s="1">
        <v>1</v>
      </c>
      <c r="E279" s="1">
        <v>1</v>
      </c>
      <c r="F279" s="1" t="s">
        <v>28</v>
      </c>
    </row>
    <row r="280" spans="1:6" x14ac:dyDescent="0.25">
      <c r="A280" s="1" t="s">
        <v>5317</v>
      </c>
      <c r="B280" s="1" t="b">
        <v>1</v>
      </c>
      <c r="C280" s="1" t="s">
        <v>5318</v>
      </c>
      <c r="D280" s="1">
        <v>1</v>
      </c>
      <c r="E280" s="1">
        <v>1</v>
      </c>
      <c r="F280" s="1" t="s">
        <v>28</v>
      </c>
    </row>
    <row r="281" spans="1:6" x14ac:dyDescent="0.25">
      <c r="A281" s="1" t="s">
        <v>5319</v>
      </c>
      <c r="B281" s="1" t="b">
        <v>1</v>
      </c>
      <c r="C281" s="1" t="s">
        <v>5320</v>
      </c>
      <c r="D281" s="1">
        <v>1</v>
      </c>
      <c r="E281" s="1">
        <v>1</v>
      </c>
      <c r="F281" s="1" t="s">
        <v>28</v>
      </c>
    </row>
    <row r="282" spans="1:6" x14ac:dyDescent="0.25">
      <c r="A282" s="1" t="s">
        <v>5321</v>
      </c>
      <c r="B282" s="1" t="b">
        <v>1</v>
      </c>
      <c r="C282" s="1" t="s">
        <v>5322</v>
      </c>
      <c r="D282" s="1">
        <v>1</v>
      </c>
      <c r="E282" s="1">
        <v>1</v>
      </c>
      <c r="F282" s="1" t="s">
        <v>28</v>
      </c>
    </row>
    <row r="283" spans="1:6" x14ac:dyDescent="0.25">
      <c r="A283" s="1" t="s">
        <v>5323</v>
      </c>
      <c r="B283" s="1" t="b">
        <v>1</v>
      </c>
      <c r="C283" s="1" t="s">
        <v>5324</v>
      </c>
      <c r="D283" s="1">
        <v>1</v>
      </c>
      <c r="E283" s="1">
        <v>1</v>
      </c>
      <c r="F283" s="1" t="s">
        <v>28</v>
      </c>
    </row>
    <row r="284" spans="1:6" x14ac:dyDescent="0.25">
      <c r="A284" s="1" t="s">
        <v>174</v>
      </c>
      <c r="B284" s="1" t="b">
        <v>1</v>
      </c>
      <c r="C284" s="1" t="s">
        <v>5325</v>
      </c>
      <c r="D284" s="1">
        <v>1</v>
      </c>
      <c r="E284" s="1">
        <v>1</v>
      </c>
      <c r="F284" s="1" t="s">
        <v>28</v>
      </c>
    </row>
    <row r="285" spans="1:6" x14ac:dyDescent="0.25">
      <c r="A285" s="1" t="s">
        <v>1121</v>
      </c>
      <c r="B285" s="1" t="b">
        <v>1</v>
      </c>
      <c r="C285" s="1" t="s">
        <v>5326</v>
      </c>
      <c r="D285" s="1">
        <v>1</v>
      </c>
      <c r="E285" s="1">
        <v>1</v>
      </c>
      <c r="F285" s="1" t="s">
        <v>28</v>
      </c>
    </row>
    <row r="286" spans="1:6" x14ac:dyDescent="0.25">
      <c r="A286" s="1" t="s">
        <v>155</v>
      </c>
      <c r="B286" s="1" t="b">
        <v>1</v>
      </c>
      <c r="C286" s="1" t="s">
        <v>5327</v>
      </c>
      <c r="D286" s="1">
        <v>3</v>
      </c>
      <c r="E286" s="1">
        <v>1</v>
      </c>
      <c r="F286" s="1" t="s">
        <v>28</v>
      </c>
    </row>
    <row r="287" spans="1:6" x14ac:dyDescent="0.25">
      <c r="A287" s="1" t="s">
        <v>5328</v>
      </c>
      <c r="B287" s="1" t="b">
        <v>1</v>
      </c>
      <c r="C287" s="1" t="s">
        <v>5329</v>
      </c>
      <c r="D287" s="1">
        <v>3</v>
      </c>
      <c r="E287" s="1">
        <v>1</v>
      </c>
      <c r="F287" s="1" t="s">
        <v>28</v>
      </c>
    </row>
    <row r="288" spans="1:6" x14ac:dyDescent="0.25">
      <c r="A288" s="1" t="s">
        <v>5330</v>
      </c>
      <c r="B288" s="1" t="b">
        <v>0</v>
      </c>
      <c r="C288" s="1" t="s">
        <v>5331</v>
      </c>
      <c r="D288" s="1">
        <v>3</v>
      </c>
      <c r="E288" s="1">
        <v>2</v>
      </c>
      <c r="F288" s="1" t="s">
        <v>28</v>
      </c>
    </row>
    <row r="289" spans="1:6" x14ac:dyDescent="0.25">
      <c r="A289" s="1" t="s">
        <v>5332</v>
      </c>
      <c r="B289" s="1" t="b">
        <v>0</v>
      </c>
      <c r="C289" s="1" t="s">
        <v>5333</v>
      </c>
      <c r="D289" s="1">
        <v>4</v>
      </c>
      <c r="E289" s="1">
        <v>1</v>
      </c>
      <c r="F289" s="1" t="s">
        <v>28</v>
      </c>
    </row>
    <row r="290" spans="1:6" x14ac:dyDescent="0.25">
      <c r="A290" s="1" t="s">
        <v>5334</v>
      </c>
      <c r="B290" s="1" t="b">
        <v>1</v>
      </c>
      <c r="C290" s="1" t="s">
        <v>5335</v>
      </c>
      <c r="D290" s="1">
        <v>3</v>
      </c>
      <c r="E290" s="1">
        <v>2</v>
      </c>
      <c r="F290" s="1" t="s">
        <v>28</v>
      </c>
    </row>
    <row r="291" spans="1:6" x14ac:dyDescent="0.25">
      <c r="A291" s="1" t="s">
        <v>5336</v>
      </c>
      <c r="B291" s="1" t="b">
        <v>0</v>
      </c>
      <c r="C291" s="1" t="s">
        <v>5337</v>
      </c>
      <c r="D291" s="1">
        <v>4</v>
      </c>
      <c r="E291" s="1">
        <v>2</v>
      </c>
      <c r="F291" s="1" t="s">
        <v>28</v>
      </c>
    </row>
    <row r="292" spans="1:6" x14ac:dyDescent="0.25">
      <c r="A292" s="1" t="s">
        <v>136</v>
      </c>
      <c r="B292" s="1" t="b">
        <v>1</v>
      </c>
      <c r="C292" s="1" t="s">
        <v>5338</v>
      </c>
      <c r="D292" s="1">
        <v>4</v>
      </c>
      <c r="E292" s="1">
        <v>1</v>
      </c>
      <c r="F292" s="1" t="s">
        <v>28</v>
      </c>
    </row>
    <row r="293" spans="1:6" x14ac:dyDescent="0.25">
      <c r="A293" s="1" t="s">
        <v>4335</v>
      </c>
      <c r="B293" s="1" t="b">
        <v>1</v>
      </c>
      <c r="C293" s="1" t="s">
        <v>5339</v>
      </c>
      <c r="D293" s="1">
        <v>4</v>
      </c>
      <c r="E293" s="1">
        <v>1</v>
      </c>
      <c r="F293" s="1" t="s">
        <v>28</v>
      </c>
    </row>
    <row r="294" spans="1:6" x14ac:dyDescent="0.25">
      <c r="A294" s="1" t="s">
        <v>5340</v>
      </c>
      <c r="B294" s="1" t="b">
        <v>1</v>
      </c>
      <c r="C294" s="1" t="s">
        <v>5341</v>
      </c>
      <c r="D294" s="1">
        <v>2</v>
      </c>
      <c r="E294" s="1">
        <v>1</v>
      </c>
      <c r="F294" s="1" t="s">
        <v>28</v>
      </c>
    </row>
  </sheetData>
  <autoFilter ref="A1:F294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2"/>
  <sheetViews>
    <sheetView workbookViewId="0"/>
  </sheetViews>
  <sheetFormatPr defaultRowHeight="15" x14ac:dyDescent="0.25"/>
  <cols>
    <col min="1" max="1" width="15" customWidth="1"/>
    <col min="2" max="2" width="100" customWidth="1"/>
  </cols>
  <sheetData>
    <row r="1" spans="1:3" x14ac:dyDescent="0.25">
      <c r="A1" s="2" t="s">
        <v>4822</v>
      </c>
      <c r="B1" s="2" t="s">
        <v>5342</v>
      </c>
      <c r="C1" s="2" t="s">
        <v>5343</v>
      </c>
    </row>
    <row r="2" spans="1:3" ht="30" x14ac:dyDescent="0.25">
      <c r="A2" s="1" t="s">
        <v>70</v>
      </c>
      <c r="B2" s="1" t="s">
        <v>5344</v>
      </c>
      <c r="C2" s="1"/>
    </row>
    <row r="3" spans="1:3" x14ac:dyDescent="0.25">
      <c r="A3" s="1" t="s">
        <v>71</v>
      </c>
      <c r="B3" s="1" t="s">
        <v>5345</v>
      </c>
      <c r="C3" s="1"/>
    </row>
    <row r="4" spans="1:3" x14ac:dyDescent="0.25">
      <c r="A4" s="1" t="s">
        <v>72</v>
      </c>
      <c r="B4" s="1" t="s">
        <v>5346</v>
      </c>
      <c r="C4" s="1"/>
    </row>
    <row r="5" spans="1:3" ht="30" x14ac:dyDescent="0.25">
      <c r="A5" s="1" t="s">
        <v>73</v>
      </c>
      <c r="B5" s="1" t="s">
        <v>5347</v>
      </c>
      <c r="C5" s="1"/>
    </row>
    <row r="6" spans="1:3" ht="30" x14ac:dyDescent="0.25">
      <c r="A6" s="1" t="s">
        <v>74</v>
      </c>
      <c r="B6" s="1" t="s">
        <v>5348</v>
      </c>
      <c r="C6" s="1"/>
    </row>
    <row r="7" spans="1:3" x14ac:dyDescent="0.25">
      <c r="A7" s="1" t="s">
        <v>75</v>
      </c>
      <c r="B7" s="1" t="s">
        <v>5349</v>
      </c>
      <c r="C7" s="1"/>
    </row>
    <row r="8" spans="1:3" ht="30" x14ac:dyDescent="0.25">
      <c r="A8" s="1" t="s">
        <v>76</v>
      </c>
      <c r="B8" s="1" t="s">
        <v>5350</v>
      </c>
      <c r="C8" s="1"/>
    </row>
    <row r="9" spans="1:3" x14ac:dyDescent="0.25">
      <c r="A9" s="1" t="s">
        <v>77</v>
      </c>
      <c r="B9" s="1" t="s">
        <v>5351</v>
      </c>
      <c r="C9" s="1"/>
    </row>
    <row r="10" spans="1:3" x14ac:dyDescent="0.25">
      <c r="A10" s="1" t="s">
        <v>78</v>
      </c>
      <c r="B10" s="1" t="s">
        <v>5352</v>
      </c>
      <c r="C10" s="1"/>
    </row>
    <row r="11" spans="1:3" x14ac:dyDescent="0.25">
      <c r="A11" s="1" t="s">
        <v>79</v>
      </c>
      <c r="B11" s="1" t="s">
        <v>5353</v>
      </c>
      <c r="C11" s="1"/>
    </row>
    <row r="12" spans="1:3" x14ac:dyDescent="0.25">
      <c r="A12" s="1" t="s">
        <v>80</v>
      </c>
      <c r="B12" s="1" t="s">
        <v>5354</v>
      </c>
      <c r="C12" s="1"/>
    </row>
    <row r="13" spans="1:3" ht="30" x14ac:dyDescent="0.25">
      <c r="A13" s="1" t="s">
        <v>81</v>
      </c>
      <c r="B13" s="1" t="s">
        <v>5355</v>
      </c>
      <c r="C13" s="1"/>
    </row>
    <row r="14" spans="1:3" x14ac:dyDescent="0.25">
      <c r="A14" s="1" t="s">
        <v>82</v>
      </c>
      <c r="B14" s="1" t="s">
        <v>5356</v>
      </c>
      <c r="C14" s="1"/>
    </row>
    <row r="15" spans="1:3" x14ac:dyDescent="0.25">
      <c r="A15" s="1" t="s">
        <v>83</v>
      </c>
      <c r="B15" s="1" t="s">
        <v>5357</v>
      </c>
      <c r="C15" s="1"/>
    </row>
    <row r="16" spans="1:3" x14ac:dyDescent="0.25">
      <c r="A16" s="1" t="s">
        <v>84</v>
      </c>
      <c r="B16" s="1" t="s">
        <v>5358</v>
      </c>
      <c r="C16" s="1"/>
    </row>
    <row r="17" spans="1:3" x14ac:dyDescent="0.25">
      <c r="A17" s="1" t="s">
        <v>85</v>
      </c>
      <c r="B17" s="1" t="s">
        <v>5359</v>
      </c>
      <c r="C17" s="1"/>
    </row>
    <row r="18" spans="1:3" x14ac:dyDescent="0.25">
      <c r="A18" s="1" t="s">
        <v>86</v>
      </c>
      <c r="B18" s="1" t="s">
        <v>5360</v>
      </c>
      <c r="C18" s="1"/>
    </row>
    <row r="19" spans="1:3" x14ac:dyDescent="0.25">
      <c r="A19" s="1" t="s">
        <v>87</v>
      </c>
      <c r="B19" s="1" t="s">
        <v>5361</v>
      </c>
      <c r="C19" s="1"/>
    </row>
    <row r="20" spans="1:3" ht="30" x14ac:dyDescent="0.25">
      <c r="A20" s="1" t="s">
        <v>88</v>
      </c>
      <c r="B20" s="1" t="s">
        <v>5362</v>
      </c>
      <c r="C20" s="1"/>
    </row>
    <row r="21" spans="1:3" ht="30" x14ac:dyDescent="0.25">
      <c r="A21" s="1" t="s">
        <v>89</v>
      </c>
      <c r="B21" s="1" t="s">
        <v>5363</v>
      </c>
      <c r="C21" s="1"/>
    </row>
    <row r="22" spans="1:3" x14ac:dyDescent="0.25">
      <c r="A22" s="1" t="s">
        <v>90</v>
      </c>
      <c r="B22" s="1" t="s">
        <v>5364</v>
      </c>
      <c r="C22" s="1"/>
    </row>
    <row r="23" spans="1:3" x14ac:dyDescent="0.25">
      <c r="A23" s="1" t="s">
        <v>91</v>
      </c>
      <c r="B23" s="1" t="s">
        <v>5365</v>
      </c>
      <c r="C23" s="1"/>
    </row>
    <row r="24" spans="1:3" ht="30" x14ac:dyDescent="0.25">
      <c r="A24" s="1" t="s">
        <v>92</v>
      </c>
      <c r="B24" s="1" t="s">
        <v>5366</v>
      </c>
      <c r="C24" s="1"/>
    </row>
    <row r="25" spans="1:3" ht="30" x14ac:dyDescent="0.25">
      <c r="A25" s="1" t="s">
        <v>93</v>
      </c>
      <c r="B25" s="1" t="s">
        <v>5367</v>
      </c>
      <c r="C25" s="1"/>
    </row>
    <row r="26" spans="1:3" ht="30" x14ac:dyDescent="0.25">
      <c r="A26" s="1" t="s">
        <v>94</v>
      </c>
      <c r="B26" s="1" t="s">
        <v>5368</v>
      </c>
      <c r="C26" s="1"/>
    </row>
    <row r="27" spans="1:3" x14ac:dyDescent="0.25">
      <c r="A27" s="1" t="s">
        <v>95</v>
      </c>
      <c r="B27" s="1" t="s">
        <v>5369</v>
      </c>
      <c r="C27" s="1"/>
    </row>
    <row r="28" spans="1:3" x14ac:dyDescent="0.25">
      <c r="A28" s="1" t="s">
        <v>96</v>
      </c>
      <c r="B28" s="1" t="s">
        <v>5370</v>
      </c>
      <c r="C28" s="1"/>
    </row>
    <row r="29" spans="1:3" x14ac:dyDescent="0.25">
      <c r="A29" s="1" t="s">
        <v>97</v>
      </c>
      <c r="B29" s="1" t="s">
        <v>5371</v>
      </c>
      <c r="C29" s="1"/>
    </row>
    <row r="30" spans="1:3" x14ac:dyDescent="0.25">
      <c r="A30" s="1" t="s">
        <v>98</v>
      </c>
      <c r="B30" s="1" t="s">
        <v>5372</v>
      </c>
      <c r="C30" s="1"/>
    </row>
    <row r="31" spans="1:3" ht="30" x14ac:dyDescent="0.25">
      <c r="A31" s="1" t="s">
        <v>99</v>
      </c>
      <c r="B31" s="1" t="s">
        <v>5373</v>
      </c>
      <c r="C31" s="1"/>
    </row>
    <row r="32" spans="1:3" ht="30" x14ac:dyDescent="0.25">
      <c r="A32" s="1" t="s">
        <v>100</v>
      </c>
      <c r="B32" s="1" t="s">
        <v>5374</v>
      </c>
      <c r="C32" s="1"/>
    </row>
    <row r="33" spans="1:3" x14ac:dyDescent="0.25">
      <c r="A33" s="1" t="s">
        <v>101</v>
      </c>
      <c r="B33" s="1" t="s">
        <v>5375</v>
      </c>
      <c r="C33" s="1"/>
    </row>
    <row r="34" spans="1:3" ht="30" x14ac:dyDescent="0.25">
      <c r="A34" s="1" t="s">
        <v>102</v>
      </c>
      <c r="B34" s="1" t="s">
        <v>5376</v>
      </c>
      <c r="C34" s="1"/>
    </row>
    <row r="35" spans="1:3" ht="30" x14ac:dyDescent="0.25">
      <c r="A35" s="1" t="s">
        <v>103</v>
      </c>
      <c r="B35" s="1" t="s">
        <v>5377</v>
      </c>
      <c r="C35" s="1"/>
    </row>
    <row r="36" spans="1:3" ht="30" x14ac:dyDescent="0.25">
      <c r="A36" s="1" t="s">
        <v>104</v>
      </c>
      <c r="B36" s="1" t="s">
        <v>5378</v>
      </c>
      <c r="C36" s="1"/>
    </row>
    <row r="37" spans="1:3" ht="30" x14ac:dyDescent="0.25">
      <c r="A37" s="1" t="s">
        <v>105</v>
      </c>
      <c r="B37" s="1" t="s">
        <v>5379</v>
      </c>
      <c r="C37" s="1"/>
    </row>
    <row r="38" spans="1:3" ht="30" x14ac:dyDescent="0.25">
      <c r="A38" s="1" t="s">
        <v>106</v>
      </c>
      <c r="B38" s="1" t="s">
        <v>5380</v>
      </c>
      <c r="C38" s="1"/>
    </row>
    <row r="39" spans="1:3" ht="30" x14ac:dyDescent="0.25">
      <c r="A39" s="1" t="s">
        <v>107</v>
      </c>
      <c r="B39" s="1" t="s">
        <v>5381</v>
      </c>
      <c r="C39" s="1"/>
    </row>
    <row r="40" spans="1:3" ht="30" x14ac:dyDescent="0.25">
      <c r="A40" s="1" t="s">
        <v>108</v>
      </c>
      <c r="B40" s="1" t="s">
        <v>5382</v>
      </c>
      <c r="C40" s="1"/>
    </row>
    <row r="41" spans="1:3" ht="30" x14ac:dyDescent="0.25">
      <c r="A41" s="1" t="s">
        <v>109</v>
      </c>
      <c r="B41" s="1" t="s">
        <v>5383</v>
      </c>
      <c r="C41" s="1"/>
    </row>
    <row r="42" spans="1:3" x14ac:dyDescent="0.25">
      <c r="A42" s="1" t="s">
        <v>110</v>
      </c>
      <c r="B42" s="1" t="s">
        <v>5384</v>
      </c>
      <c r="C42" s="1" t="s">
        <v>5385</v>
      </c>
    </row>
    <row r="43" spans="1:3" x14ac:dyDescent="0.25">
      <c r="A43" s="1" t="s">
        <v>111</v>
      </c>
      <c r="B43" s="1" t="s">
        <v>5386</v>
      </c>
      <c r="C43" s="1" t="s">
        <v>5387</v>
      </c>
    </row>
    <row r="44" spans="1:3" x14ac:dyDescent="0.25">
      <c r="A44" s="1" t="s">
        <v>112</v>
      </c>
      <c r="B44" s="1" t="s">
        <v>5388</v>
      </c>
      <c r="C44" s="1" t="s">
        <v>5389</v>
      </c>
    </row>
    <row r="45" spans="1:3" ht="45" x14ac:dyDescent="0.25">
      <c r="A45" s="1" t="s">
        <v>113</v>
      </c>
      <c r="B45" s="1" t="s">
        <v>5390</v>
      </c>
      <c r="C45" s="1" t="s">
        <v>5391</v>
      </c>
    </row>
    <row r="46" spans="1:3" ht="30" x14ac:dyDescent="0.25">
      <c r="A46" s="1" t="s">
        <v>114</v>
      </c>
      <c r="B46" s="1" t="s">
        <v>5392</v>
      </c>
      <c r="C46" s="1" t="s">
        <v>5393</v>
      </c>
    </row>
    <row r="47" spans="1:3" ht="30" x14ac:dyDescent="0.25">
      <c r="A47" s="1" t="s">
        <v>115</v>
      </c>
      <c r="B47" s="1" t="s">
        <v>5394</v>
      </c>
      <c r="C47" s="1" t="s">
        <v>5395</v>
      </c>
    </row>
    <row r="48" spans="1:3" ht="30" x14ac:dyDescent="0.25">
      <c r="A48" s="1" t="s">
        <v>116</v>
      </c>
      <c r="B48" s="1" t="s">
        <v>5396</v>
      </c>
      <c r="C48" s="1" t="s">
        <v>5397</v>
      </c>
    </row>
    <row r="49" spans="1:3" ht="30" x14ac:dyDescent="0.25">
      <c r="A49" s="1" t="s">
        <v>117</v>
      </c>
      <c r="B49" s="1" t="s">
        <v>5398</v>
      </c>
      <c r="C49" s="1" t="s">
        <v>5399</v>
      </c>
    </row>
    <row r="50" spans="1:3" x14ac:dyDescent="0.25">
      <c r="A50" s="1" t="s">
        <v>118</v>
      </c>
      <c r="B50" s="1" t="s">
        <v>5400</v>
      </c>
      <c r="C50" s="1" t="s">
        <v>5401</v>
      </c>
    </row>
    <row r="51" spans="1:3" x14ac:dyDescent="0.25">
      <c r="A51" s="1" t="s">
        <v>119</v>
      </c>
      <c r="B51" s="1" t="s">
        <v>5402</v>
      </c>
      <c r="C51" s="1" t="s">
        <v>5403</v>
      </c>
    </row>
    <row r="52" spans="1:3" x14ac:dyDescent="0.25">
      <c r="A52" s="1" t="s">
        <v>120</v>
      </c>
      <c r="B52" s="1" t="s">
        <v>5404</v>
      </c>
      <c r="C52" s="1" t="s">
        <v>5405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Script Input Parameters</vt:lpstr>
      <vt:lpstr>Klocwork Build Configuration</vt:lpstr>
      <vt:lpstr>SA Summary by Severity</vt:lpstr>
      <vt:lpstr>SA Summary by Modules</vt:lpstr>
      <vt:lpstr>Raw Issue Details</vt:lpstr>
      <vt:lpstr>Taxonomy Checkers</vt:lpstr>
      <vt:lpstr>Klocwork Project 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Ankur</cp:lastModifiedBy>
  <dcterms:created xsi:type="dcterms:W3CDTF">2023-04-13T17:45:41Z</dcterms:created>
  <dcterms:modified xsi:type="dcterms:W3CDTF">2023-04-13T13:49:22Z</dcterms:modified>
</cp:coreProperties>
</file>