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Default Extension="xml" ContentType="application/xml"/>
  <Override PartName="/xl/drawings/drawing2.xml" ContentType="application/vnd.openxmlformats-officedocument.drawing+xml"/>
  <Override PartName="/xl/worksheets/sheet3.xml" ContentType="application/vnd.openxmlformats-officedocument.spreadsheetml.worksheet+xml"/>
  <Override PartName="/xl/worksheets/sheet98.xml" ContentType="application/vnd.openxmlformats-officedocument.spreadsheetml.worksheet+xml"/>
  <Override PartName="/xl/worksheets/sheet117.xml" ContentType="application/vnd.openxmlformats-officedocument.spreadsheetml.worksheet+xml"/>
  <Override PartName="/xl/worksheets/sheet69.xml" ContentType="application/vnd.openxmlformats-officedocument.spreadsheetml.worksheet+xml"/>
  <Override PartName="/xl/worksheets/sheet87.xml" ContentType="application/vnd.openxmlformats-officedocument.spreadsheetml.worksheet+xml"/>
  <Override PartName="/xl/worksheets/sheet106.xml" ContentType="application/vnd.openxmlformats-officedocument.spreadsheetml.worksheet+xml"/>
  <Override PartName="/xl/worksheets/sheet124.xml" ContentType="application/vnd.openxmlformats-officedocument.spreadsheetml.worksheet+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76.xml" ContentType="application/vnd.openxmlformats-officedocument.spreadsheetml.worksheet+xml"/>
  <Override PartName="/xl/worksheets/sheet94.xml" ContentType="application/vnd.openxmlformats-officedocument.spreadsheetml.worksheet+xml"/>
  <Override PartName="/xl/worksheets/sheet113.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36.xml" ContentType="application/vnd.openxmlformats-officedocument.spreadsheetml.worksheet+xml"/>
  <Override PartName="/xl/worksheets/sheet54.xml" ContentType="application/vnd.openxmlformats-officedocument.spreadsheetml.worksheet+xml"/>
  <Override PartName="/xl/worksheets/sheet65.xml" ContentType="application/vnd.openxmlformats-officedocument.spreadsheetml.worksheet+xml"/>
  <Override PartName="/xl/worksheets/sheet83.xml" ContentType="application/vnd.openxmlformats-officedocument.spreadsheetml.worksheet+xml"/>
  <Override PartName="/xl/worksheets/sheet102.xml" ContentType="application/vnd.openxmlformats-officedocument.spreadsheetml.worksheet+xml"/>
  <Override PartName="/xl/worksheets/sheet120.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Override PartName="/xl/worksheets/sheet81.xml" ContentType="application/vnd.openxmlformats-officedocument.spreadsheetml.worksheet+xml"/>
  <Override PartName="/xl/worksheets/sheet90.xml" ContentType="application/vnd.openxmlformats-officedocument.spreadsheetml.worksheet+xml"/>
  <Override PartName="/xl/worksheets/sheet100.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Default Extension="jpeg" ContentType="image/jpeg"/>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worksheets/sheet109.xml" ContentType="application/vnd.openxmlformats-officedocument.spreadsheetml.workshee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99.xml" ContentType="application/vnd.openxmlformats-officedocument.spreadsheetml.worksheet+xml"/>
  <Override PartName="/xl/worksheets/sheet107.xml" ContentType="application/vnd.openxmlformats-officedocument.spreadsheetml.worksheet+xml"/>
  <Override PartName="/xl/worksheets/sheet116.xml" ContentType="application/vnd.openxmlformats-officedocument.spreadsheetml.worksheet+xml"/>
  <Override PartName="/xl/worksheets/sheet118.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Override PartName="/xl/worksheets/sheet88.xml" ContentType="application/vnd.openxmlformats-officedocument.spreadsheetml.worksheet+xml"/>
  <Override PartName="/xl/worksheets/sheet97.xml" ContentType="application/vnd.openxmlformats-officedocument.spreadsheetml.worksheet+xml"/>
  <Override PartName="/xl/worksheets/sheet105.xml" ContentType="application/vnd.openxmlformats-officedocument.spreadsheetml.worksheet+xml"/>
  <Override PartName="/xl/worksheets/sheet114.xml" ContentType="application/vnd.openxmlformats-officedocument.spreadsheetml.worksheet+xml"/>
  <Override PartName="/xl/worksheets/sheet125.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worksheets/sheet112.xml" ContentType="application/vnd.openxmlformats-officedocument.spreadsheetml.worksheet+xml"/>
  <Override PartName="/xl/worksheets/sheet123.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xl/worksheets/sheet110.xml" ContentType="application/vnd.openxmlformats-officedocument.spreadsheetml.worksheet+xml"/>
  <Override PartName="/xl/worksheets/sheet121.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worksheets/sheet119.xml" ContentType="application/vnd.openxmlformats-officedocument.spreadsheetml.worksheet+xml"/>
  <Override PartName="/xl/worksheets/sheet89.xml" ContentType="application/vnd.openxmlformats-officedocument.spreadsheetml.worksheet+xml"/>
  <Override PartName="/xl/worksheets/sheet108.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78.xml" ContentType="application/vnd.openxmlformats-officedocument.spreadsheetml.worksheet+xml"/>
  <Override PartName="/xl/worksheets/sheet96.xml" ContentType="application/vnd.openxmlformats-officedocument.spreadsheetml.worksheet+xml"/>
  <Override PartName="/xl/worksheets/sheet115.xml" ContentType="application/vnd.openxmlformats-officedocument.spreadsheetml.worksheet+xml"/>
  <Override PartName="/xl/worksheets/sheet38.xml" ContentType="application/vnd.openxmlformats-officedocument.spreadsheetml.worksheet+xml"/>
  <Override PartName="/xl/worksheets/sheet67.xml" ContentType="application/vnd.openxmlformats-officedocument.spreadsheetml.worksheet+xml"/>
  <Override PartName="/xl/worksheets/sheet85.xml" ContentType="application/vnd.openxmlformats-officedocument.spreadsheetml.worksheet+xml"/>
  <Override PartName="/xl/worksheets/sheet104.xml" ContentType="application/vnd.openxmlformats-officedocument.spreadsheetml.worksheet+xml"/>
  <Override PartName="/xl/worksheets/sheet122.xml" ContentType="application/vnd.openxmlformats-officedocument.spreadsheetml.worksheet+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74.xml" ContentType="application/vnd.openxmlformats-officedocument.spreadsheetml.worksheet+xml"/>
  <Override PartName="/xl/worksheets/sheet92.xml" ContentType="application/vnd.openxmlformats-officedocument.spreadsheetml.worksheet+xml"/>
  <Override PartName="/xl/worksheets/sheet111.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defaultThemeVersion="124226"/>
  <bookViews>
    <workbookView showSheetTabs="0" xWindow="90" yWindow="375" windowWidth="12120" windowHeight="8595" tabRatio="884"/>
  </bookViews>
  <sheets>
    <sheet name="Index Page" sheetId="25" r:id="rId1"/>
    <sheet name="Cement plug (2)" sheetId="143" r:id="rId2"/>
    <sheet name="Cement plug" sheetId="142" r:id="rId3"/>
    <sheet name="Bottle Capacity Required " sheetId="141" r:id="rId4"/>
    <sheet name="Minimum Flow Rate PDC bit" sheetId="139" r:id="rId5"/>
    <sheet name="Bit Aggressiveness" sheetId="138" r:id="rId6"/>
    <sheet name="MSE" sheetId="137" r:id="rId7"/>
    <sheet name="Cross flow velocity" sheetId="136" r:id="rId8"/>
    <sheet name="Impact Force" sheetId="135" r:id="rId9"/>
    <sheet name="HSI" sheetId="134" r:id="rId10"/>
    <sheet name="Bit Hydraulic HP" sheetId="133" r:id="rId11"/>
    <sheet name="Bit Nozzle Velocity" sheetId="132" r:id="rId12"/>
    <sheet name="Pressure drop across bit" sheetId="131" r:id="rId13"/>
    <sheet name="Time to bubble " sheetId="130" r:id="rId14"/>
    <sheet name="Increase in casing pressure" sheetId="129" r:id="rId15"/>
    <sheet name="Lube Increment" sheetId="140" r:id="rId16"/>
    <sheet name="Mud Increment" sheetId="126" r:id="rId17"/>
    <sheet name="Bottom hole pressure gas well" sheetId="125" r:id="rId18"/>
    <sheet name="solid density" sheetId="124" r:id="rId19"/>
    <sheet name="coring cost per foot" sheetId="123" r:id="rId20"/>
    <sheet name="Cutting Volume" sheetId="122" r:id="rId21"/>
    <sheet name="Max ROP" sheetId="121" r:id="rId22"/>
    <sheet name="Effective Mud Density" sheetId="120" r:id="rId23"/>
    <sheet name="Bouyancy Factor (2)" sheetId="119" r:id="rId24"/>
    <sheet name="Riser Margin" sheetId="114" r:id="rId25"/>
    <sheet name="New Pump P (2)" sheetId="115" r:id="rId26"/>
    <sheet name="New Pump P" sheetId="116" r:id="rId27"/>
    <sheet name="FCP" sheetId="117" r:id="rId28"/>
    <sheet name="ICP" sheetId="118" r:id="rId29"/>
    <sheet name="Drillstring Tensile" sheetId="113" r:id="rId30"/>
    <sheet name="PV YP" sheetId="112" r:id="rId31"/>
    <sheet name="Margin of Overpull" sheetId="110" r:id="rId32"/>
    <sheet name="Drill Collar Weight" sheetId="109" r:id="rId33"/>
    <sheet name="Pipe Elongation Temp" sheetId="108" r:id="rId34"/>
    <sheet name="ECD Yp (2)" sheetId="107" r:id="rId35"/>
    <sheet name="ECD Yp" sheetId="106" r:id="rId36"/>
    <sheet name="Total Bit Revolution" sheetId="105" r:id="rId37"/>
    <sheet name="Pressure drop across a bit" sheetId="104" r:id="rId38"/>
    <sheet name="Optimum Flow Rate-Basic System" sheetId="103" r:id="rId39"/>
    <sheet name="Critical Flow Rate" sheetId="102" r:id="rId40"/>
    <sheet name="CCI" sheetId="101" r:id="rId41"/>
    <sheet name="Reynold Number" sheetId="100" r:id="rId42"/>
    <sheet name="Power Law Constant" sheetId="99" r:id="rId43"/>
    <sheet name="Effective Viscosity" sheetId="98" r:id="rId44"/>
    <sheet name="P loss surface equipment" sheetId="95" r:id="rId45"/>
    <sheet name="P loss in annulus TJ correction" sheetId="97" r:id="rId46"/>
    <sheet name="P loss in annulus" sheetId="94" r:id="rId47"/>
    <sheet name="Ploss Drillstring TJ Correction" sheetId="96" r:id="rId48"/>
    <sheet name="Pressure Loss Drillstring" sheetId="93" r:id="rId49"/>
    <sheet name="TFA Table" sheetId="92" r:id="rId50"/>
    <sheet name="Surge Swab 2" sheetId="91" r:id="rId51"/>
    <sheet name="Surge Swab 1" sheetId="90" r:id="rId52"/>
    <sheet name="Cutting Slip Velocity 2" sheetId="89" r:id="rId53"/>
    <sheet name="Cutting Slip Velocity 1" sheetId="88" r:id="rId54"/>
    <sheet name="Max Pit Gain" sheetId="87" r:id="rId55"/>
    <sheet name="Max P gas influx" sheetId="86" r:id="rId56"/>
    <sheet name="HP loss gas cut mud" sheetId="85" r:id="rId57"/>
    <sheet name="Calculate Influx Height" sheetId="83" r:id="rId58"/>
    <sheet name="KWM" sheetId="82" r:id="rId59"/>
    <sheet name="Acutal Gas Migration Rate" sheetId="81" r:id="rId60"/>
    <sheet name="Estimate gas migration rate" sheetId="72" r:id="rId61"/>
    <sheet name="type of influx" sheetId="71" r:id="rId62"/>
    <sheet name="formation pressure well shut in" sheetId="70" r:id="rId63"/>
    <sheet name="Adjusting MASCIP" sheetId="69" r:id="rId64"/>
    <sheet name="max influx height" sheetId="68" r:id="rId65"/>
    <sheet name="Max shut in Pressure" sheetId="67" r:id="rId66"/>
    <sheet name="Max formation press" sheetId="66" r:id="rId67"/>
    <sheet name="max surface press" sheetId="65" r:id="rId68"/>
    <sheet name="KTF" sheetId="64" r:id="rId69"/>
    <sheet name="Trip Margin" sheetId="63" r:id="rId70"/>
    <sheet name="Lag Time" sheetId="61" r:id="rId71"/>
    <sheet name="Ton Miles" sheetId="60" r:id="rId72"/>
    <sheet name="d exponent" sheetId="59" r:id="rId73"/>
    <sheet name="Dilution LGS control" sheetId="58" r:id="rId74"/>
    <sheet name="Decrease oil water ratio" sheetId="57" r:id="rId75"/>
    <sheet name="Increase oil water ratio" sheetId="56" r:id="rId76"/>
    <sheet name="Oil water ratio" sheetId="55" r:id="rId77"/>
    <sheet name="density of oil-water mix" sheetId="54" r:id="rId78"/>
    <sheet name="Mix different density unlimit" sheetId="80" r:id="rId79"/>
    <sheet name="Mix different density limit" sheetId="53" r:id="rId80"/>
    <sheet name="Reduce mud weight" sheetId="52" r:id="rId81"/>
    <sheet name="Mud Calculation-Hematite" sheetId="51" r:id="rId82"/>
    <sheet name="Mud Calculation-Carbonate" sheetId="50" r:id="rId83"/>
    <sheet name="Mud Calculation-Barite" sheetId="49" r:id="rId84"/>
    <sheet name="Pressure to break CC" sheetId="47" r:id="rId85"/>
    <sheet name="light weight spot pill" sheetId="46" r:id="rId86"/>
    <sheet name="Loss HP due to loss returns" sheetId="45" r:id="rId87"/>
    <sheet name="Displacement" sheetId="43" r:id="rId88"/>
    <sheet name="Sutck Pipe Calculation" sheetId="41" r:id="rId89"/>
    <sheet name="accumulator capacity" sheetId="40" r:id="rId90"/>
    <sheet name="Inner Capacity" sheetId="38" r:id="rId91"/>
    <sheet name="Annular Capacity" sheetId="37" r:id="rId92"/>
    <sheet name="Cost Per Foot" sheetId="36" r:id="rId93"/>
    <sheet name="Pump Pressure and stroke" sheetId="35" r:id="rId94"/>
    <sheet name="Hydraulic Horse Power" sheetId="34" r:id="rId95"/>
    <sheet name="Formation Temperature" sheetId="33" r:id="rId96"/>
    <sheet name="Critial RPM" sheetId="31" r:id="rId97"/>
    <sheet name="ECD Calculation" sheetId="32" r:id="rId98"/>
    <sheet name="Annular Pressure Loss" sheetId="30" r:id="rId99"/>
    <sheet name="Angle Averaing Method" sheetId="79" r:id="rId100"/>
    <sheet name="Radius of Curvature Method" sheetId="77" r:id="rId101"/>
    <sheet name="Balanced Tangential Method" sheetId="78" r:id="rId102"/>
    <sheet name="Minimum Curvature Method" sheetId="76" r:id="rId103"/>
    <sheet name="Tangential Method" sheetId="29" r:id="rId104"/>
    <sheet name="Dogleg Radius C" sheetId="75" r:id="rId105"/>
    <sheet name="Dogleg Tangent" sheetId="28" r:id="rId106"/>
    <sheet name="Pressure and force" sheetId="27" r:id="rId107"/>
    <sheet name="LOT" sheetId="74" r:id="rId108"/>
    <sheet name="FIT" sheetId="73" r:id="rId109"/>
    <sheet name="ECD" sheetId="12" r:id="rId110"/>
    <sheet name="Specific Gravity (SG)" sheetId="11" r:id="rId111"/>
    <sheet name="Pressure to MW" sheetId="10" r:id="rId112"/>
    <sheet name="Slug Calculation" sheetId="19" r:id="rId113"/>
    <sheet name="Hydrostatic Pressure (HP)" sheetId="9" r:id="rId114"/>
    <sheet name="Annular Velocity (AV)" sheetId="14" r:id="rId115"/>
    <sheet name="Pump Out" sheetId="13" r:id="rId116"/>
    <sheet name="Bouyancy Factor" sheetId="16" r:id="rId117"/>
    <sheet name="Amount of cutting drilled" sheetId="15" r:id="rId118"/>
    <sheet name="Pressure Gradient" sheetId="8" r:id="rId119"/>
    <sheet name="Temp Convert" sheetId="21" r:id="rId120"/>
    <sheet name="Accumulator pressure" sheetId="22" r:id="rId121"/>
    <sheet name="Bulk Density Calculation" sheetId="23" r:id="rId122"/>
    <sheet name="ft pulled to lose HP" sheetId="39" r:id="rId123"/>
    <sheet name="HP decrease w POOH" sheetId="17" r:id="rId124"/>
    <sheet name="Depth of Washout" sheetId="26" r:id="rId125"/>
  </sheets>
  <definedNames>
    <definedName name="_xlnm.Print_Area" localSheetId="0">'Index Page'!$B$5:$C$117</definedName>
  </definedNames>
  <calcPr calcId="125725"/>
</workbook>
</file>

<file path=xl/calcChain.xml><?xml version="1.0" encoding="utf-8"?>
<calcChain xmlns="http://schemas.openxmlformats.org/spreadsheetml/2006/main">
  <c r="B7" i="130"/>
  <c r="B15" i="143"/>
  <c r="B12"/>
  <c r="B11"/>
  <c r="B13"/>
  <c r="B16"/>
  <c r="B10"/>
  <c r="A18" i="142"/>
  <c r="B18"/>
  <c r="B14"/>
  <c r="B13"/>
  <c r="B12"/>
  <c r="B11"/>
  <c r="B8" i="141"/>
  <c r="B7" i="140"/>
  <c r="B8"/>
  <c r="B4" i="139"/>
  <c r="B10" i="137"/>
  <c r="B6" i="138"/>
  <c r="B19" i="137"/>
  <c r="B7" i="136"/>
  <c r="B14" i="135"/>
  <c r="B7"/>
  <c r="B6" i="134"/>
  <c r="B6" i="133"/>
  <c r="B12" i="132"/>
  <c r="B6"/>
  <c r="B13" i="131"/>
  <c r="B7"/>
  <c r="B11" i="129"/>
  <c r="B12"/>
  <c r="B10"/>
  <c r="B13"/>
  <c r="B15"/>
  <c r="B7" i="126"/>
  <c r="B8"/>
  <c r="B7" i="125"/>
  <c r="B9" i="124"/>
  <c r="B11" i="123"/>
  <c r="B9" i="122"/>
  <c r="B8"/>
  <c r="B7"/>
  <c r="B10" i="121"/>
  <c r="B10" i="120"/>
  <c r="B9"/>
  <c r="B8"/>
  <c r="B9" i="119"/>
  <c r="B8"/>
  <c r="B10"/>
  <c r="B5" i="118"/>
  <c r="B6" i="117"/>
  <c r="B6" i="116"/>
  <c r="B6" i="115"/>
  <c r="B8" i="114"/>
  <c r="B8" i="113"/>
  <c r="B10"/>
  <c r="B6"/>
  <c r="B7"/>
  <c r="B9"/>
  <c r="B11"/>
  <c r="B5" i="112"/>
  <c r="B6"/>
  <c r="B6" i="110"/>
  <c r="B5"/>
  <c r="B18" i="109"/>
  <c r="B17"/>
  <c r="B8"/>
  <c r="B9"/>
  <c r="B7" i="108"/>
  <c r="B8"/>
  <c r="B6"/>
  <c r="B10" i="107"/>
  <c r="B12"/>
  <c r="B9"/>
  <c r="B11"/>
  <c r="B8" i="106"/>
  <c r="B9"/>
  <c r="B6" i="105"/>
  <c r="B5" i="104"/>
  <c r="B28" i="103"/>
  <c r="B25"/>
  <c r="B21"/>
  <c r="B12" i="97"/>
  <c r="B13"/>
  <c r="B15"/>
  <c r="B17"/>
  <c r="B22" i="103"/>
  <c r="B23"/>
  <c r="B24"/>
  <c r="B31"/>
  <c r="B26"/>
  <c r="B27"/>
  <c r="B30"/>
  <c r="B8" i="102"/>
  <c r="B9"/>
  <c r="B8" i="98"/>
  <c r="B9"/>
  <c r="B7" i="101"/>
  <c r="B8"/>
  <c r="B9"/>
  <c r="B10"/>
  <c r="B9" i="100"/>
  <c r="B5" i="99"/>
  <c r="B6"/>
  <c r="B14" i="97"/>
  <c r="B16"/>
  <c r="B10" i="94"/>
  <c r="B11"/>
  <c r="B11" i="96"/>
  <c r="B13"/>
  <c r="B12"/>
  <c r="B14"/>
  <c r="B15"/>
  <c r="B11" i="93"/>
  <c r="B13"/>
  <c r="B14"/>
  <c r="B10"/>
  <c r="B12"/>
  <c r="B6" i="95"/>
  <c r="B14" i="91"/>
  <c r="K26" i="92"/>
  <c r="J26"/>
  <c r="I26"/>
  <c r="H26"/>
  <c r="G26"/>
  <c r="F26"/>
  <c r="E26"/>
  <c r="D26"/>
  <c r="C26"/>
  <c r="K25"/>
  <c r="J25"/>
  <c r="I25"/>
  <c r="H25"/>
  <c r="G25"/>
  <c r="F25"/>
  <c r="E25"/>
  <c r="D25"/>
  <c r="C25"/>
  <c r="K24"/>
  <c r="J24"/>
  <c r="I24"/>
  <c r="H24"/>
  <c r="G24"/>
  <c r="F24"/>
  <c r="E24"/>
  <c r="D24"/>
  <c r="C24"/>
  <c r="K23"/>
  <c r="J23"/>
  <c r="I23"/>
  <c r="H23"/>
  <c r="G23"/>
  <c r="F23"/>
  <c r="E23"/>
  <c r="D23"/>
  <c r="C23"/>
  <c r="K22"/>
  <c r="J22"/>
  <c r="I22"/>
  <c r="H22"/>
  <c r="G22"/>
  <c r="F22"/>
  <c r="E22"/>
  <c r="D22"/>
  <c r="C22"/>
  <c r="K21"/>
  <c r="J21"/>
  <c r="I21"/>
  <c r="H21"/>
  <c r="G21"/>
  <c r="F21"/>
  <c r="E21"/>
  <c r="D21"/>
  <c r="C21"/>
  <c r="K20"/>
  <c r="J20"/>
  <c r="I20"/>
  <c r="H20"/>
  <c r="G20"/>
  <c r="F20"/>
  <c r="E20"/>
  <c r="D20"/>
  <c r="C20"/>
  <c r="K19"/>
  <c r="J19"/>
  <c r="I19"/>
  <c r="H19"/>
  <c r="G19"/>
  <c r="F19"/>
  <c r="E19"/>
  <c r="D19"/>
  <c r="C19"/>
  <c r="K18"/>
  <c r="J18"/>
  <c r="I18"/>
  <c r="H18"/>
  <c r="G18"/>
  <c r="F18"/>
  <c r="E18"/>
  <c r="D18"/>
  <c r="C18"/>
  <c r="K17"/>
  <c r="J17"/>
  <c r="I17"/>
  <c r="H17"/>
  <c r="G17"/>
  <c r="F17"/>
  <c r="E17"/>
  <c r="D17"/>
  <c r="C17"/>
  <c r="K16"/>
  <c r="J16"/>
  <c r="I16"/>
  <c r="H16"/>
  <c r="G16"/>
  <c r="F16"/>
  <c r="E16"/>
  <c r="D16"/>
  <c r="C16"/>
  <c r="K15"/>
  <c r="J15"/>
  <c r="I15"/>
  <c r="H15"/>
  <c r="G15"/>
  <c r="F15"/>
  <c r="E15"/>
  <c r="D15"/>
  <c r="C15"/>
  <c r="K14"/>
  <c r="J14"/>
  <c r="I14"/>
  <c r="H14"/>
  <c r="G14"/>
  <c r="F14"/>
  <c r="E14"/>
  <c r="D14"/>
  <c r="C14"/>
  <c r="K13"/>
  <c r="J13"/>
  <c r="I13"/>
  <c r="H13"/>
  <c r="G13"/>
  <c r="F13"/>
  <c r="E13"/>
  <c r="D13"/>
  <c r="C13"/>
  <c r="K12"/>
  <c r="J12"/>
  <c r="I12"/>
  <c r="H12"/>
  <c r="G12"/>
  <c r="F12"/>
  <c r="E12"/>
  <c r="D12"/>
  <c r="C12"/>
  <c r="K11"/>
  <c r="J11"/>
  <c r="I11"/>
  <c r="H11"/>
  <c r="G11"/>
  <c r="F11"/>
  <c r="E11"/>
  <c r="D11"/>
  <c r="C11"/>
  <c r="K10"/>
  <c r="J10"/>
  <c r="I10"/>
  <c r="H10"/>
  <c r="G10"/>
  <c r="F10"/>
  <c r="E10"/>
  <c r="D10"/>
  <c r="C10"/>
  <c r="K9"/>
  <c r="J9"/>
  <c r="I9"/>
  <c r="H9"/>
  <c r="G9"/>
  <c r="F9"/>
  <c r="E9"/>
  <c r="D9"/>
  <c r="C9"/>
  <c r="K8"/>
  <c r="J8"/>
  <c r="I8"/>
  <c r="H8"/>
  <c r="G8"/>
  <c r="F8"/>
  <c r="E8"/>
  <c r="D8"/>
  <c r="C8"/>
  <c r="K7"/>
  <c r="J7"/>
  <c r="I7"/>
  <c r="H7"/>
  <c r="G7"/>
  <c r="F7"/>
  <c r="E7"/>
  <c r="D7"/>
  <c r="C7"/>
  <c r="K6"/>
  <c r="J6"/>
  <c r="I6"/>
  <c r="H6"/>
  <c r="G6"/>
  <c r="F6"/>
  <c r="E6"/>
  <c r="D6"/>
  <c r="C6"/>
  <c r="K5"/>
  <c r="J5"/>
  <c r="I5"/>
  <c r="H5"/>
  <c r="G5"/>
  <c r="F5"/>
  <c r="E5"/>
  <c r="D5"/>
  <c r="C5"/>
  <c r="K4"/>
  <c r="J4"/>
  <c r="I4"/>
  <c r="H4"/>
  <c r="G4"/>
  <c r="F4"/>
  <c r="E4"/>
  <c r="D4"/>
  <c r="C4"/>
  <c r="K3"/>
  <c r="J3"/>
  <c r="I3"/>
  <c r="H3"/>
  <c r="G3"/>
  <c r="F3"/>
  <c r="E3"/>
  <c r="D3"/>
  <c r="C3"/>
  <c r="A24" i="90"/>
  <c r="B24"/>
  <c r="C24"/>
  <c r="A23"/>
  <c r="B23"/>
  <c r="B25"/>
  <c r="A20"/>
  <c r="B20"/>
  <c r="C20"/>
  <c r="A19"/>
  <c r="B19"/>
  <c r="B21" i="91"/>
  <c r="B22"/>
  <c r="B23"/>
  <c r="B25"/>
  <c r="B26"/>
  <c r="B17"/>
  <c r="B18"/>
  <c r="B19"/>
  <c r="B20"/>
  <c r="B24"/>
  <c r="B15"/>
  <c r="B16"/>
  <c r="B17" i="90"/>
  <c r="B18"/>
  <c r="B15" i="89"/>
  <c r="B12"/>
  <c r="B13"/>
  <c r="B14"/>
  <c r="B16"/>
  <c r="B17"/>
  <c r="D17"/>
  <c r="B12" i="88"/>
  <c r="B11"/>
  <c r="B13"/>
  <c r="D13"/>
  <c r="B7" i="87"/>
  <c r="B7" i="86"/>
  <c r="B6" i="85"/>
  <c r="B5" i="83"/>
  <c r="B6" i="82"/>
  <c r="B5" i="81"/>
  <c r="B7" i="80"/>
  <c r="B8"/>
  <c r="B11" i="79"/>
  <c r="B10"/>
  <c r="B9"/>
  <c r="B11" i="78"/>
  <c r="B10"/>
  <c r="B9"/>
  <c r="B11" i="77"/>
  <c r="B10"/>
  <c r="B9"/>
  <c r="B9" i="76"/>
  <c r="B10"/>
  <c r="B13"/>
  <c r="B7" i="75"/>
  <c r="B6" i="74"/>
  <c r="B5" i="73"/>
  <c r="B4" i="72"/>
  <c r="B5"/>
  <c r="B7" i="71"/>
  <c r="B8"/>
  <c r="B6" i="70"/>
  <c r="B7" i="69"/>
  <c r="B6" i="68"/>
  <c r="B6" i="67"/>
  <c r="B6" i="66"/>
  <c r="B5" i="65"/>
  <c r="B7" i="64"/>
  <c r="B6" i="63"/>
  <c r="B11" i="29"/>
  <c r="B10"/>
  <c r="B9"/>
  <c r="B15" i="59"/>
  <c r="B6" i="61"/>
  <c r="B5"/>
  <c r="B44" i="60"/>
  <c r="B38"/>
  <c r="B39"/>
  <c r="B30"/>
  <c r="B24"/>
  <c r="B15"/>
  <c r="B16"/>
  <c r="B18"/>
  <c r="B6" i="59"/>
  <c r="B16" i="58"/>
  <c r="B8"/>
  <c r="B21" i="19"/>
  <c r="B22"/>
  <c r="B20"/>
  <c r="B8"/>
  <c r="B10"/>
  <c r="B11"/>
  <c r="B9"/>
  <c r="B10" i="57"/>
  <c r="B11"/>
  <c r="B6"/>
  <c r="B7"/>
  <c r="B9" i="56"/>
  <c r="B6"/>
  <c r="B5"/>
  <c r="B7" i="55"/>
  <c r="B6"/>
  <c r="B8"/>
  <c r="B7" i="54"/>
  <c r="B8" i="53"/>
  <c r="B7"/>
  <c r="B7" i="52"/>
  <c r="B22" i="51"/>
  <c r="B14"/>
  <c r="B15"/>
  <c r="B6"/>
  <c r="B7"/>
  <c r="B22" i="50"/>
  <c r="B14"/>
  <c r="B15"/>
  <c r="B6"/>
  <c r="B7"/>
  <c r="B22" i="49"/>
  <c r="B14"/>
  <c r="B15"/>
  <c r="B6"/>
  <c r="B7"/>
  <c r="B16" i="47"/>
  <c r="B8"/>
  <c r="B6" i="46"/>
  <c r="A9"/>
  <c r="B8" i="45"/>
  <c r="B9"/>
  <c r="B10"/>
  <c r="B5" i="43"/>
  <c r="B19" i="41"/>
  <c r="B6"/>
  <c r="B11"/>
  <c r="B18" i="40"/>
  <c r="B8"/>
  <c r="A24" i="32"/>
  <c r="B15"/>
  <c r="B16"/>
  <c r="B18"/>
  <c r="B19"/>
  <c r="B17"/>
  <c r="B6" i="13"/>
  <c r="B8" i="30"/>
  <c r="B9"/>
  <c r="B15" i="39"/>
  <c r="B6"/>
  <c r="B9" i="16"/>
  <c r="B17" i="38"/>
  <c r="B13"/>
  <c r="B9"/>
  <c r="B5"/>
  <c r="B21" i="37"/>
  <c r="B16"/>
  <c r="B11"/>
  <c r="B6"/>
  <c r="B13" i="15"/>
  <c r="B17"/>
  <c r="B5" i="14"/>
  <c r="B8" i="36"/>
  <c r="B16" i="35"/>
  <c r="B20"/>
  <c r="B8"/>
  <c r="B5" i="34"/>
  <c r="B6" i="33"/>
  <c r="B7" i="31"/>
  <c r="B7" i="28"/>
  <c r="B4" i="27"/>
  <c r="B10"/>
  <c r="B17" i="26"/>
  <c r="B8"/>
  <c r="B10" i="23"/>
  <c r="B7" i="22"/>
  <c r="B15" i="21"/>
  <c r="B11"/>
  <c r="B7"/>
  <c r="B3"/>
  <c r="B8" i="17"/>
  <c r="B9"/>
  <c r="B20"/>
  <c r="B21"/>
  <c r="B5" i="16"/>
  <c r="B10" i="15"/>
  <c r="B6"/>
  <c r="B33" i="14"/>
  <c r="B27"/>
  <c r="B22"/>
  <c r="B15"/>
  <c r="B10"/>
  <c r="B13" i="13"/>
  <c r="B5" i="12"/>
  <c r="B19" i="11"/>
  <c r="B16"/>
  <c r="B13"/>
  <c r="B10"/>
  <c r="B7"/>
  <c r="B4"/>
  <c r="B9" i="10"/>
  <c r="B5"/>
  <c r="B17" i="9"/>
  <c r="B13"/>
  <c r="B9"/>
  <c r="B5"/>
  <c r="B19" i="8"/>
  <c r="B16"/>
  <c r="B13"/>
  <c r="B10"/>
  <c r="B7"/>
  <c r="B4"/>
  <c r="B12" i="76"/>
  <c r="C19" i="90"/>
  <c r="C23"/>
  <c r="B17" i="60"/>
  <c r="B26" i="90"/>
  <c r="B21"/>
  <c r="B22"/>
  <c r="B27"/>
  <c r="B20" i="32"/>
  <c r="C19"/>
  <c r="B11" i="76"/>
  <c r="B29" i="91"/>
  <c r="B30"/>
  <c r="B27"/>
  <c r="B28"/>
  <c r="B21" i="32"/>
  <c r="C17"/>
  <c r="B28" i="90"/>
  <c r="B29"/>
  <c r="B30"/>
  <c r="B31"/>
  <c r="B22" i="32"/>
  <c r="B23"/>
  <c r="B24"/>
  <c r="B14" i="129"/>
  <c r="B16" i="142"/>
  <c r="A17"/>
  <c r="B17"/>
  <c r="B19"/>
</calcChain>
</file>

<file path=xl/sharedStrings.xml><?xml version="1.0" encoding="utf-8"?>
<sst xmlns="http://schemas.openxmlformats.org/spreadsheetml/2006/main" count="2825" uniqueCount="1065">
  <si>
    <t>Convert temperature, °Fahrenheit (F) to °Celsius (C)</t>
  </si>
  <si>
    <t>F</t>
  </si>
  <si>
    <t>C</t>
  </si>
  <si>
    <t>Convert temperature, °Celsius (C) to °Fahrenheit</t>
  </si>
  <si>
    <t>Convert temperature, ° Celsius (C) to °Kelvin (K)</t>
  </si>
  <si>
    <t>Convert temperature, °Fahrenheit (F) to °Rankine (R)</t>
  </si>
  <si>
    <t>K</t>
  </si>
  <si>
    <t>R</t>
  </si>
  <si>
    <t>Accumulator Pre-charge Pressure</t>
  </si>
  <si>
    <t>P start</t>
  </si>
  <si>
    <t>P final</t>
  </si>
  <si>
    <t>Volume removed</t>
  </si>
  <si>
    <t>Volume total</t>
  </si>
  <si>
    <t>Average pre charge pressure</t>
  </si>
  <si>
    <t>Bulk Density of Cuttings by using Mud Balance</t>
  </si>
  <si>
    <t>Procedure to obtain RW:</t>
  </si>
  <si>
    <t>1. Cuttings must be washed free of mud. In oil base mud, diesel oil can be used instead of water.</t>
  </si>
  <si>
    <t>2. Set mud balance at 8.33 ppg.</t>
  </si>
  <si>
    <t>3. Fill the mud balance with cuttings until a balance is obtained with the lid in place.</t>
  </si>
  <si>
    <t>4. Remove lid, fill cup with water (cuttings included), replace lid, and dry outside of mud balance.</t>
  </si>
  <si>
    <t>RW, ppg</t>
  </si>
  <si>
    <t>Ton Mile Calculation</t>
  </si>
  <si>
    <t>Buoyancy factor</t>
  </si>
  <si>
    <t>Buoyancy Factor (BF)</t>
  </si>
  <si>
    <t>Back to the first page</t>
  </si>
  <si>
    <t>Slug Calculation</t>
  </si>
  <si>
    <t>Convert Temperature Unit</t>
  </si>
  <si>
    <t>Depth of washout</t>
  </si>
  <si>
    <t xml:space="preserve">Method 1: </t>
  </si>
  <si>
    <t>The concept of this method is to pump plugging material to plug the wash out. We will know how many stroks pump till pressure increase then we can calculate back where the washout is.</t>
  </si>
  <si>
    <t>Strokes pumped till pressure increase</t>
  </si>
  <si>
    <t>Internal capacity of drill pipe</t>
  </si>
  <si>
    <t xml:space="preserve">Pump output </t>
  </si>
  <si>
    <t>Method 2:</t>
  </si>
  <si>
    <t xml:space="preserve">The concept of this method is to pump material that can be easily observed from drill pipe pass through wash out into annulus and over the surface. We can calculate the depth of washout bases on the combination volume of internal drill pipe volume and annulus volume. </t>
  </si>
  <si>
    <t>Strokes pumped till material seen</t>
  </si>
  <si>
    <t>Annulus capacity</t>
  </si>
  <si>
    <t>Volume from bell nipple to shale shakers</t>
  </si>
  <si>
    <t>Pressure</t>
  </si>
  <si>
    <r>
      <t>in</t>
    </r>
    <r>
      <rPr>
        <vertAlign val="superscript"/>
        <sz val="10"/>
        <rFont val="Arial"/>
        <family val="2"/>
      </rPr>
      <t>2</t>
    </r>
  </si>
  <si>
    <t>Area</t>
  </si>
  <si>
    <t>Force</t>
  </si>
  <si>
    <t>lb</t>
  </si>
  <si>
    <t>Diameter</t>
  </si>
  <si>
    <t>or</t>
  </si>
  <si>
    <t>Survey1</t>
  </si>
  <si>
    <t>Survey2</t>
  </si>
  <si>
    <t>Dogleg severity</t>
  </si>
  <si>
    <t>Angle Averaging Method</t>
  </si>
  <si>
    <t>North</t>
  </si>
  <si>
    <t>East</t>
  </si>
  <si>
    <t>Vertical</t>
  </si>
  <si>
    <t>Depth (ft)</t>
  </si>
  <si>
    <t>Inclination (degree)</t>
  </si>
  <si>
    <t>Azimuth (degree)</t>
  </si>
  <si>
    <t>Radius of Curvature Method</t>
  </si>
  <si>
    <t>Direcional Survey Calculation</t>
  </si>
  <si>
    <t>degree/100 ft</t>
  </si>
  <si>
    <t>Annular Pressure Loss</t>
  </si>
  <si>
    <t>Dp, in</t>
  </si>
  <si>
    <t>Dh, in</t>
  </si>
  <si>
    <t>velocity, ft/min</t>
  </si>
  <si>
    <t>Critical RPM</t>
  </si>
  <si>
    <t>Critical RPM to prevent pipe failure due to high vibration</t>
  </si>
  <si>
    <t>Just rough estimate 15% accurate</t>
  </si>
  <si>
    <t>OD of drill pipe, inch</t>
  </si>
  <si>
    <t>ID of drill pipe, inch</t>
  </si>
  <si>
    <t>Length of one joint of drill pipe, ft</t>
  </si>
  <si>
    <t>Reading at 300</t>
  </si>
  <si>
    <t>Reading at 600</t>
  </si>
  <si>
    <t>PV</t>
  </si>
  <si>
    <t>Pump rate, gpm</t>
  </si>
  <si>
    <t>Hole diameter, in</t>
  </si>
  <si>
    <t>Drill pipe length, ft</t>
  </si>
  <si>
    <t>Drill pipe OD, in</t>
  </si>
  <si>
    <t>Drill collar length, ft</t>
  </si>
  <si>
    <t>Drill collar OD, in</t>
  </si>
  <si>
    <t>n</t>
  </si>
  <si>
    <t>Annular velocity around DC, ft/min</t>
  </si>
  <si>
    <t>Annular velocity around DP, ft/min</t>
  </si>
  <si>
    <t>Critical velocity around DP, ft/min</t>
  </si>
  <si>
    <t>Critical velocity around DC, ft/min</t>
  </si>
  <si>
    <t>Pressure loss around DC</t>
  </si>
  <si>
    <t>Pressure loss around DP</t>
  </si>
  <si>
    <t>Total annular pressure loss</t>
  </si>
  <si>
    <t>Formation Temperature, F</t>
  </si>
  <si>
    <t>Formation Temperature</t>
  </si>
  <si>
    <t>Surface Temperature, F</t>
  </si>
  <si>
    <t>Temperature Gradient, F/ft</t>
  </si>
  <si>
    <t>Formation Depth in TVD, ft</t>
  </si>
  <si>
    <t>Hydraulic Horse Power (HPP)</t>
  </si>
  <si>
    <t>Circulating Pressure, psi</t>
  </si>
  <si>
    <t>Flow rate, GPM</t>
  </si>
  <si>
    <t xml:space="preserve">Pump Pressure and Pump Stroke Relationship </t>
  </si>
  <si>
    <t>Basic Calculation</t>
  </si>
  <si>
    <t>New Pump Rate, SPM</t>
  </si>
  <si>
    <t>Old Pump Rate, SPM</t>
  </si>
  <si>
    <t>Current Circulating Pressure, psi</t>
  </si>
  <si>
    <t>New Circulating Pressure, psi</t>
  </si>
  <si>
    <t xml:space="preserve">Advanced calculation (Determine factor) </t>
  </si>
  <si>
    <t>Pressure 1, psi</t>
  </si>
  <si>
    <t>Flow rate1, gpm</t>
  </si>
  <si>
    <t>Pressure 2, psi</t>
  </si>
  <si>
    <t>Flow rate2, gpm</t>
  </si>
  <si>
    <t>Factor</t>
  </si>
  <si>
    <t>Cost Per Foot Calculation</t>
  </si>
  <si>
    <t>Bit cost (B), $</t>
  </si>
  <si>
    <t>Cost per foot , $/ft</t>
  </si>
  <si>
    <t>Round trip time (T), hrs</t>
  </si>
  <si>
    <t>Rotating time (t), hrs</t>
  </si>
  <si>
    <t>Footage per bit (F), ft</t>
  </si>
  <si>
    <t>Rig cost (CR), $/hr</t>
  </si>
  <si>
    <t>Hole size, casing ID in inch</t>
  </si>
  <si>
    <t>Drill pipe size, DC size or casing/tubing OD</t>
  </si>
  <si>
    <r>
      <t xml:space="preserve">Calculate annular capacity in </t>
    </r>
    <r>
      <rPr>
        <b/>
        <sz val="10"/>
        <color indexed="10"/>
        <rFont val="Arial"/>
        <family val="2"/>
      </rPr>
      <t>gal/ft</t>
    </r>
  </si>
  <si>
    <r>
      <t xml:space="preserve">Calculate annular capacity in </t>
    </r>
    <r>
      <rPr>
        <b/>
        <sz val="10"/>
        <color indexed="10"/>
        <rFont val="Arial"/>
        <family val="2"/>
      </rPr>
      <t>ft/bbl</t>
    </r>
  </si>
  <si>
    <r>
      <t xml:space="preserve">Calculate annular capacity in </t>
    </r>
    <r>
      <rPr>
        <b/>
        <sz val="10"/>
        <color indexed="10"/>
        <rFont val="Arial"/>
        <family val="2"/>
      </rPr>
      <t xml:space="preserve">bbl/ft </t>
    </r>
  </si>
  <si>
    <r>
      <t xml:space="preserve">Annular capacity, </t>
    </r>
    <r>
      <rPr>
        <sz val="10"/>
        <color indexed="10"/>
        <rFont val="Arial"/>
        <family val="2"/>
      </rPr>
      <t>gal/ft</t>
    </r>
  </si>
  <si>
    <r>
      <t xml:space="preserve">Annular capacity, </t>
    </r>
    <r>
      <rPr>
        <sz val="10"/>
        <color indexed="10"/>
        <rFont val="Arial"/>
        <family val="2"/>
      </rPr>
      <t>ft/bbl</t>
    </r>
  </si>
  <si>
    <r>
      <t xml:space="preserve">Annular capacity, </t>
    </r>
    <r>
      <rPr>
        <sz val="10"/>
        <color indexed="10"/>
        <rFont val="Arial"/>
        <family val="2"/>
      </rPr>
      <t xml:space="preserve">bbl/ft </t>
    </r>
  </si>
  <si>
    <r>
      <t xml:space="preserve">Calculate annular capacity in </t>
    </r>
    <r>
      <rPr>
        <b/>
        <sz val="10"/>
        <color indexed="10"/>
        <rFont val="Arial"/>
        <family val="2"/>
      </rPr>
      <t>ft/gal</t>
    </r>
  </si>
  <si>
    <r>
      <t xml:space="preserve">Annular capacity, </t>
    </r>
    <r>
      <rPr>
        <sz val="10"/>
        <color indexed="10"/>
        <rFont val="Arial"/>
        <family val="2"/>
      </rPr>
      <t>ft/gal</t>
    </r>
  </si>
  <si>
    <t>Calculate inner capacity of open hole, inside cylindrical objects such as tubulars, drill pipe, drill collars, tubing, casing etc</t>
  </si>
  <si>
    <t>Hole size, Casing ID, Tubing ID, etc</t>
  </si>
  <si>
    <t xml:space="preserve">Annular Capacity </t>
  </si>
  <si>
    <t>Pump out (both duplex and triplex pump)</t>
  </si>
  <si>
    <r>
      <t xml:space="preserve">Calculate capacity in </t>
    </r>
    <r>
      <rPr>
        <b/>
        <sz val="10"/>
        <color indexed="10"/>
        <rFont val="Arial"/>
        <family val="2"/>
      </rPr>
      <t>bbl/ft</t>
    </r>
  </si>
  <si>
    <r>
      <t xml:space="preserve">Capacity in </t>
    </r>
    <r>
      <rPr>
        <sz val="10"/>
        <color indexed="10"/>
        <rFont val="Arial"/>
        <family val="2"/>
      </rPr>
      <t>bbl/ft</t>
    </r>
  </si>
  <si>
    <r>
      <t xml:space="preserve">Calculate capacity in </t>
    </r>
    <r>
      <rPr>
        <b/>
        <sz val="10"/>
        <color indexed="10"/>
        <rFont val="Arial"/>
        <family val="2"/>
      </rPr>
      <t>ft/bbl</t>
    </r>
  </si>
  <si>
    <r>
      <t>Capacity in</t>
    </r>
    <r>
      <rPr>
        <sz val="10"/>
        <color indexed="10"/>
        <rFont val="Arial"/>
        <family val="2"/>
      </rPr>
      <t xml:space="preserve"> ft/bbl</t>
    </r>
  </si>
  <si>
    <r>
      <t xml:space="preserve">Calculate capacity in </t>
    </r>
    <r>
      <rPr>
        <b/>
        <sz val="10"/>
        <color indexed="10"/>
        <rFont val="Arial"/>
        <family val="2"/>
      </rPr>
      <t>gal/ft</t>
    </r>
  </si>
  <si>
    <r>
      <t xml:space="preserve">Capacity in </t>
    </r>
    <r>
      <rPr>
        <sz val="10"/>
        <color indexed="10"/>
        <rFont val="Arial"/>
        <family val="2"/>
      </rPr>
      <t>gal/ft</t>
    </r>
  </si>
  <si>
    <r>
      <t xml:space="preserve">Calculate capacity in </t>
    </r>
    <r>
      <rPr>
        <b/>
        <sz val="10"/>
        <color indexed="10"/>
        <rFont val="Arial"/>
        <family val="2"/>
      </rPr>
      <t>ft/gal</t>
    </r>
  </si>
  <si>
    <r>
      <t xml:space="preserve">Capacity in </t>
    </r>
    <r>
      <rPr>
        <sz val="10"/>
        <color indexed="10"/>
        <rFont val="Arial"/>
        <family val="2"/>
      </rPr>
      <t>ft/gal</t>
    </r>
  </si>
  <si>
    <t>Buoyancy factor using mud weight, PPG</t>
  </si>
  <si>
    <r>
      <t>Buoyancy factor using mud weight, lb/ft</t>
    </r>
    <r>
      <rPr>
        <b/>
        <vertAlign val="superscript"/>
        <sz val="12"/>
        <rFont val="Arial"/>
        <family val="2"/>
      </rPr>
      <t>3</t>
    </r>
  </si>
  <si>
    <t>How many feet of drill pipe pulled to lose certain amount of hydrostatic pressure (psi)</t>
  </si>
  <si>
    <t>Hydrostatic pressure to lose</t>
  </si>
  <si>
    <t>Length in ft</t>
  </si>
  <si>
    <t>Mud Weight in ppg</t>
  </si>
  <si>
    <t>Flow rate in GPM</t>
  </si>
  <si>
    <t>P loss annular in psi</t>
  </si>
  <si>
    <t>TVD, ft</t>
  </si>
  <si>
    <t>Volume per bottle</t>
  </si>
  <si>
    <t>Pre-charge pressure</t>
  </si>
  <si>
    <t>Minimum System Pressure</t>
  </si>
  <si>
    <t>Operating Pressure</t>
  </si>
  <si>
    <t>Pressure gradient of hydraulic fluid</t>
  </si>
  <si>
    <t>Water depth</t>
  </si>
  <si>
    <t>Suface Application</t>
  </si>
  <si>
    <t>Subsea Application</t>
  </si>
  <si>
    <t>gal</t>
  </si>
  <si>
    <t>Accumulator Capacity</t>
  </si>
  <si>
    <t>Usable Volume per bottle</t>
  </si>
  <si>
    <t>Stretch in inch</t>
  </si>
  <si>
    <t>Free point constant</t>
  </si>
  <si>
    <t>Pull force in Klb</t>
  </si>
  <si>
    <t>Depth of stuck pipe</t>
  </si>
  <si>
    <t>Klb</t>
  </si>
  <si>
    <t>inch</t>
  </si>
  <si>
    <t>Free Point Constant (FPC) calculation</t>
  </si>
  <si>
    <t>FPC</t>
  </si>
  <si>
    <t>Outside Diameter</t>
  </si>
  <si>
    <t>Inside Diameter</t>
  </si>
  <si>
    <t>Sutck Pipe Calculation (in case of not know Free Point Constant (FPC))</t>
  </si>
  <si>
    <t>Displacment of plain pipe such as casing, tubing, etc.</t>
  </si>
  <si>
    <t>OD</t>
  </si>
  <si>
    <t>ID</t>
  </si>
  <si>
    <t>Displacment in bbl/ft</t>
  </si>
  <si>
    <t>%</t>
  </si>
  <si>
    <t>Loss of hydrostatic pressure due to filling water into annulus in case of lost return</t>
  </si>
  <si>
    <t>Water Weight in ppg</t>
  </si>
  <si>
    <t>Current Mud Weight in ppg</t>
  </si>
  <si>
    <t>Water filled into annulus in bbl</t>
  </si>
  <si>
    <t>Annular Capacity in bbl/ft</t>
  </si>
  <si>
    <t>TVD in ft</t>
  </si>
  <si>
    <t>Feet of water in annuls</t>
  </si>
  <si>
    <t>Hydrostaic Pressure decrease</t>
  </si>
  <si>
    <t>Equivalent Mud Weigth at TD</t>
  </si>
  <si>
    <t>Calculated cells</t>
  </si>
  <si>
    <t>Current mud weight, ppg</t>
  </si>
  <si>
    <t>Overblance with current mud weight, psi</t>
  </si>
  <si>
    <t>Weigth of light weight pill, ppg</t>
  </si>
  <si>
    <t>Height of light weight pill, ft, in annulus</t>
  </si>
  <si>
    <t>Light weight spot fill to balance formation pressure</t>
  </si>
  <si>
    <t>Pressure required to break circulation</t>
  </si>
  <si>
    <t>10 min get strenght of mud, lb/100 sq ft</t>
  </si>
  <si>
    <t>Inside diameter of drill pipe in inch</t>
  </si>
  <si>
    <t>Length of drill string in ft</t>
  </si>
  <si>
    <t>Pressure required to break circulation inside drill string</t>
  </si>
  <si>
    <t>lb/100 sq ft</t>
  </si>
  <si>
    <r>
      <t xml:space="preserve">Pressure required overcoming the mud’s gel strength </t>
    </r>
    <r>
      <rPr>
        <b/>
        <sz val="10"/>
        <color indexed="10"/>
        <rFont val="Arial"/>
        <family val="2"/>
      </rPr>
      <t>in the annulus.</t>
    </r>
  </si>
  <si>
    <t>Hole diameter in inch</t>
  </si>
  <si>
    <t>Outside diameter of drill pipe in inch</t>
  </si>
  <si>
    <r>
      <t>Pressure required overcoming the mud’s gel strength</t>
    </r>
    <r>
      <rPr>
        <b/>
        <sz val="10"/>
        <color indexed="10"/>
        <rFont val="Arial"/>
        <family val="2"/>
      </rPr>
      <t xml:space="preserve"> inside</t>
    </r>
    <r>
      <rPr>
        <b/>
        <sz val="10"/>
        <rFont val="Arial"/>
        <family val="2"/>
      </rPr>
      <t xml:space="preserve"> the drill string.</t>
    </r>
  </si>
  <si>
    <r>
      <t>How many feet of drill pipe pulled to lose certain amount of hydrostatic pressure (psi) when</t>
    </r>
    <r>
      <rPr>
        <b/>
        <u/>
        <sz val="12"/>
        <color indexed="10"/>
        <rFont val="Arial"/>
        <family val="2"/>
      </rPr>
      <t xml:space="preserve"> pull wet.</t>
    </r>
  </si>
  <si>
    <r>
      <t xml:space="preserve">How many feet of drill pipe pulled to lose certain amount of hydrostatic pressure (psi) when </t>
    </r>
    <r>
      <rPr>
        <b/>
        <u/>
        <sz val="12"/>
        <color indexed="10"/>
        <rFont val="Arial"/>
        <family val="2"/>
      </rPr>
      <t>pull dry.</t>
    </r>
  </si>
  <si>
    <t>Current Mud Weight, ppg</t>
  </si>
  <si>
    <t>New Mud Weight, ppg</t>
  </si>
  <si>
    <t xml:space="preserve">Sacks of Barite per 100 bbl of mud </t>
  </si>
  <si>
    <t xml:space="preserve">Volume in bbl increase per 100 bbl of mud </t>
  </si>
  <si>
    <t>Total mud in the system</t>
  </si>
  <si>
    <t>Total volume increase in bbl</t>
  </si>
  <si>
    <t>Total sacks of barite required</t>
  </si>
  <si>
    <t>sacks</t>
  </si>
  <si>
    <t>Final volume in bbl</t>
  </si>
  <si>
    <t>New Mud Weight in ppg</t>
  </si>
  <si>
    <t>Starting volume in bbl</t>
  </si>
  <si>
    <t>Increase mud weight by adding Hematite</t>
  </si>
  <si>
    <t>Increase mud weight by adding Barite</t>
  </si>
  <si>
    <t>Increase mud weight by adding Calcium Carbonate</t>
  </si>
  <si>
    <t>Reduce mud weight (dilution)</t>
  </si>
  <si>
    <t>Start drilling fluid weight in ppg (W1)</t>
  </si>
  <si>
    <t>Final drilling fluid weight in ppg (W2)</t>
  </si>
  <si>
    <t>Density of light weight fluid in ppg (Dw)</t>
  </si>
  <si>
    <t>Light weight fluid required in bbl</t>
  </si>
  <si>
    <t>Strating volume (V1) in bbl</t>
  </si>
  <si>
    <r>
      <t xml:space="preserve">Increase Mud Density by adding </t>
    </r>
    <r>
      <rPr>
        <b/>
        <u/>
        <sz val="16"/>
        <color indexed="10"/>
        <rFont val="Arial"/>
        <family val="2"/>
      </rPr>
      <t>Hematite</t>
    </r>
  </si>
  <si>
    <r>
      <t xml:space="preserve">Volume of mud in bbl increase due to mud weight increase by adding </t>
    </r>
    <r>
      <rPr>
        <b/>
        <u/>
        <sz val="14"/>
        <color indexed="10"/>
        <rFont val="Arial"/>
        <family val="2"/>
      </rPr>
      <t>Hematite</t>
    </r>
  </si>
  <si>
    <r>
      <t xml:space="preserve">Starting volume in bbl of original mud weight required to achieve a predetermined final volume of desired mud weight with </t>
    </r>
    <r>
      <rPr>
        <b/>
        <u/>
        <sz val="14"/>
        <color indexed="10"/>
        <rFont val="Arial"/>
        <family val="2"/>
      </rPr>
      <t>Hematite</t>
    </r>
  </si>
  <si>
    <r>
      <t xml:space="preserve">Starting volume in bbl of original mud weight required to achieve a predetermined final volume of desired mud weight with </t>
    </r>
    <r>
      <rPr>
        <b/>
        <u/>
        <sz val="14"/>
        <color indexed="10"/>
        <rFont val="Arial"/>
        <family val="2"/>
      </rPr>
      <t>Carbonate</t>
    </r>
  </si>
  <si>
    <r>
      <t xml:space="preserve">Volume of mud in bbl increase due to mud weight increase by adding </t>
    </r>
    <r>
      <rPr>
        <b/>
        <u/>
        <sz val="14"/>
        <color indexed="10"/>
        <rFont val="Arial"/>
        <family val="2"/>
      </rPr>
      <t>Carbonate</t>
    </r>
  </si>
  <si>
    <r>
      <t xml:space="preserve">Increase Mud Density by adding </t>
    </r>
    <r>
      <rPr>
        <b/>
        <u/>
        <sz val="16"/>
        <color indexed="10"/>
        <rFont val="Arial"/>
        <family val="2"/>
      </rPr>
      <t>Carbonate</t>
    </r>
  </si>
  <si>
    <r>
      <t xml:space="preserve">Starting volume in bbl of original mud weight required to achieve a predetermined final volume of desired mud weight with </t>
    </r>
    <r>
      <rPr>
        <b/>
        <u/>
        <sz val="14"/>
        <color indexed="10"/>
        <rFont val="Arial"/>
        <family val="2"/>
      </rPr>
      <t>Barite</t>
    </r>
  </si>
  <si>
    <r>
      <t xml:space="preserve">Volume of mud in bbl increase due to mud weight increase by adding </t>
    </r>
    <r>
      <rPr>
        <b/>
        <u/>
        <sz val="14"/>
        <color indexed="10"/>
        <rFont val="Arial"/>
        <family val="2"/>
      </rPr>
      <t>Barite</t>
    </r>
  </si>
  <si>
    <r>
      <t xml:space="preserve">Increase Mud Density by adding </t>
    </r>
    <r>
      <rPr>
        <b/>
        <u/>
        <sz val="14"/>
        <color indexed="10"/>
        <rFont val="Arial"/>
        <family val="2"/>
      </rPr>
      <t>Barite</t>
    </r>
  </si>
  <si>
    <t>Final Volume</t>
  </si>
  <si>
    <t>Mud Weight#1</t>
  </si>
  <si>
    <t>Mud Weight#2</t>
  </si>
  <si>
    <t>Final Mud Weight</t>
  </si>
  <si>
    <t>Volume of Mud#1</t>
  </si>
  <si>
    <t>Volume of Mud#2</t>
  </si>
  <si>
    <t>Total volume</t>
  </si>
  <si>
    <t xml:space="preserve">Determine the density of oil/water mixture </t>
  </si>
  <si>
    <t>Percentage of oil</t>
  </si>
  <si>
    <t xml:space="preserve">Percentage of water </t>
  </si>
  <si>
    <t>Density of oil</t>
  </si>
  <si>
    <t>Density of water</t>
  </si>
  <si>
    <t xml:space="preserve">Final density </t>
  </si>
  <si>
    <t xml:space="preserve">% by volume oil </t>
  </si>
  <si>
    <t>% by volume water</t>
  </si>
  <si>
    <t xml:space="preserve">% by volume solids </t>
  </si>
  <si>
    <t>Determine oil water ratio from a retort analysis</t>
  </si>
  <si>
    <t>% oil in liquid phase</t>
  </si>
  <si>
    <t>% water in liquid phase</t>
  </si>
  <si>
    <t>Oil/Water ratio</t>
  </si>
  <si>
    <t>Increase oil water ratio</t>
  </si>
  <si>
    <t>Oil added per 100 bbl of original mud</t>
  </si>
  <si>
    <r>
      <t xml:space="preserve">% </t>
    </r>
    <r>
      <rPr>
        <sz val="10"/>
        <color indexed="10"/>
        <rFont val="Arial"/>
        <family val="2"/>
      </rPr>
      <t>original</t>
    </r>
    <r>
      <rPr>
        <sz val="10"/>
        <rFont val="Arial"/>
        <family val="2"/>
      </rPr>
      <t xml:space="preserve"> oil in liquid phase</t>
    </r>
  </si>
  <si>
    <r>
      <t xml:space="preserve">% </t>
    </r>
    <r>
      <rPr>
        <sz val="10"/>
        <color indexed="10"/>
        <rFont val="Arial"/>
        <family val="2"/>
      </rPr>
      <t>original</t>
    </r>
    <r>
      <rPr>
        <sz val="10"/>
        <rFont val="Arial"/>
        <family val="2"/>
      </rPr>
      <t xml:space="preserve"> water in liquid phase</t>
    </r>
  </si>
  <si>
    <r>
      <t xml:space="preserve">% </t>
    </r>
    <r>
      <rPr>
        <sz val="10"/>
        <color indexed="12"/>
        <rFont val="Arial"/>
        <family val="2"/>
      </rPr>
      <t>new</t>
    </r>
    <r>
      <rPr>
        <sz val="10"/>
        <rFont val="Arial"/>
        <family val="2"/>
      </rPr>
      <t xml:space="preserve"> oil in liquip phase</t>
    </r>
  </si>
  <si>
    <r>
      <t xml:space="preserve">% </t>
    </r>
    <r>
      <rPr>
        <sz val="10"/>
        <color indexed="12"/>
        <rFont val="Arial"/>
        <family val="2"/>
      </rPr>
      <t>new</t>
    </r>
    <r>
      <rPr>
        <sz val="10"/>
        <rFont val="Arial"/>
        <family val="2"/>
      </rPr>
      <t xml:space="preserve"> water in liquid phase</t>
    </r>
  </si>
  <si>
    <r>
      <t xml:space="preserve">% </t>
    </r>
    <r>
      <rPr>
        <sz val="10"/>
        <color indexed="12"/>
        <rFont val="Arial"/>
        <family val="2"/>
      </rPr>
      <t>new</t>
    </r>
    <r>
      <rPr>
        <sz val="10"/>
        <rFont val="Arial"/>
        <family val="2"/>
      </rPr>
      <t xml:space="preserve"> oil in liquip phase</t>
    </r>
  </si>
  <si>
    <r>
      <t xml:space="preserve">% </t>
    </r>
    <r>
      <rPr>
        <sz val="10"/>
        <color indexed="12"/>
        <rFont val="Arial"/>
        <family val="2"/>
      </rPr>
      <t>new</t>
    </r>
    <r>
      <rPr>
        <sz val="10"/>
        <rFont val="Arial"/>
        <family val="2"/>
      </rPr>
      <t xml:space="preserve"> water in liquid phase</t>
    </r>
  </si>
  <si>
    <t>Decrease oil water ratio</t>
  </si>
  <si>
    <r>
      <t>Water</t>
    </r>
    <r>
      <rPr>
        <sz val="10"/>
        <rFont val="Arial"/>
        <family val="2"/>
      </rPr>
      <t xml:space="preserve"> added per </t>
    </r>
    <r>
      <rPr>
        <sz val="10"/>
        <color indexed="10"/>
        <rFont val="Arial"/>
        <family val="2"/>
      </rPr>
      <t>100</t>
    </r>
    <r>
      <rPr>
        <sz val="10"/>
        <rFont val="Arial"/>
        <family val="2"/>
      </rPr>
      <t xml:space="preserve"> bbl of original mud</t>
    </r>
  </si>
  <si>
    <t>Total mud volume, bbl</t>
  </si>
  <si>
    <t>Total volume of water added into the system</t>
  </si>
  <si>
    <t>Dilution to control LGS</t>
  </si>
  <si>
    <t>Dilution to Control LGS</t>
  </si>
  <si>
    <t>1st case: Dilution by adding base fluid or water</t>
  </si>
  <si>
    <t>Total barrels of mud in circulating system</t>
  </si>
  <si>
    <t>Percent low gravity solids in system</t>
  </si>
  <si>
    <t>Percent total low gravity solids desired</t>
  </si>
  <si>
    <t>Barrels of dilution water or base fluid</t>
  </si>
  <si>
    <t>2nd case: Dilution by adding drilling fluid</t>
  </si>
  <si>
    <t xml:space="preserve">Percent low gravity solids bentonite and/or chemicals added in mud </t>
  </si>
  <si>
    <t xml:space="preserve">Rate of penetration (R) </t>
  </si>
  <si>
    <t xml:space="preserve">Rotary drilling speed (N) </t>
  </si>
  <si>
    <t xml:space="preserve">Weight on bit (W) </t>
  </si>
  <si>
    <t xml:space="preserve">Bit Diameter (D) </t>
  </si>
  <si>
    <t>“d” Exponent</t>
  </si>
  <si>
    <t>f/hr</t>
  </si>
  <si>
    <t>rpm</t>
  </si>
  <si>
    <t>klb</t>
  </si>
  <si>
    <t>D-exponent, dimensionless</t>
  </si>
  <si>
    <t>Formation Pressure from Kick Analysis</t>
  </si>
  <si>
    <t>Shut in drill pipe pressure</t>
  </si>
  <si>
    <t>Formation Pressure</t>
  </si>
  <si>
    <t>Round-trip ton-mile</t>
  </si>
  <si>
    <t>Drillpipe weight</t>
  </si>
  <si>
    <t>drill collar weight</t>
  </si>
  <si>
    <t>drill collar length</t>
  </si>
  <si>
    <t>HWDP weight</t>
  </si>
  <si>
    <t>HWDP length</t>
  </si>
  <si>
    <t>BHA weight in air</t>
  </si>
  <si>
    <t>lb/ft</t>
  </si>
  <si>
    <t>Buoyed weight of drill pipe (Wp)</t>
  </si>
  <si>
    <t>Length of BHA</t>
  </si>
  <si>
    <t>Buoyed weight of BHA (drill collar + heavy weight drill pipe + BHA) in mud minus the buoyed weight of the same length of drill pipe (Wc)</t>
  </si>
  <si>
    <t>Ton mile</t>
  </si>
  <si>
    <r>
      <t xml:space="preserve">Round-trip ton-mile (RT </t>
    </r>
    <r>
      <rPr>
        <b/>
        <sz val="8"/>
        <color indexed="10"/>
        <rFont val="Arial"/>
        <family val="2"/>
      </rPr>
      <t>TM</t>
    </r>
    <r>
      <rPr>
        <b/>
        <sz val="10"/>
        <color indexed="10"/>
        <rFont val="Arial"/>
        <family val="2"/>
      </rPr>
      <t>)</t>
    </r>
  </si>
  <si>
    <t>Average length of one stand (Lp)</t>
  </si>
  <si>
    <t>Block weight (Wb)</t>
  </si>
  <si>
    <t>Measured depth (D)</t>
  </si>
  <si>
    <t>Ton-miles for one round trip of last depth before coming out of hole. (T2)</t>
  </si>
  <si>
    <t>Ton-miles for one round trip of first depth that drilling is started. (T1)</t>
  </si>
  <si>
    <t>Ton-miles for drilling (Td)</t>
  </si>
  <si>
    <t>ton-miles</t>
  </si>
  <si>
    <t>Ton-miles for Coring Operation</t>
  </si>
  <si>
    <t>Drilling or Connection Ton-miles</t>
  </si>
  <si>
    <t>Ton-miles for one round trip at depth where coring operation stopped before coming out of hole (T4)</t>
  </si>
  <si>
    <t>Ton-miles for one round trip at depth where coring get started (T3)</t>
  </si>
  <si>
    <t>Ton-miles for drilling (TC)</t>
  </si>
  <si>
    <t>Ton-Miles for Setting Casing</t>
  </si>
  <si>
    <t>Casing weight</t>
  </si>
  <si>
    <t>Depht of casing set</t>
  </si>
  <si>
    <t>Travelling block weight</t>
  </si>
  <si>
    <t>Length of one joint of casing</t>
  </si>
  <si>
    <t>Ton-Miles for Short Trip</t>
  </si>
  <si>
    <t>Ton-miles for one round trip at the deeper depth(T6)</t>
  </si>
  <si>
    <t>Ton-miles for one round trip at the shallower depth (T5)</t>
  </si>
  <si>
    <t>Lag time</t>
  </si>
  <si>
    <t xml:space="preserve">Pump Output </t>
  </si>
  <si>
    <t>bbl/stroke</t>
  </si>
  <si>
    <t>Pump speed</t>
  </si>
  <si>
    <t>GPM</t>
  </si>
  <si>
    <t xml:space="preserve">Lag time in minutes </t>
  </si>
  <si>
    <t xml:space="preserve">Lag time in strokes </t>
  </si>
  <si>
    <t>minutes</t>
  </si>
  <si>
    <t>Lag Time Calculation</t>
  </si>
  <si>
    <t>“d” Exponent Corrected</t>
  </si>
  <si>
    <t>Initial mud weight in ppg (MW1)</t>
  </si>
  <si>
    <t>Actual mud weight in ppg (MW2)</t>
  </si>
  <si>
    <t>Original Mud Weight</t>
  </si>
  <si>
    <t>Current Mud Weight</t>
  </si>
  <si>
    <t>New MASICP</t>
  </si>
  <si>
    <t>Maximum allowable shut in casing pressure</t>
  </si>
  <si>
    <t>Hole TVD</t>
  </si>
  <si>
    <t>Maximum formation pressure</t>
  </si>
  <si>
    <t>Leak off test pressure</t>
  </si>
  <si>
    <t>Casing shoe depth</t>
  </si>
  <si>
    <t>Maximum influx height</t>
  </si>
  <si>
    <t>Maximum possible influx height when equal to maximum allowable shut in casing pressure</t>
  </si>
  <si>
    <t>Maximum Allowable Shut-In Casing Pressure (MASICP)</t>
  </si>
  <si>
    <t>Mud gradient</t>
  </si>
  <si>
    <t>Influx gradient</t>
  </si>
  <si>
    <t xml:space="preserve">Maximum possible influx height </t>
  </si>
  <si>
    <t>Trip margin</t>
  </si>
  <si>
    <t>Trip margin calculation</t>
  </si>
  <si>
    <t>Mud Yield Point</t>
  </si>
  <si>
    <t>Hole Diameter</t>
  </si>
  <si>
    <t>Drillpipe Diameter</t>
  </si>
  <si>
    <t>Trip Margin</t>
  </si>
  <si>
    <t>Kick tolerance factor (KTF)</t>
  </si>
  <si>
    <t>Well depth TVD</t>
  </si>
  <si>
    <t>Casing shoe TVD</t>
  </si>
  <si>
    <t>Maximum allowable mud weight</t>
  </si>
  <si>
    <t>Current mud weight</t>
  </si>
  <si>
    <t>Maximum pressure</t>
  </si>
  <si>
    <t>Kick tolerance factor</t>
  </si>
  <si>
    <t>Maximum surface pressure from kick tolerance information</t>
  </si>
  <si>
    <t>Bottom hole, TVD</t>
  </si>
  <si>
    <t>Maximum formation pressure (FP)</t>
  </si>
  <si>
    <t>Maximum formation pressure that can wistand when shut in the well.</t>
  </si>
  <si>
    <t>Tangential Method</t>
  </si>
  <si>
    <t>Balanced Tangential Method</t>
  </si>
  <si>
    <t>Minimum Curvature Method</t>
  </si>
  <si>
    <t>β</t>
  </si>
  <si>
    <t>radians</t>
  </si>
  <si>
    <t>RF</t>
  </si>
  <si>
    <t>bbl/ft</t>
  </si>
  <si>
    <t>bbl/stk</t>
  </si>
  <si>
    <t>strokes</t>
  </si>
  <si>
    <t>bbl</t>
  </si>
  <si>
    <t>in</t>
  </si>
  <si>
    <t>ft</t>
  </si>
  <si>
    <t>psi</t>
  </si>
  <si>
    <t>Pressure Gradient</t>
  </si>
  <si>
    <t>Pressure gradient (psi/ft)</t>
  </si>
  <si>
    <t>PPG</t>
  </si>
  <si>
    <t>psi/ft</t>
  </si>
  <si>
    <t>calculated cells</t>
  </si>
  <si>
    <t>Input cells</t>
  </si>
  <si>
    <t>Pressure gradient, psi/ft, using mud weight, ppg</t>
  </si>
  <si>
    <t>lb/ft3</t>
  </si>
  <si>
    <t>Pressure gradient, psi/ft, using mud weight, specific gravity (SG)</t>
  </si>
  <si>
    <t>MW sg</t>
  </si>
  <si>
    <t>Convert pressure gradient, psi/ft, to mud weight, ppg</t>
  </si>
  <si>
    <t>MW (ppg)</t>
  </si>
  <si>
    <t>MW (lb/ft3)</t>
  </si>
  <si>
    <t>Specific Gravity</t>
  </si>
  <si>
    <t>Hydrostatic Pressure (HP)</t>
  </si>
  <si>
    <t>Hydrostatic pressure using ppg and feet as the units of measure</t>
  </si>
  <si>
    <t>Mud weight</t>
  </si>
  <si>
    <t>TVD (ft)</t>
  </si>
  <si>
    <t>ppg</t>
  </si>
  <si>
    <t>Pressure (psi)</t>
  </si>
  <si>
    <t>Hydrostatic pressure, psi, using pressure gradient, psi/ft</t>
  </si>
  <si>
    <t>Hydrostatic Pressure (psi)</t>
  </si>
  <si>
    <t>Mud weight (lb/ft3)</t>
  </si>
  <si>
    <t>Hydrostatic pressure, psi, using meters as unit of depth</t>
  </si>
  <si>
    <t>TVD (m)</t>
  </si>
  <si>
    <t>m</t>
  </si>
  <si>
    <t>Converting Pressure into Mud Weight</t>
  </si>
  <si>
    <t>Convert pressure, psi, into mud weight, ppg using feet as the unit of measure</t>
  </si>
  <si>
    <t>Convert pressure, psi, into mud weight, ppg using meters as the unit of measure</t>
  </si>
  <si>
    <t>Specific Gravity (SG)</t>
  </si>
  <si>
    <t>Specific gravity using mud weight, ppg</t>
  </si>
  <si>
    <t>SG</t>
  </si>
  <si>
    <t>Mud weight (ppg)</t>
  </si>
  <si>
    <t>Specific gravity using pressure gradient, psi/ft</t>
  </si>
  <si>
    <t>Convert specific gravity to mud weight, ppg</t>
  </si>
  <si>
    <t>Convert specific gravity to pressure gradient, psi/ft</t>
  </si>
  <si>
    <t>Pressure Gradient (psi/ft)</t>
  </si>
  <si>
    <t>Equivalent Circulating Density (ECD), ppg</t>
  </si>
  <si>
    <t>Annular pressure loss(psi)</t>
  </si>
  <si>
    <t>ECD</t>
  </si>
  <si>
    <t>Shoe Depth (TVD)</t>
  </si>
  <si>
    <t>Pressure required (psi)</t>
  </si>
  <si>
    <t>LOT pressure (psi)</t>
  </si>
  <si>
    <t>Mud Weight (ppg)</t>
  </si>
  <si>
    <t>FIT required (ppg)</t>
  </si>
  <si>
    <t>LOT equivalent mud weight</t>
  </si>
  <si>
    <t>Pump out</t>
  </si>
  <si>
    <t>efficiency (%)</t>
  </si>
  <si>
    <t>Liner diameter (in)</t>
  </si>
  <si>
    <t>Stroke length (in)</t>
  </si>
  <si>
    <t>PO (bbl/stk)</t>
  </si>
  <si>
    <t>Triplex Pump, bbl/stk</t>
  </si>
  <si>
    <t>Duplex Pump , bbl/stk</t>
  </si>
  <si>
    <t>Rod diameter (in)</t>
  </si>
  <si>
    <t>Annular Velocity (AV)</t>
  </si>
  <si>
    <t>Formula 1: AV = pump output, bbl/min ÷ annular capacity, bbl/ft</t>
  </si>
  <si>
    <t>Pump out put (bbl/min)</t>
  </si>
  <si>
    <t>Annular capacity (bbl/ft)</t>
  </si>
  <si>
    <t>bbl/min</t>
  </si>
  <si>
    <t>ft/min</t>
  </si>
  <si>
    <t>Flow rate (gpm)</t>
  </si>
  <si>
    <t>gpm</t>
  </si>
  <si>
    <t>Bigger diameter (in)</t>
  </si>
  <si>
    <t>such as hole size, casing ID, etc</t>
  </si>
  <si>
    <t>Smaller diameter (in)</t>
  </si>
  <si>
    <t>such as drill pipe OD, tubing OD, etc</t>
  </si>
  <si>
    <t>Formula 3: flow rate in bbl/min and diameter</t>
  </si>
  <si>
    <t>Annular Velocity (AV) in ft/min</t>
  </si>
  <si>
    <t>Annular velocity (AV), ft/sec</t>
  </si>
  <si>
    <t>Formula 1: Flow rate in bbl/min and diameter between 2 diameters</t>
  </si>
  <si>
    <t>Formula 2: Flow rate in gpm and diameter between 2 diameters</t>
  </si>
  <si>
    <t>Flow rate (bbl/min)</t>
  </si>
  <si>
    <t>ft/sec</t>
  </si>
  <si>
    <t>Annular Velocity (ft/min)</t>
  </si>
  <si>
    <t>Required pump rate (gpm)</t>
  </si>
  <si>
    <t>Strokes per minute (SPM) required for a given annular velocity</t>
  </si>
  <si>
    <t>Pump output in gpm required for a desired annular velocity, ft/mim</t>
  </si>
  <si>
    <t>Pump out put (bbl/stk)</t>
  </si>
  <si>
    <t>SPM required</t>
  </si>
  <si>
    <t>spm</t>
  </si>
  <si>
    <t>Amount of cuttings drilled per foot of hole drilled</t>
  </si>
  <si>
    <t>a) BARRELS of cuttings drilled per foot of hole drilled:</t>
  </si>
  <si>
    <t>Porosity(%)</t>
  </si>
  <si>
    <t>Hole diameter (in)</t>
  </si>
  <si>
    <t>BBL/ft</t>
  </si>
  <si>
    <t>b) CUBIC FEET of cuttings drilled per foot of hole drilled:</t>
  </si>
  <si>
    <t>cu-ft/ft</t>
  </si>
  <si>
    <t>cu.ft/footage drilled</t>
  </si>
  <si>
    <t>bbl/footage drilled</t>
  </si>
  <si>
    <t>c) Total solids generated:</t>
  </si>
  <si>
    <t>Footage drilled (ft)</t>
  </si>
  <si>
    <t>Hole capacity (bbl/ft)</t>
  </si>
  <si>
    <t>Solid generated(pounds)</t>
  </si>
  <si>
    <t>Cutting Density (gm/cc)</t>
  </si>
  <si>
    <t>MW (PPG)</t>
  </si>
  <si>
    <t>BF</t>
  </si>
  <si>
    <t>When pulling DRY pipe</t>
  </si>
  <si>
    <t>Stands pulled</t>
  </si>
  <si>
    <t>Length per stand</t>
  </si>
  <si>
    <t>Pipe displacement</t>
  </si>
  <si>
    <t>Casing capacity</t>
  </si>
  <si>
    <t>stands</t>
  </si>
  <si>
    <t>Mud Weight</t>
  </si>
  <si>
    <t>BBL displace</t>
  </si>
  <si>
    <t>HP decrease (psi)</t>
  </si>
  <si>
    <t>When pulling WET pipe</t>
  </si>
  <si>
    <t>% of volume in drill pipe out of hole</t>
  </si>
  <si>
    <t>Pipe capacity</t>
  </si>
  <si>
    <t>Psi</t>
  </si>
  <si>
    <t>Hydrostatic Pressure (HP) Decrease When POOH</t>
  </si>
  <si>
    <t xml:space="preserve">Casing capacity </t>
  </si>
  <si>
    <t xml:space="preserve">Pipe displacement </t>
  </si>
  <si>
    <t xml:space="preserve">Mud weight </t>
  </si>
  <si>
    <t>Feet of drill pipe pulled</t>
  </si>
  <si>
    <t>pound</t>
  </si>
  <si>
    <t>Barrels of slug required for a desired length of dry pipe</t>
  </si>
  <si>
    <t xml:space="preserve">Desired length of dry pipe (ft) </t>
  </si>
  <si>
    <t>Drill pipe capacity (bbl/ft)</t>
  </si>
  <si>
    <t>Slug Weight (PPG)</t>
  </si>
  <si>
    <t>Current MW (PPG)</t>
  </si>
  <si>
    <t>Hydrostatic pressure required to give desired drop inside drill pipe</t>
  </si>
  <si>
    <t>Difference in pressure gradient bw slug and current MW</t>
  </si>
  <si>
    <t>Length of slug in drill pipe (ft)</t>
  </si>
  <si>
    <t>Slug Volume</t>
  </si>
  <si>
    <t>Weight of slug required for a desired length of dry pipe with a set volume of slug</t>
  </si>
  <si>
    <t>Slug Volume (bbl)</t>
  </si>
  <si>
    <t>Slug length (ft)</t>
  </si>
  <si>
    <t>Hydrostatic Pressure required (psi)</t>
  </si>
  <si>
    <t>Weight of slug (PPG)</t>
  </si>
  <si>
    <t>Estimate Type of Influx (kick)</t>
  </si>
  <si>
    <t>Shut in casing pressure</t>
  </si>
  <si>
    <t>Height of influx</t>
  </si>
  <si>
    <t>Influx weight</t>
  </si>
  <si>
    <t>Type of influx</t>
  </si>
  <si>
    <t>Estimate gas migration rate with an empirical equation.</t>
  </si>
  <si>
    <t>Estimate gas migration rate with an empirical equation</t>
  </si>
  <si>
    <t>Vg</t>
  </si>
  <si>
    <t>ft/hr</t>
  </si>
  <si>
    <t>Directional Drilling Calculation</t>
  </si>
  <si>
    <t>Calculate Equivalent Circulating Density with Engineering Formula</t>
  </si>
  <si>
    <t>Pressure Required Formation Integrity Test (FIT)</t>
  </si>
  <si>
    <t>Leak Off Test Pressure Converted to Equivalent Mud Weight (LOT)</t>
  </si>
  <si>
    <t xml:space="preserve">Inner Capacity of open hole, inside cylindrical objects </t>
  </si>
  <si>
    <t>Determine force with given pressure and area</t>
  </si>
  <si>
    <t>Determine force with given pressure and diameter</t>
  </si>
  <si>
    <t>Reference</t>
  </si>
  <si>
    <t>Annular Volume</t>
  </si>
  <si>
    <t>http://www.drillingformulas.com/lag-time-for-drilling-business-and-how-to-calculate-theoretical-lag-time/</t>
  </si>
  <si>
    <t>Website</t>
  </si>
  <si>
    <t>http://www.drillingformulas.com/</t>
  </si>
  <si>
    <t>http://www.drillingformulas.com/determine-height-of-light-weight-spot-pill-to-balance-formation-pressure/</t>
  </si>
  <si>
    <t>http://www.drillingformulas.com/loss-of-hydrostatic-pressure-due-to-lost-return/</t>
  </si>
  <si>
    <t>http://www.drillingformulas.com/pressure-required-to-break-circulation-inside-drillstring/</t>
  </si>
  <si>
    <t>http://www.drillingformulas.com/pressure-required-to-break-circulation-in-annlus/</t>
  </si>
  <si>
    <t>http://www.drillingformulas.com/pump-output-calculation-for-duplex-pump-and-triplex-pump/</t>
  </si>
  <si>
    <t>http://www.drillingformulas.com/pump-pressure-and-pump-stroke-relationship/</t>
  </si>
  <si>
    <t>http://www.drillingformulas.com/round-trip-ton-miles-calculation/</t>
  </si>
  <si>
    <t>http://www.drillingformulas.com/drilling-or-connection-ton-miles/</t>
  </si>
  <si>
    <t>http://www.drillingformulas.com/ton-miles-for-coring-operation/</t>
  </si>
  <si>
    <t>http://www.drillingformulas.com/ton-miles-for-setting-casing/</t>
  </si>
  <si>
    <t>http://www.drillingformulas.com/ton-miles-while-making-short-trip/</t>
  </si>
  <si>
    <t>Ton Miles Calculation</t>
  </si>
  <si>
    <t>http://www.drillingformulas.com/accumulator-capacity-usable-volume-per-bottle-calculation-surface-stack/</t>
  </si>
  <si>
    <t>http://www.drillingformulas.com/accumulator-capacity-usable-volume-per-bottle-calculation-for-subsea-bop/</t>
  </si>
  <si>
    <t>http://www.drillingformulas.com/amount-of-cuttings-total-solid-generated/</t>
  </si>
  <si>
    <t xml:space="preserve">Annular capacity between casing or hole and drill pipe, tubing, or casing. </t>
  </si>
  <si>
    <t>http://www.drillingformulas.com/calculate-annular-capacity</t>
  </si>
  <si>
    <t>http://www.drillingformulas.com/annular-velocity-calculation/</t>
  </si>
  <si>
    <t>http://www.drillingformulas.com/buoyancy-factor-calculation/</t>
  </si>
  <si>
    <t>http://www.drillingformulas.com/temperature-conversion-formulas/</t>
  </si>
  <si>
    <t>Drilling Cost Per Foot</t>
  </si>
  <si>
    <t>D-Exponent and D-Exponent Corrected</t>
  </si>
  <si>
    <t>http://www.drillingformulas.com/d-exponent-calculation/</t>
  </si>
  <si>
    <t>http://www.drillingformulas.com/corrected-d-exponent/</t>
  </si>
  <si>
    <t>http://www.drillingformulas.com/depth-of-washout/</t>
  </si>
  <si>
    <t>http://www.drillingformulas.com/pipe-displacement-calculation/</t>
  </si>
  <si>
    <t>Equivalent Circulating Density (ECD)</t>
  </si>
  <si>
    <t>Formation Integrity Test (FIT)</t>
  </si>
  <si>
    <t>Leak Off Test (LOT)</t>
  </si>
  <si>
    <t>http://www.drillingformulas.com/leak-off-test-procedures-and-calcuation-2/</t>
  </si>
  <si>
    <t>http://www.drillingformulas.com/formation-integrity-test-fit/</t>
  </si>
  <si>
    <t>http://www.drillingformulas.com/equivalent-circulating-density-ecd-in-ppg/</t>
  </si>
  <si>
    <t>http://www.drillingformulas.com/formation-temperature/</t>
  </si>
  <si>
    <t>http://www.drillingformulas.com/drill-pipe-pulled-to-lose-hydrostatic-pressure/</t>
  </si>
  <si>
    <t>http://www.drillingformulas.com/hydrostatic-pressure-calculation/</t>
  </si>
  <si>
    <r>
      <t>Hydrostatic pressure, psi, using mud weight, lb/ft</t>
    </r>
    <r>
      <rPr>
        <b/>
        <sz val="9"/>
        <color indexed="8"/>
        <rFont val="Arial"/>
        <family val="2"/>
      </rPr>
      <t>3</t>
    </r>
  </si>
  <si>
    <t>http://www.drillingformulas.com/hydrostatic-pressure-decrease-when-pooh/</t>
  </si>
  <si>
    <t>http://www.drillingformulas.com/calculate-inner-capacity-of-open-holeinside-cylindrical-objects/</t>
  </si>
  <si>
    <t>Pressure and Force</t>
  </si>
  <si>
    <t>http://www.drillingformulas.com/pressure-and-force-relationship-and-applications/</t>
  </si>
  <si>
    <r>
      <t>Pressure gradient, psi/ft, using mud weight, lb/ft</t>
    </r>
    <r>
      <rPr>
        <b/>
        <vertAlign val="superscript"/>
        <sz val="9"/>
        <color indexed="8"/>
        <rFont val="Arial"/>
        <family val="2"/>
      </rPr>
      <t>3</t>
    </r>
  </si>
  <si>
    <t>Convert pressure gradient, psi/ft, to mud weight specific gravity (SG)</t>
  </si>
  <si>
    <t>Convert pressure gradient, psi/ft, to mud weight, lb/ft3</t>
  </si>
  <si>
    <t>Pressure Gradient Calculation</t>
  </si>
  <si>
    <t>http://www.drillingformulas.com/calculate-pressure-gradient/</t>
  </si>
  <si>
    <t>http://www.drillingformulas.com/barrels-of-slug-required-for-desired-length-of-dry-pipe/</t>
  </si>
  <si>
    <t>http://www.drillingformulas.com/weight-of-slug-required-for-desired-length-of-dry-pipe-with-set-volume-of-slug/</t>
  </si>
  <si>
    <r>
      <t>Specific gravity using mud weight, lb/ft</t>
    </r>
    <r>
      <rPr>
        <b/>
        <sz val="9"/>
        <color indexed="8"/>
        <rFont val="Arial"/>
        <family val="2"/>
      </rPr>
      <t>3</t>
    </r>
  </si>
  <si>
    <r>
      <t>Convert specific gravity to mud weight, lb/ft</t>
    </r>
    <r>
      <rPr>
        <b/>
        <sz val="9"/>
        <color indexed="8"/>
        <rFont val="Arial"/>
        <family val="2"/>
      </rPr>
      <t>3</t>
    </r>
  </si>
  <si>
    <t>http://www.drillingformulas.com/calculate-specific-gravity-sg-in-oilfield-unit/</t>
  </si>
  <si>
    <t>http://www.drillingformulas.com/convert-specific-gravity-to-mud-weight-ppg-and-lbft3-and-pressure-gradient-psift/</t>
  </si>
  <si>
    <t>http://www.drillingformulas.com/convert-pressure-into-equivalent-mud-weight/</t>
  </si>
  <si>
    <t>Dogleg Severity Calculation based on Radius of Curvature Method</t>
  </si>
  <si>
    <t>Dogleg Severity Calculation based on Tangential Method</t>
  </si>
  <si>
    <r>
      <t xml:space="preserve">Calculate dogleg severity between 2 survey points based on </t>
    </r>
    <r>
      <rPr>
        <b/>
        <sz val="12"/>
        <color indexed="12"/>
        <rFont val="Arial"/>
        <family val="2"/>
      </rPr>
      <t>tangential method</t>
    </r>
  </si>
  <si>
    <r>
      <t xml:space="preserve">Calculate dogleg severity between 2 survey points based on </t>
    </r>
    <r>
      <rPr>
        <b/>
        <sz val="12"/>
        <color indexed="12"/>
        <rFont val="Arial"/>
        <family val="2"/>
      </rPr>
      <t>Radius of Curvature Method</t>
    </r>
  </si>
  <si>
    <t>http://www.drillingformulas.com/dogleg-severity-calculationbased-on-radius-of-curvature-method/</t>
  </si>
  <si>
    <t>http://www.drillingformulas.com/dogleg-severity-calculation-based-on-tangential-method/</t>
  </si>
  <si>
    <t>http://www.drillingformulas.com/angle-averaging-method-in-directional-drilling-calculation/</t>
  </si>
  <si>
    <t>Directional Survey - Angle Averaging Method</t>
  </si>
  <si>
    <t>http://www.drillingformulas.com/radius-of-curvature-method/</t>
  </si>
  <si>
    <t>Directional Survey - Radius of Curvature Method</t>
  </si>
  <si>
    <t>http://www.drillingformulas.com/balanced-tangential-method-calculation/</t>
  </si>
  <si>
    <t>Directional Survey - Balanced Tangential Method</t>
  </si>
  <si>
    <t>http://www.drillingformulas.com/minimum-curvature-method/</t>
  </si>
  <si>
    <t>Directional Survey - Minimum Curvature Method</t>
  </si>
  <si>
    <t>http://www.drillingformulas.com/tangential-method-calculation/</t>
  </si>
  <si>
    <t>Directional Survey - Tangential Method</t>
  </si>
  <si>
    <t>http://www.drillingformulas.com/bulk-density-cuttings-using-mud-balance/</t>
  </si>
  <si>
    <r>
      <t xml:space="preserve">5. Move counterweight to obtain new balance. </t>
    </r>
    <r>
      <rPr>
        <b/>
        <sz val="10"/>
        <rFont val="Arial"/>
        <family val="2"/>
      </rPr>
      <t>This value is “Rw” = resulting weight with cuttings plus water, ppg.</t>
    </r>
  </si>
  <si>
    <t>http://www.drillingformulas.com/decrease-oil-water-ratio/</t>
  </si>
  <si>
    <t>Actual gas migration rate in a shut in well</t>
  </si>
  <si>
    <t>http://www.drillingformulas.com/calculate-oil-water-ratio-from-retort-data/</t>
  </si>
  <si>
    <t>http://www.drillingformulas.com/determine-the-density-of-oil-and-water-mixture/</t>
  </si>
  <si>
    <t>http://www.drillingformulas.com/dilution-of-mud-system-to-control-low-gravity-solid/</t>
  </si>
  <si>
    <t>http://www.drillingformulas.com/dilution-of-mud-system-to-control-low-gravity-solid-by-adding-mud/</t>
  </si>
  <si>
    <t>http://www.drillingformulas.com/increase-mud-weight-by-adding-barite/</t>
  </si>
  <si>
    <t>http://www.drillingformulas.com/volume-of-mud-increase-due-to-mud-weight-increase-by-adding-barite/</t>
  </si>
  <si>
    <t>http://www.drillingformulas.com/starting-volume-of-original-mud-weight-up-with-barite/</t>
  </si>
  <si>
    <t>http://www.drillingformulas.com/increase-mud-weight-by-adding-calcium-carbonate/</t>
  </si>
  <si>
    <t>http://www.drillingformulas.com/volume-of-mud-increase-due-to-adding-calcium-carbonate/</t>
  </si>
  <si>
    <t>http://www.drillingformulas.com/starting-volume-of-original-mud-weight-up-with-calcium-carbonate/</t>
  </si>
  <si>
    <t>http://www.drillingformulas.com/volume-of-mud-increases-due-to-adding-hematite/</t>
  </si>
  <si>
    <t>http://www.drillingformulas.com/starting-volume-weight-up-with-hematite/</t>
  </si>
  <si>
    <t>http://www.drillingformulas.com/increase-mud-weight-by-adding-hematite/</t>
  </si>
  <si>
    <t>http://www.drillingformulas.com/increase-oil-water-ratio/</t>
  </si>
  <si>
    <t>http://www.drillingformulas.com/mixing-fluids-of-different-densities-pit-space-limitation/</t>
  </si>
  <si>
    <t>http://www.drillingformulas.com/mixing-fluids-of-different-densities-without-pit-space-limitation/</t>
  </si>
  <si>
    <t>Mixing Fluids of Different Densities with Pit Space Limitation</t>
  </si>
  <si>
    <t>Mixing Fluids of Different Densities without Pit Space Limitation</t>
  </si>
  <si>
    <r>
      <t>Mix different fluid density: Case#2</t>
    </r>
    <r>
      <rPr>
        <b/>
        <sz val="10"/>
        <color indexed="10"/>
        <rFont val="Arial"/>
        <family val="2"/>
      </rPr>
      <t xml:space="preserve"> unlimit space</t>
    </r>
  </si>
  <si>
    <r>
      <t>Mix different fluid density: Case#1</t>
    </r>
    <r>
      <rPr>
        <b/>
        <sz val="10"/>
        <color indexed="10"/>
        <rFont val="Arial"/>
        <family val="2"/>
      </rPr>
      <t xml:space="preserve"> limit space</t>
    </r>
  </si>
  <si>
    <t>http://www.drillingformulas.com/reduce-mud-weight-by-dilution/</t>
  </si>
  <si>
    <t>Reduce mud weight by dilution</t>
  </si>
  <si>
    <t>http://www.drillingformulas.com/calcuate-annular-pressure-loss/</t>
  </si>
  <si>
    <t>http://www.drillingformulas.com/critical-rpm-to-avoid-excessive-vibration/</t>
  </si>
  <si>
    <t>http://www.drillingformulas.com/calculate-equivalent-circulation-density-ecd-with-complex-engineering-equations/</t>
  </si>
  <si>
    <t>http://www.drillingformulas.com/hydraulic-horse-power-calculatin/</t>
  </si>
  <si>
    <t>http://www.drillingformulas.com/estimate-gas-migration-rate-in-a-shut-in-well/</t>
  </si>
  <si>
    <t>http://www.drillingformulas.com/estimate-type-of-influx-kick/</t>
  </si>
  <si>
    <t>http://www.drillingformulas.com/formation-pressure-from-kick-analysis/</t>
  </si>
  <si>
    <t>http://www.drillingformulas.com/kick-tolerance-factor-calculation/</t>
  </si>
  <si>
    <t>http://www.drillingformulas.com/adjusted-maximum-allowable-shut-in-casing-pressure/</t>
  </si>
  <si>
    <t>Adjusted maximum allowable shut-in casing pressure for new mud weight</t>
  </si>
  <si>
    <t>Maximum Initial Shut-In Casing Pressure (MISICP)</t>
  </si>
  <si>
    <t>http://www.drillingformulas.com/maximum-initial-shut-in-casing-pressure-misicp/</t>
  </si>
  <si>
    <t>http://www.drillingformulas.com/maximum-formation-pressure-that-can-be-controlled-when-we-shut-the-well-in/</t>
  </si>
  <si>
    <t>http://www.drillingformulas.com/maximum-influx-height-to-equal-the-maximum-allowable-shut-in-casing-pressure/</t>
  </si>
  <si>
    <t>http://www.drillingformulas.com/maximum-surface-pressure-from-kick-tolerance-factor/</t>
  </si>
  <si>
    <t>http://www.drillingformulas.com/trip-margin-calculation/</t>
  </si>
  <si>
    <t>Acutal gas migration rate</t>
  </si>
  <si>
    <t xml:space="preserve">Increase in pressure </t>
  </si>
  <si>
    <t>psi/hr</t>
  </si>
  <si>
    <t>Input Cells</t>
  </si>
  <si>
    <t>Calculated Cell</t>
  </si>
  <si>
    <t>http://www.drillingformulas.com/determine-the-actual-gas-migration-rate/</t>
  </si>
  <si>
    <t>Kill Weight Mud</t>
  </si>
  <si>
    <t>Kill Mud Weight</t>
  </si>
  <si>
    <t>Shut in Drillpipe Pressure</t>
  </si>
  <si>
    <t>http://www.drillingformulas.com/shut-down-pumps-weight-up-mud/</t>
  </si>
  <si>
    <t>Calculate Influx Height</t>
  </si>
  <si>
    <t>Pit volume gain</t>
  </si>
  <si>
    <t>Annular Capacity</t>
  </si>
  <si>
    <t>Influx height</t>
  </si>
  <si>
    <t>http://www.drillingformulas.com/calculate-influx-height/</t>
  </si>
  <si>
    <t>Hydrostatic Pressure Loss Due to Gas Cut Mud</t>
  </si>
  <si>
    <t xml:space="preserve">Hydrostatic Pressure Loss Due to Gas Cut </t>
  </si>
  <si>
    <t>http://www.drillingformulas.com/hydrostatic-pressure-loss-due-to-gas-cut-mud/</t>
  </si>
  <si>
    <t>Maximum Surface Pressure from Gas Influx in Water Based Mud</t>
  </si>
  <si>
    <t>Expected formation pressure</t>
  </si>
  <si>
    <t>Maximum Surface Pressure</t>
  </si>
  <si>
    <t>http://www.drillingformulas.com/maximum-surf3ace-pressure-from-gas-influx-in-water-based-mud/</t>
  </si>
  <si>
    <t>http://www.drillingformulas.com/maximum-pit-gain-from-gas-kick-in-water-based-mud/</t>
  </si>
  <si>
    <t>Maximum pit gain</t>
  </si>
  <si>
    <t>Maximum pit gain from gas kick in water based mud</t>
  </si>
  <si>
    <t>Flow rate</t>
  </si>
  <si>
    <t>Drillpipe OD</t>
  </si>
  <si>
    <t>cps</t>
  </si>
  <si>
    <t>MW</t>
  </si>
  <si>
    <t>Diameter of cutting</t>
  </si>
  <si>
    <t>Density of cutting</t>
  </si>
  <si>
    <t>Annular Velocity</t>
  </si>
  <si>
    <t>Cutting Slip Velocity</t>
  </si>
  <si>
    <t>Falling Down</t>
  </si>
  <si>
    <t>Moving Up</t>
  </si>
  <si>
    <t>Net cutting rise velocity</t>
  </si>
  <si>
    <t>θ600</t>
  </si>
  <si>
    <t>θ300</t>
  </si>
  <si>
    <t>Hole diameter</t>
  </si>
  <si>
    <t>Viscosity</t>
  </si>
  <si>
    <t>cp</t>
  </si>
  <si>
    <t>Surge and swab pressure method#1</t>
  </si>
  <si>
    <t>Average pipe running or pulling speed</t>
  </si>
  <si>
    <t>Drill Pipe Length</t>
  </si>
  <si>
    <t>Well TVD</t>
  </si>
  <si>
    <t>Drillpipe diameter</t>
  </si>
  <si>
    <t>ID of drill pipe</t>
  </si>
  <si>
    <t>Surge and swab pressure method#2</t>
  </si>
  <si>
    <t>Pressure lose around drill pipe</t>
  </si>
  <si>
    <t>Drill collar diameter</t>
  </si>
  <si>
    <t>Drill collar length</t>
  </si>
  <si>
    <t>Shear rate of mud around drill pipe (Ym)</t>
  </si>
  <si>
    <t>Shear stress of mud around drill pipe (T)</t>
  </si>
  <si>
    <t>Pressure loss around drill collar</t>
  </si>
  <si>
    <t>Maximum pipe velocity around drill pipe</t>
  </si>
  <si>
    <t>Maximum pipe velocity around drill collar</t>
  </si>
  <si>
    <t>Fluid Velocity (Closed Ended Pipe) around drill pipe</t>
  </si>
  <si>
    <t>Fluid Velocity (Closed Ended Pipe) around drill collar</t>
  </si>
  <si>
    <t>Total Pressure Loss</t>
  </si>
  <si>
    <t>Equivalent flow rate around drill collar</t>
  </si>
  <si>
    <t>Drill Collar</t>
  </si>
  <si>
    <t>ID of drill collar</t>
  </si>
  <si>
    <t>Pressure Loss around drill pipe</t>
  </si>
  <si>
    <t>Pressure Loss around drill collar</t>
  </si>
  <si>
    <t>Select Criteria ---&gt;</t>
  </si>
  <si>
    <t>Drill Collar Length</t>
  </si>
  <si>
    <t>Total pressure loss</t>
  </si>
  <si>
    <t>Cutting Slip Velocity Method#1</t>
  </si>
  <si>
    <t>Cutting Slip Velocity Method#2</t>
  </si>
  <si>
    <t>Surge and Swab Pressure Method#1</t>
  </si>
  <si>
    <t>Surge and Swab Pressure Method#2</t>
  </si>
  <si>
    <t>Total Flow Area Table</t>
  </si>
  <si>
    <t>Nozzle size (x/32)</t>
  </si>
  <si>
    <t>1
Nozzle</t>
  </si>
  <si>
    <t>2
Nozzles</t>
  </si>
  <si>
    <t>3
Nozzles</t>
  </si>
  <si>
    <t>4
Nozzles</t>
  </si>
  <si>
    <t>5
Nozzles</t>
  </si>
  <si>
    <t>6
Nozzles</t>
  </si>
  <si>
    <t>7
Nozzles</t>
  </si>
  <si>
    <t>8
Nozzles</t>
  </si>
  <si>
    <t>9
Nozzles</t>
  </si>
  <si>
    <r>
      <rPr>
        <b/>
        <sz val="10"/>
        <color indexed="10"/>
        <rFont val="Arial"/>
        <family val="2"/>
      </rPr>
      <t>Surge</t>
    </r>
    <r>
      <rPr>
        <b/>
        <sz val="10"/>
        <rFont val="Arial"/>
        <family val="2"/>
      </rPr>
      <t>: Bottom Hole Pressure</t>
    </r>
  </si>
  <si>
    <r>
      <rPr>
        <b/>
        <sz val="10"/>
        <color indexed="10"/>
        <rFont val="Arial"/>
        <family val="2"/>
      </rPr>
      <t>Surge</t>
    </r>
    <r>
      <rPr>
        <b/>
        <sz val="10"/>
        <rFont val="Arial"/>
        <family val="2"/>
      </rPr>
      <t xml:space="preserve">: Bottom Hole Pressure in </t>
    </r>
    <r>
      <rPr>
        <b/>
        <sz val="10"/>
        <color indexed="10"/>
        <rFont val="Arial"/>
        <family val="2"/>
      </rPr>
      <t>ppg</t>
    </r>
  </si>
  <si>
    <r>
      <rPr>
        <b/>
        <sz val="10"/>
        <color indexed="12"/>
        <rFont val="Arial"/>
        <family val="2"/>
      </rPr>
      <t>Swab</t>
    </r>
    <r>
      <rPr>
        <b/>
        <sz val="10"/>
        <rFont val="Arial"/>
        <family val="2"/>
      </rPr>
      <t>: Bottom Hole Pressure</t>
    </r>
  </si>
  <si>
    <r>
      <rPr>
        <b/>
        <sz val="10"/>
        <color indexed="12"/>
        <rFont val="Arial"/>
        <family val="2"/>
      </rPr>
      <t>Swab</t>
    </r>
    <r>
      <rPr>
        <b/>
        <sz val="10"/>
        <rFont val="Arial"/>
        <family val="2"/>
      </rPr>
      <t xml:space="preserve">: Bottom Hole Pressure in </t>
    </r>
    <r>
      <rPr>
        <b/>
        <sz val="10"/>
        <color indexed="12"/>
        <rFont val="Arial"/>
        <family val="2"/>
      </rPr>
      <t>ppg</t>
    </r>
  </si>
  <si>
    <r>
      <rPr>
        <b/>
        <sz val="10"/>
        <color indexed="10"/>
        <rFont val="Arial"/>
        <family val="2"/>
      </rPr>
      <t>Surge:</t>
    </r>
    <r>
      <rPr>
        <sz val="10"/>
        <rFont val="Arial"/>
        <family val="2"/>
      </rPr>
      <t xml:space="preserve"> Bottom Hole Pressure</t>
    </r>
  </si>
  <si>
    <r>
      <rPr>
        <b/>
        <sz val="10"/>
        <color indexed="10"/>
        <rFont val="Arial"/>
        <family val="2"/>
      </rPr>
      <t>Surge:</t>
    </r>
    <r>
      <rPr>
        <sz val="10"/>
        <rFont val="Arial"/>
        <family val="2"/>
      </rPr>
      <t xml:space="preserve"> Bottom Hole Pressure in ppg</t>
    </r>
  </si>
  <si>
    <r>
      <rPr>
        <b/>
        <sz val="10"/>
        <color indexed="10"/>
        <rFont val="Arial"/>
        <family val="2"/>
      </rPr>
      <t>Swab:</t>
    </r>
    <r>
      <rPr>
        <sz val="10"/>
        <rFont val="Arial"/>
        <family val="2"/>
      </rPr>
      <t xml:space="preserve"> Bottom Hole Pressure</t>
    </r>
  </si>
  <si>
    <r>
      <rPr>
        <b/>
        <sz val="10"/>
        <color indexed="10"/>
        <rFont val="Arial"/>
        <family val="2"/>
      </rPr>
      <t>Swab:</t>
    </r>
    <r>
      <rPr>
        <sz val="10"/>
        <rFont val="Arial"/>
        <family val="2"/>
      </rPr>
      <t xml:space="preserve"> Bottom Hole Pressure in ppg</t>
    </r>
  </si>
  <si>
    <t>http://www.drillingformulas.com/cutting-slip-velocity-calculation-method-1/</t>
  </si>
  <si>
    <t>http://www.drillingformulas.com/cutting-slip-velocity-calculation-method-2/</t>
  </si>
  <si>
    <t>http://www.drillingformulas.com/surge-and-swab-calculation-method-1/</t>
  </si>
  <si>
    <t>http://www.drillingformulas.com/determine-surge-and-swab-pressure-method-2/</t>
  </si>
  <si>
    <t>Stuck Pipe Calculation</t>
  </si>
  <si>
    <t>Displacement of plain pipe such as casing, tubing, etc.</t>
  </si>
  <si>
    <t>Estimate type of influx</t>
  </si>
  <si>
    <t>Formation pressure from kick analysis</t>
  </si>
  <si>
    <t>Engineering Formulas</t>
  </si>
  <si>
    <t>Basic Drilling Formulas</t>
  </si>
  <si>
    <t>Applied Drilling Formulas</t>
  </si>
  <si>
    <t>Drilling Fluid Formulas</t>
  </si>
  <si>
    <t>Hydraulic Formulas</t>
  </si>
  <si>
    <t>Well Control Formulas</t>
  </si>
  <si>
    <t>Open Ended Pipe</t>
  </si>
  <si>
    <t>Pressure loss through the drill string</t>
  </si>
  <si>
    <t>Length of drill pipe/drill collar</t>
  </si>
  <si>
    <t>Plastic Viscosity</t>
  </si>
  <si>
    <t>centipoise</t>
  </si>
  <si>
    <t>General coefficient</t>
  </si>
  <si>
    <t>Pressure loss in annulus</t>
  </si>
  <si>
    <t>OD of drill pipe/drill collar</t>
  </si>
  <si>
    <t>Hole size</t>
  </si>
  <si>
    <t>Pressure loss in the annulus</t>
  </si>
  <si>
    <t>Pressure loss through surface equipment</t>
  </si>
  <si>
    <t>General coefficient for surface equipment (Cse)</t>
  </si>
  <si>
    <t>See =&gt;</t>
  </si>
  <si>
    <r>
      <t>B parameter (</t>
    </r>
    <r>
      <rPr>
        <sz val="10"/>
        <color indexed="10"/>
        <rFont val="Arial"/>
        <family val="2"/>
      </rPr>
      <t>see the table</t>
    </r>
    <r>
      <rPr>
        <sz val="10"/>
        <rFont val="Arial"/>
        <family val="2"/>
      </rPr>
      <t>)</t>
    </r>
  </si>
  <si>
    <t>Length of drill pipe</t>
  </si>
  <si>
    <t>Length of drill collar</t>
  </si>
  <si>
    <t>General coefficient for drill pipe</t>
  </si>
  <si>
    <t>General coefficient for drill collar</t>
  </si>
  <si>
    <t>Pressure loss through the drill pipe</t>
  </si>
  <si>
    <t>Pressure loss through the drill collar</t>
  </si>
  <si>
    <t>Total pressure in drill string</t>
  </si>
  <si>
    <t>Pressure loss through the drill string with tool joint coefficient</t>
  </si>
  <si>
    <t>Tool joint ID of drill pipe</t>
  </si>
  <si>
    <t>Pressure loss in annulus with corrected coefficient</t>
  </si>
  <si>
    <t>OD of drill pipe</t>
  </si>
  <si>
    <t>OD of drill collar</t>
  </si>
  <si>
    <r>
      <t xml:space="preserve">Coefficient for annulus around </t>
    </r>
    <r>
      <rPr>
        <b/>
        <u/>
        <sz val="10"/>
        <rFont val="Arial"/>
        <family val="2"/>
      </rPr>
      <t>drill collar</t>
    </r>
  </si>
  <si>
    <r>
      <t xml:space="preserve">Coefficient for annulus around </t>
    </r>
    <r>
      <rPr>
        <b/>
        <u/>
        <sz val="10"/>
        <rFont val="Arial"/>
        <family val="2"/>
      </rPr>
      <t>drillpipe and tool joint</t>
    </r>
  </si>
  <si>
    <t>OD of drill pipe tool joint</t>
  </si>
  <si>
    <t>Pressure loss in the annulus around drill pipe</t>
  </si>
  <si>
    <t>Pressure loss in the annulus around drill collar</t>
  </si>
  <si>
    <t>Total Pressure loss in the annulus</t>
  </si>
  <si>
    <t>Effective Viscosity</t>
  </si>
  <si>
    <t>Ka</t>
  </si>
  <si>
    <t>Dh</t>
  </si>
  <si>
    <t>Do</t>
  </si>
  <si>
    <t>na</t>
  </si>
  <si>
    <t>Effective viscosity</t>
  </si>
  <si>
    <t>poise</t>
  </si>
  <si>
    <t>Power Law Constant</t>
  </si>
  <si>
    <t>Reading at 300 rpm</t>
  </si>
  <si>
    <t>Reading at 3 rpm</t>
  </si>
  <si>
    <t>Reynold Number</t>
  </si>
  <si>
    <t>Drill pipe OD</t>
  </si>
  <si>
    <t>Plastic viscosity</t>
  </si>
  <si>
    <t xml:space="preserve">Yield Point </t>
  </si>
  <si>
    <t>lbs/100 sq ft</t>
  </si>
  <si>
    <t>CCI</t>
  </si>
  <si>
    <t>Hole cleaning</t>
  </si>
  <si>
    <t>Cutting Carrying Index</t>
  </si>
  <si>
    <t xml:space="preserve">If CCI = 0.5 or less poor hole cleaning (expect hole problems). </t>
  </si>
  <si>
    <t>If CCI = 1 or greater, the hole cleaning is excellent.</t>
  </si>
  <si>
    <t>Critical Flow Rate</t>
  </si>
  <si>
    <t>Hole Diameter (Dh)</t>
  </si>
  <si>
    <t>OD of pipe/collar (Do)</t>
  </si>
  <si>
    <t>Critical Annular Velocity</t>
  </si>
  <si>
    <t>Power Law Constant, n</t>
  </si>
  <si>
    <t>Power Law Constant, K</t>
  </si>
  <si>
    <t>Pressure Loss Drillstring</t>
  </si>
  <si>
    <t>Pressure Loss Annulus</t>
  </si>
  <si>
    <t>Pressure Loss Annulus With Tool Joint Correction</t>
  </si>
  <si>
    <t>Pressure Loss Drillstring With Tool Joint Correction</t>
  </si>
  <si>
    <t>Pressure Loss in Surface Equipment</t>
  </si>
  <si>
    <t>Back to Critical Flow Rate Calculation</t>
  </si>
  <si>
    <t>Optimum Flow Rate - Optimzed at The End of The Run</t>
  </si>
  <si>
    <t>Hole Size</t>
  </si>
  <si>
    <t>Depth at TD</t>
  </si>
  <si>
    <t>Mud properties at TD</t>
  </si>
  <si>
    <t>YP</t>
  </si>
  <si>
    <t>3 rpm</t>
  </si>
  <si>
    <t>300 rpm</t>
  </si>
  <si>
    <t xml:space="preserve">600 rpm </t>
  </si>
  <si>
    <t>Drill pipe ID</t>
  </si>
  <si>
    <t>Tool Joint OD</t>
  </si>
  <si>
    <t>Tool Joint ID</t>
  </si>
  <si>
    <t>Drill collar OD</t>
  </si>
  <si>
    <t>Drill collar ID</t>
  </si>
  <si>
    <t>Length of Drill Collar</t>
  </si>
  <si>
    <t>Cpb</t>
  </si>
  <si>
    <t>Cpa</t>
  </si>
  <si>
    <t>B</t>
  </si>
  <si>
    <t>Cp</t>
  </si>
  <si>
    <t>Ccb</t>
  </si>
  <si>
    <t>Cca</t>
  </si>
  <si>
    <t>Cc</t>
  </si>
  <si>
    <t>Cse (select)</t>
  </si>
  <si>
    <t>Optimum flow rate</t>
  </si>
  <si>
    <t>Maximum hydraulic horsepower</t>
  </si>
  <si>
    <t xml:space="preserve">Maximum Impact Force </t>
  </si>
  <si>
    <t>Maxium Surface Pressure</t>
  </si>
  <si>
    <t>Vf</t>
  </si>
  <si>
    <t>See the table =&gt;</t>
  </si>
  <si>
    <t>Pressure Drop Across a Bit</t>
  </si>
  <si>
    <t>Total Flow Area</t>
  </si>
  <si>
    <t>Total Bit Revolution in Mud Motor</t>
  </si>
  <si>
    <t>Rotor rpm</t>
  </si>
  <si>
    <t>rev/gpm</t>
  </si>
  <si>
    <t>Rotary rpm</t>
  </si>
  <si>
    <t>Do you want to have a good oilfield resume? Click Here !!!</t>
  </si>
  <si>
    <t>Optimum Flow Rate for basic system</t>
  </si>
  <si>
    <t>http://www.drillingformulas.com/determine-how-many-feet-of-free-pipe/</t>
  </si>
  <si>
    <t>http://www.drillingformulas.com/determine-free-point-constant-fpc/</t>
  </si>
  <si>
    <t>http://www.drillingformulas.com/determine-how-many-feet-of-free-pipe-without-free-pipe-constant-table/</t>
  </si>
  <si>
    <t>http://www.drillingformulas.com/drilling-cost-per-foot/</t>
  </si>
  <si>
    <t>Equivalent Circulating Density (ECD) Using Yield Point for MW less than 13 ppg</t>
  </si>
  <si>
    <t>Pipe OD</t>
  </si>
  <si>
    <t>Hole ID</t>
  </si>
  <si>
    <t xml:space="preserve">Equivalent Circulating Density (ECD) </t>
  </si>
  <si>
    <t>CP</t>
  </si>
  <si>
    <t>Equivalent Circulating Density (ECD) Using Yield Point for MW more than 13 ppg</t>
  </si>
  <si>
    <t>AV</t>
  </si>
  <si>
    <t>Equivalent Circulating Density (ECD) Using Yield Point for MW less than or equal to 13 ppg</t>
  </si>
  <si>
    <t>http://www.drillingformulas.com/cutting-carrying-index-simple-tool-to-determine-hole-cleaning/</t>
  </si>
  <si>
    <t>http://www.drillingformulas.com/equivalent-circulating-density-ecd-using-yield-point-for-mw-less-than-13-ppg/</t>
  </si>
  <si>
    <t>http://www.drillingformulas.com/equivalent-circulating-density-ecd-using-yield-point-for-mw-more-than-13-ppg/</t>
  </si>
  <si>
    <t>http://www.drillingformulas.com/pressure-drop-across-a-bit/</t>
  </si>
  <si>
    <t>http://www.drillingformulas.com/determine-optimum-drilling-flow-rate-for-basic-system-drilling-hydraulics/</t>
  </si>
  <si>
    <t>http://www.drillingformulas.com/critical-flow-rate-drilling-hydraulics/</t>
  </si>
  <si>
    <t>http://www.drillingformulas.com/reynold-number-for-drilling-hydraulics/</t>
  </si>
  <si>
    <t>http://www.drillingformulas.com/power-law-constants-n-and-k-calculation/</t>
  </si>
  <si>
    <t>http://www.drillingformulas.com/effective-viscosity-calculation/</t>
  </si>
  <si>
    <t>Pipe Elongation Due to Temperature</t>
  </si>
  <si>
    <t>Surface Temperature</t>
  </si>
  <si>
    <t>Bottom Hole Temperature</t>
  </si>
  <si>
    <t>Average Temperature</t>
  </si>
  <si>
    <t>Temperature Difference</t>
  </si>
  <si>
    <t>Pipe Elongation</t>
  </si>
  <si>
    <t>Pipe Length</t>
  </si>
  <si>
    <t>Drill Collar Weight</t>
  </si>
  <si>
    <t>Vertical Well</t>
  </si>
  <si>
    <t>WOB required</t>
  </si>
  <si>
    <t>Safety Factor</t>
  </si>
  <si>
    <t>http://www.drillingformulas.com/drill-pipe-elongation-due-to-temperature/</t>
  </si>
  <si>
    <t>Buoyancy Factor</t>
  </si>
  <si>
    <t>Deviated Well</t>
  </si>
  <si>
    <t>Inclination</t>
  </si>
  <si>
    <t>degree</t>
  </si>
  <si>
    <t>Maximum Allowable Tensile Strenght</t>
  </si>
  <si>
    <t>Hook Load</t>
  </si>
  <si>
    <t>Margin of Overpull</t>
  </si>
  <si>
    <t>http://www.drillingformulas.com/margin-of-overpull-in-drillstring/</t>
  </si>
  <si>
    <t>http://www.drillingformulas.com/drill-collar-weight-calculation-to-prevent-drill-pipe-buckling/</t>
  </si>
  <si>
    <t>Drill Collar Weight Calculation To Prevent Drill Pipe Buckling</t>
  </si>
  <si>
    <t>Plastic Viscosity and Yield Point</t>
  </si>
  <si>
    <t>Plastic Viscosity (PV)</t>
  </si>
  <si>
    <t>Yield Point (YP)</t>
  </si>
  <si>
    <t>lb/100 ft2.</t>
  </si>
  <si>
    <t>Tensile Capacity of Drillpipe</t>
  </si>
  <si>
    <t>Norminal ID</t>
  </si>
  <si>
    <t>Wall Thickness (New pipe)</t>
  </si>
  <si>
    <t>80% wall thickness (Premium Class)</t>
  </si>
  <si>
    <t>Cross Sectional Area of New Pipe</t>
  </si>
  <si>
    <t>square inch</t>
  </si>
  <si>
    <t>Cross Sectional Area of Premium Pipe</t>
  </si>
  <si>
    <t>Pipe Yield Strenght</t>
  </si>
  <si>
    <t>Tensile Capacity of Drill String</t>
  </si>
  <si>
    <t>Drill String</t>
  </si>
  <si>
    <t>Drilling Formula Spread Sheet V1.6</t>
  </si>
  <si>
    <r>
      <t xml:space="preserve">Tensile Capacity of </t>
    </r>
    <r>
      <rPr>
        <b/>
        <sz val="10"/>
        <color indexed="30"/>
        <rFont val="Arial"/>
        <family val="2"/>
      </rPr>
      <t>New Pipe</t>
    </r>
  </si>
  <si>
    <r>
      <t xml:space="preserve">Tensile Capacity of </t>
    </r>
    <r>
      <rPr>
        <b/>
        <sz val="10"/>
        <color indexed="30"/>
        <rFont val="Arial"/>
        <family val="2"/>
      </rPr>
      <t>Premium Class Pipe</t>
    </r>
  </si>
  <si>
    <t>Riser Margin</t>
  </si>
  <si>
    <t>New Pressure Loss With New Mud (psi)</t>
  </si>
  <si>
    <t>New Pump Pressure With New Strokes (psi)</t>
  </si>
  <si>
    <t>Final Circulating Pressure (FCP)</t>
  </si>
  <si>
    <t>Initial Circulating Pressure (ICP)</t>
  </si>
  <si>
    <t>Air Gap</t>
  </si>
  <si>
    <t>Water Depth</t>
  </si>
  <si>
    <t>Sea Water Weight</t>
  </si>
  <si>
    <t>Depth (TVD)</t>
  </si>
  <si>
    <t>Original Pressure Loss</t>
  </si>
  <si>
    <t>New Pressure Loss</t>
  </si>
  <si>
    <t>Current Pressure</t>
  </si>
  <si>
    <t>SPM 1</t>
  </si>
  <si>
    <t>strks.</t>
  </si>
  <si>
    <t>SPM 2</t>
  </si>
  <si>
    <t>New Pump Pressure</t>
  </si>
  <si>
    <t>Initial Circulating Pressure (psi)</t>
  </si>
  <si>
    <t>SCR Pressure</t>
  </si>
  <si>
    <t>FCP</t>
  </si>
  <si>
    <t>SIDPP</t>
  </si>
  <si>
    <t>ICP</t>
  </si>
  <si>
    <t>Plastic Viscosity (PV) and Yield Point (YP) from mud test</t>
  </si>
  <si>
    <t>Buoyancy Factor (BF) with different fluid weight inside and outside</t>
  </si>
  <si>
    <t>Fluid weight inside</t>
  </si>
  <si>
    <t>Fluid weight outside</t>
  </si>
  <si>
    <t>ID of component</t>
  </si>
  <si>
    <t>OD of component</t>
  </si>
  <si>
    <t xml:space="preserve">Buoyancy Factor (BF) </t>
  </si>
  <si>
    <t>Ao</t>
  </si>
  <si>
    <t>Ai</t>
  </si>
  <si>
    <t>Effective Mud Density</t>
  </si>
  <si>
    <t>ROP</t>
  </si>
  <si>
    <t>fph</t>
  </si>
  <si>
    <t>Maximum ROP Before Fracturing Formation</t>
  </si>
  <si>
    <t>Fracture Gradient</t>
  </si>
  <si>
    <t>Max ROP</t>
  </si>
  <si>
    <t>TVD</t>
  </si>
  <si>
    <t>Volume of Cutting Generated While Drilling</t>
  </si>
  <si>
    <t>Formation Porosity</t>
  </si>
  <si>
    <t>Wellbore Diamter</t>
  </si>
  <si>
    <t>Vc (bbl/hr)</t>
  </si>
  <si>
    <t>Vc (gallon/hr)</t>
  </si>
  <si>
    <t>Vc (gallon/min)</t>
  </si>
  <si>
    <t>Coring Cost Per Footage Recovered</t>
  </si>
  <si>
    <t>Core bit cost</t>
  </si>
  <si>
    <t>$</t>
  </si>
  <si>
    <t>Coring service cost</t>
  </si>
  <si>
    <t>Rig day rate</t>
  </si>
  <si>
    <t>Tripping time</t>
  </si>
  <si>
    <t>hours</t>
  </si>
  <si>
    <t>Core recovery time</t>
  </si>
  <si>
    <t xml:space="preserve">Core and tool handling time </t>
  </si>
  <si>
    <t>Length of core</t>
  </si>
  <si>
    <t>$/ft</t>
  </si>
  <si>
    <t>Percentage recovered</t>
  </si>
  <si>
    <t xml:space="preserve">Solid Density From Retort Analysis </t>
  </si>
  <si>
    <t>Mud Density</t>
  </si>
  <si>
    <t>Water Volume</t>
  </si>
  <si>
    <t>Water Density</t>
  </si>
  <si>
    <t>Oil Volume</t>
  </si>
  <si>
    <t>Oil Density</t>
  </si>
  <si>
    <t>Solid Volume</t>
  </si>
  <si>
    <t>Solid Density</t>
  </si>
  <si>
    <t>Bottom Hole Pressure from Wellhead Pressure in a Dry Gas Well</t>
  </si>
  <si>
    <t>Wellhead Pressure</t>
  </si>
  <si>
    <t>psig</t>
  </si>
  <si>
    <t>Specific Gratvity of Gas</t>
  </si>
  <si>
    <t>TVD of the well</t>
  </si>
  <si>
    <t>Bottom Hole Pressure</t>
  </si>
  <si>
    <t>Margin of Over Pull</t>
  </si>
  <si>
    <t>Margine of Over Pull (MOP)</t>
  </si>
  <si>
    <t>Pressure Increment (psi)</t>
  </si>
  <si>
    <t>Casing ID (inch)</t>
  </si>
  <si>
    <t>Drillstring OD (inch)</t>
  </si>
  <si>
    <t>Annular Capacity Factor (bbl/ft)</t>
  </si>
  <si>
    <t>Mud Increment (bbl)</t>
  </si>
  <si>
    <t>Mud Increment (MI)</t>
  </si>
  <si>
    <t>Pit gain (bbl)</t>
  </si>
  <si>
    <t>BHA OD (inch)</t>
  </si>
  <si>
    <t>Drilstring OD (inch)</t>
  </si>
  <si>
    <t>BHA length (ft)</t>
  </si>
  <si>
    <t>Annular capacity between hole and BHA (bbl/ft)</t>
  </si>
  <si>
    <t>Kick Height in Hole (ft)</t>
  </si>
  <si>
    <t>Annular capacity between hole and Drillstring (bbl/ft)</t>
  </si>
  <si>
    <t>Kick Height in Annulus (ft)</t>
  </si>
  <si>
    <t>Mud Density (ppg)</t>
  </si>
  <si>
    <t>Kick Density (ppg)</t>
  </si>
  <si>
    <t>Increase in casing pressure due to kick penetration (psi)</t>
  </si>
  <si>
    <t>Increase in casing pressure due to kick penetration</t>
  </si>
  <si>
    <t>Assumption - vertical well</t>
  </si>
  <si>
    <t>Time to petentrate the kick</t>
  </si>
  <si>
    <t>Depth of top of kick (ft)</t>
  </si>
  <si>
    <t>Bit depth (ft)</t>
  </si>
  <si>
    <t>Gas Kick Migration Rate (ft/hr)</t>
  </si>
  <si>
    <t>Stripping Speed (ft/hr)</t>
  </si>
  <si>
    <t>Time to petentrate the kick (hr)</t>
  </si>
  <si>
    <t>Flow Rate (gpm)</t>
  </si>
  <si>
    <t>Total Flow Area of Nozzle (in2)</t>
  </si>
  <si>
    <t xml:space="preserve">Pressure Drop Across Bit (psi) </t>
  </si>
  <si>
    <t>Calculate from Nozzle Velocity</t>
  </si>
  <si>
    <t>Nozzle Velocity (ft/sec)</t>
  </si>
  <si>
    <t>Pressure Drop Across Bit</t>
  </si>
  <si>
    <t>Time To Penetrate Kick</t>
  </si>
  <si>
    <t>Increase in Casing Pressure due to Kick Penetration</t>
  </si>
  <si>
    <t>Mud Increment</t>
  </si>
  <si>
    <t>Bit Nozzle Velocity</t>
  </si>
  <si>
    <t>Calculate from Flow Rate</t>
  </si>
  <si>
    <t>Calculate from Pressure Drop Across Bit</t>
  </si>
  <si>
    <t xml:space="preserve">Bit Nozzle Velocity (ft/sec) </t>
  </si>
  <si>
    <t>Bi Nozzle Velocity</t>
  </si>
  <si>
    <t>Bit Hydraulic Horsepowe (hp)</t>
  </si>
  <si>
    <t>Pressure Drop Acress Bit (psi)</t>
  </si>
  <si>
    <t>Bit Hydraulic Horsepower</t>
  </si>
  <si>
    <t>Bit Hydraulic Horsepower Per Area of Dril Bit (HSI)</t>
  </si>
  <si>
    <t>Bit Diameter</t>
  </si>
  <si>
    <t>Bit Hydraulic Horsepower Per Square Inch</t>
  </si>
  <si>
    <t>Impact Force of Jet Nozzles on Bottom Hole</t>
  </si>
  <si>
    <t>Calculate From Nozzle Velocity</t>
  </si>
  <si>
    <t>Impact Force of Jet Nozzles (lbf)</t>
  </si>
  <si>
    <t>Calculate from flow rate and assume the nozzle discharge coefficient (Cd) = 1.0</t>
  </si>
  <si>
    <t>Cross Flow Velocity Under a Drilling Bit</t>
  </si>
  <si>
    <t>Bit Diameter (inch)</t>
  </si>
  <si>
    <t>Number of Nozzles</t>
  </si>
  <si>
    <t>Cross Flow Velocity Under a Bit (ft/sec)</t>
  </si>
  <si>
    <t>Mechanical Specific Energy</t>
  </si>
  <si>
    <t>Mechanical Specific Energy Using Coefficient of Friction</t>
  </si>
  <si>
    <t>Weight On Bit (lb)</t>
  </si>
  <si>
    <t>Coefficient of Friction</t>
  </si>
  <si>
    <t>Rotarty Speed (rpm)</t>
  </si>
  <si>
    <t>Rate of Penetration (ft/hr)</t>
  </si>
  <si>
    <t>Mechanical Specific Energy (psi)</t>
  </si>
  <si>
    <t>Mechanical Specific Energy Using Drilling Torque</t>
  </si>
  <si>
    <t>Torque (ft-lb)</t>
  </si>
  <si>
    <t>Bit Aggressiveness (Coefficient of Friction)</t>
  </si>
  <si>
    <t>Weight on Bit (lb)</t>
  </si>
  <si>
    <t>Bit Aggressiveness</t>
  </si>
  <si>
    <t>Minimum Flow Rate for PDC bit</t>
  </si>
  <si>
    <t>Minimum Floa Rate for PDC bit (gpm)</t>
  </si>
  <si>
    <t>Minimum Flow Rate PDC bit</t>
  </si>
  <si>
    <t>Lube Increment (MI)</t>
  </si>
  <si>
    <t>Lube Increment (bbl)</t>
  </si>
  <si>
    <t>Lube Increment</t>
  </si>
  <si>
    <t xml:space="preserve">Bottle Capacity Required in Accumulator </t>
  </si>
  <si>
    <t>Bottle Capacity Required in Accumulator</t>
  </si>
  <si>
    <t>Volume of usable fluid required (gal)</t>
  </si>
  <si>
    <t>Pre-charge pressure (psi)</t>
  </si>
  <si>
    <t>Usable volume per bottle (gal)</t>
  </si>
  <si>
    <t>Minimum system pressure (psi)</t>
  </si>
  <si>
    <t>Operating pressure (psi)</t>
  </si>
  <si>
    <t>Stinger OD (Inch)</t>
  </si>
  <si>
    <t>Stinger ID (inch)</t>
  </si>
  <si>
    <t>Retainer Setting Depth (ft)</t>
  </si>
  <si>
    <t>Volume Squeeze Underneath Reatiner (bbl)</t>
  </si>
  <si>
    <t>Volume Balance On Top of Reatiner (bbl)</t>
  </si>
  <si>
    <t>Line Volume (bbl)</t>
  </si>
  <si>
    <t>Stringer Volume From Top to Retainer (bbl)</t>
  </si>
  <si>
    <t>TOC with stringer (ft)</t>
  </si>
  <si>
    <t>TOC without stringer (ft)</t>
  </si>
  <si>
    <t>Displace to balance cement plug (bbl)</t>
  </si>
  <si>
    <t>Pumping Steps</t>
  </si>
  <si>
    <t>Pump Cement (bbl)</t>
  </si>
  <si>
    <t>Displace (bbl) to balance plug</t>
  </si>
  <si>
    <t>Cementing</t>
  </si>
  <si>
    <t>Squeeze Below Retainer and Balance Cement Plug Above Retainer</t>
  </si>
  <si>
    <t>Balance Cement Plug Above Retainer</t>
  </si>
  <si>
    <t>Displace (bbl)</t>
  </si>
  <si>
    <t>http://www.drillingformulas.com/volume-of-cutting-generated-while-drilling/</t>
  </si>
  <si>
    <t>http://www.drillingformulas.com/buoyancy-factor-with-two-different-fluid-weights-in-the-well/</t>
  </si>
  <si>
    <t>http://www.drillingformulas.com/determine-bottom-hole-pressure-from-wellhead-pressure-in-a-dry-gas-well/</t>
  </si>
  <si>
    <t>http://www.drillingformulas.com/coring-cost-per-footage-drilled/</t>
  </si>
  <si>
    <t>http://www.drillingformulas.com/kick-penetration-for-stripping-operation/</t>
  </si>
  <si>
    <t>http://www.drillingformulas.com/lubricate-and-bleed-example-calculations/</t>
  </si>
  <si>
    <t>http://www.drillingformulas.com/how-to-perform-volumetric-well-control-method/</t>
  </si>
</sst>
</file>

<file path=xl/styles.xml><?xml version="1.0" encoding="utf-8"?>
<styleSheet xmlns="http://schemas.openxmlformats.org/spreadsheetml/2006/main">
  <numFmts count="13">
    <numFmt numFmtId="44" formatCode="_(&quot;$&quot;* #,##0.00_);_(&quot;$&quot;* \(#,##0.00\);_(&quot;$&quot;* &quot;-&quot;??_);_(@_)"/>
    <numFmt numFmtId="43" formatCode="_(* #,##0.00_);_(* \(#,##0.00\);_(* &quot;-&quot;??_);_(@_)"/>
    <numFmt numFmtId="164" formatCode="0.0000"/>
    <numFmt numFmtId="165" formatCode="0.000"/>
    <numFmt numFmtId="166" formatCode="0.0"/>
    <numFmt numFmtId="167" formatCode="0.000000"/>
    <numFmt numFmtId="168" formatCode="0.00000"/>
    <numFmt numFmtId="169" formatCode="_(* #,##0.0_);_(* \(#,##0.0\);_(* &quot;-&quot;??_);_(@_)"/>
    <numFmt numFmtId="170" formatCode="_(* #,##0_);_(* \(#,##0\);_(* &quot;-&quot;??_);_(@_)"/>
    <numFmt numFmtId="171" formatCode="_-* #,##0_-;\-* #,##0_-;_-* &quot;-&quot;??_-;_-@_-"/>
    <numFmt numFmtId="172" formatCode="#,##0.0"/>
    <numFmt numFmtId="173" formatCode="#,##0.000"/>
    <numFmt numFmtId="174" formatCode="#,##0.0000"/>
  </numFmts>
  <fonts count="68">
    <font>
      <sz val="10"/>
      <name val="Arial"/>
    </font>
    <font>
      <sz val="10"/>
      <name val="Arial"/>
    </font>
    <font>
      <sz val="8"/>
      <name val="Arial"/>
      <family val="2"/>
    </font>
    <font>
      <b/>
      <sz val="10"/>
      <name val="Arial"/>
      <family val="2"/>
    </font>
    <font>
      <b/>
      <sz val="10"/>
      <color indexed="12"/>
      <name val="Arial"/>
      <family val="2"/>
    </font>
    <font>
      <b/>
      <sz val="18"/>
      <color indexed="8"/>
      <name val="Times New Roman"/>
      <family val="1"/>
    </font>
    <font>
      <u/>
      <sz val="10"/>
      <color indexed="12"/>
      <name val="Arial"/>
      <family val="2"/>
    </font>
    <font>
      <b/>
      <sz val="12"/>
      <color indexed="8"/>
      <name val="Times New Roman"/>
      <family val="1"/>
    </font>
    <font>
      <b/>
      <sz val="10"/>
      <color indexed="10"/>
      <name val="Arial"/>
      <family val="2"/>
    </font>
    <font>
      <sz val="10"/>
      <color indexed="12"/>
      <name val="Arial"/>
      <family val="2"/>
    </font>
    <font>
      <sz val="10"/>
      <name val="Arial"/>
      <family val="2"/>
    </font>
    <font>
      <vertAlign val="superscript"/>
      <sz val="10"/>
      <name val="Arial"/>
      <family val="2"/>
    </font>
    <font>
      <b/>
      <sz val="12"/>
      <name val="Arial"/>
      <family val="2"/>
    </font>
    <font>
      <b/>
      <sz val="18"/>
      <name val="Times New Roman"/>
      <family val="1"/>
    </font>
    <font>
      <b/>
      <sz val="16"/>
      <name val="Arial"/>
      <family val="2"/>
    </font>
    <font>
      <sz val="10"/>
      <color indexed="10"/>
      <name val="Arial"/>
      <family val="2"/>
    </font>
    <font>
      <b/>
      <sz val="14"/>
      <name val="Arial"/>
      <family val="2"/>
    </font>
    <font>
      <b/>
      <vertAlign val="superscript"/>
      <sz val="12"/>
      <name val="Arial"/>
      <family val="2"/>
    </font>
    <font>
      <b/>
      <sz val="12"/>
      <color indexed="10"/>
      <name val="Arial"/>
      <family val="2"/>
    </font>
    <font>
      <sz val="12"/>
      <name val="Arial"/>
      <family val="2"/>
    </font>
    <font>
      <u/>
      <sz val="10"/>
      <color indexed="12"/>
      <name val="Arial"/>
      <family val="2"/>
    </font>
    <font>
      <sz val="10"/>
      <color indexed="10"/>
      <name val="Arial"/>
      <family val="2"/>
    </font>
    <font>
      <b/>
      <u/>
      <sz val="12"/>
      <color indexed="10"/>
      <name val="Arial"/>
      <family val="2"/>
    </font>
    <font>
      <b/>
      <u/>
      <sz val="10"/>
      <name val="Arial"/>
      <family val="2"/>
    </font>
    <font>
      <b/>
      <u/>
      <sz val="16"/>
      <color indexed="10"/>
      <name val="Arial"/>
      <family val="2"/>
    </font>
    <font>
      <b/>
      <u/>
      <sz val="14"/>
      <color indexed="10"/>
      <name val="Arial"/>
      <family val="2"/>
    </font>
    <font>
      <sz val="8"/>
      <name val="Arial"/>
      <family val="2"/>
    </font>
    <font>
      <b/>
      <sz val="8"/>
      <color indexed="10"/>
      <name val="Arial"/>
      <family val="2"/>
    </font>
    <font>
      <b/>
      <sz val="10"/>
      <color indexed="10"/>
      <name val="Arial"/>
      <family val="2"/>
    </font>
    <font>
      <sz val="8"/>
      <name val="Arial"/>
      <family val="2"/>
    </font>
    <font>
      <sz val="8"/>
      <name val="Arial"/>
      <family val="2"/>
    </font>
    <font>
      <sz val="10"/>
      <name val="Calibri"/>
      <family val="2"/>
    </font>
    <font>
      <sz val="8"/>
      <name val="Arial"/>
      <family val="2"/>
    </font>
    <font>
      <b/>
      <u/>
      <sz val="10"/>
      <color indexed="12"/>
      <name val="Arial"/>
      <family val="2"/>
    </font>
    <font>
      <sz val="8"/>
      <name val="Arial"/>
      <family val="2"/>
    </font>
    <font>
      <b/>
      <sz val="10"/>
      <name val="Tahoma"/>
      <family val="2"/>
    </font>
    <font>
      <sz val="14"/>
      <name val="Arial"/>
      <family val="2"/>
    </font>
    <font>
      <b/>
      <sz val="18"/>
      <color indexed="8"/>
      <name val="Arial"/>
      <family val="2"/>
    </font>
    <font>
      <b/>
      <sz val="12"/>
      <color indexed="8"/>
      <name val="Arial"/>
      <family val="2"/>
    </font>
    <font>
      <b/>
      <sz val="9"/>
      <color indexed="8"/>
      <name val="Arial"/>
      <family val="2"/>
    </font>
    <font>
      <b/>
      <vertAlign val="superscript"/>
      <sz val="9"/>
      <color indexed="8"/>
      <name val="Arial"/>
      <family val="2"/>
    </font>
    <font>
      <b/>
      <sz val="11"/>
      <color indexed="8"/>
      <name val="Arial"/>
      <family val="2"/>
    </font>
    <font>
      <b/>
      <sz val="12"/>
      <color indexed="12"/>
      <name val="Arial"/>
      <family val="2"/>
    </font>
    <font>
      <b/>
      <sz val="14"/>
      <color indexed="12"/>
      <name val="Times New Roman"/>
      <family val="1"/>
    </font>
    <font>
      <sz val="8"/>
      <name val="Arial"/>
      <family val="2"/>
    </font>
    <font>
      <b/>
      <sz val="11"/>
      <name val="Calibri"/>
      <family val="2"/>
    </font>
    <font>
      <b/>
      <u/>
      <sz val="12"/>
      <color indexed="12"/>
      <name val="Arial"/>
      <family val="2"/>
    </font>
    <font>
      <sz val="10"/>
      <name val="Arial"/>
      <family val="2"/>
    </font>
    <font>
      <b/>
      <u/>
      <sz val="11"/>
      <name val="Calibri"/>
      <family val="2"/>
    </font>
    <font>
      <sz val="10"/>
      <name val="Arial"/>
      <family val="2"/>
    </font>
    <font>
      <b/>
      <sz val="10"/>
      <color indexed="30"/>
      <name val="Arial"/>
      <family val="2"/>
    </font>
    <font>
      <sz val="10"/>
      <name val="Arial"/>
      <family val="2"/>
    </font>
    <font>
      <sz val="10"/>
      <name val="Century Gothic"/>
      <family val="2"/>
    </font>
    <font>
      <b/>
      <sz val="10"/>
      <name val="Century Gothic"/>
      <family val="2"/>
    </font>
    <font>
      <b/>
      <sz val="11"/>
      <name val="Century Gothic"/>
      <family val="2"/>
    </font>
    <font>
      <b/>
      <u/>
      <sz val="10"/>
      <color indexed="12"/>
      <name val="Century Gothic"/>
      <family val="2"/>
    </font>
    <font>
      <i/>
      <sz val="10"/>
      <name val="Century Gothic"/>
      <family val="2"/>
    </font>
    <font>
      <sz val="10"/>
      <name val="Arial"/>
      <family val="2"/>
    </font>
    <font>
      <b/>
      <sz val="11"/>
      <name val="Arial"/>
      <family val="2"/>
    </font>
    <font>
      <b/>
      <u/>
      <sz val="23"/>
      <color indexed="12"/>
      <name val="Arial"/>
      <family val="2"/>
    </font>
    <font>
      <sz val="11"/>
      <color theme="1"/>
      <name val="Calibri"/>
      <family val="2"/>
      <scheme val="minor"/>
    </font>
    <font>
      <sz val="18"/>
      <color rgb="FF0000FF"/>
      <name val="Arial"/>
      <family val="2"/>
    </font>
    <font>
      <sz val="10"/>
      <color rgb="FFFF0000"/>
      <name val="Arial"/>
      <family val="2"/>
    </font>
    <font>
      <b/>
      <sz val="10"/>
      <color rgb="FFFF0000"/>
      <name val="Arial"/>
      <family val="2"/>
    </font>
    <font>
      <b/>
      <sz val="10"/>
      <color rgb="FF0070C0"/>
      <name val="Arial"/>
      <family val="2"/>
    </font>
    <font>
      <b/>
      <u/>
      <sz val="10"/>
      <color rgb="FFFF0000"/>
      <name val="Arial"/>
      <family val="2"/>
    </font>
    <font>
      <u/>
      <sz val="10"/>
      <color rgb="FF0000FF"/>
      <name val="Arial"/>
      <family val="2"/>
    </font>
    <font>
      <b/>
      <u/>
      <sz val="10"/>
      <color rgb="FF0000FF"/>
      <name val="Arial"/>
      <family val="2"/>
    </font>
  </fonts>
  <fills count="18">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rgb="FFCCFFFF"/>
        <bgColor indexed="64"/>
      </patternFill>
    </fill>
    <fill>
      <patternFill patternType="solid">
        <fgColor rgb="FFFF0000"/>
        <bgColor indexed="64"/>
      </patternFill>
    </fill>
    <fill>
      <patternFill patternType="solid">
        <fgColor rgb="FFCCECFF"/>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s>
  <cellStyleXfs count="9">
    <xf numFmtId="0" fontId="0" fillId="0" borderId="0"/>
    <xf numFmtId="43" fontId="1" fillId="0" borderId="0" applyFont="0" applyFill="0" applyBorder="0" applyAlignment="0" applyProtection="0"/>
    <xf numFmtId="43" fontId="10"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0" fontId="60" fillId="0" borderId="0"/>
    <xf numFmtId="0" fontId="10" fillId="0" borderId="0"/>
    <xf numFmtId="0" fontId="10" fillId="0" borderId="0"/>
    <xf numFmtId="9" fontId="1" fillId="0" borderId="0" applyFont="0" applyFill="0" applyBorder="0" applyAlignment="0" applyProtection="0"/>
  </cellStyleXfs>
  <cellXfs count="314">
    <xf numFmtId="0" fontId="0" fillId="0" borderId="0" xfId="0"/>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0" xfId="0" applyFill="1" applyBorder="1"/>
    <xf numFmtId="0" fontId="5" fillId="0" borderId="0" xfId="0" applyFont="1"/>
    <xf numFmtId="0" fontId="0" fillId="2" borderId="0" xfId="0" applyFill="1"/>
    <xf numFmtId="0" fontId="0" fillId="3" borderId="0" xfId="0" applyFill="1"/>
    <xf numFmtId="165" fontId="0" fillId="2" borderId="0" xfId="0" applyNumberFormat="1" applyFill="1"/>
    <xf numFmtId="0" fontId="7" fillId="0" borderId="0" xfId="0" applyFont="1"/>
    <xf numFmtId="2" fontId="0" fillId="2" borderId="0" xfId="0" applyNumberFormat="1" applyFill="1"/>
    <xf numFmtId="166" fontId="0" fillId="2" borderId="0" xfId="0" applyNumberFormat="1" applyFill="1"/>
    <xf numFmtId="0" fontId="3" fillId="0" borderId="0" xfId="0" applyFont="1"/>
    <xf numFmtId="2" fontId="0" fillId="2" borderId="0" xfId="0" applyNumberFormat="1" applyFill="1" applyAlignment="1">
      <alignment horizontal="right"/>
    </xf>
    <xf numFmtId="0" fontId="0" fillId="0" borderId="0" xfId="0" applyAlignment="1">
      <alignment wrapText="1"/>
    </xf>
    <xf numFmtId="0" fontId="0" fillId="0" borderId="0" xfId="0" applyAlignment="1">
      <alignment horizontal="center"/>
    </xf>
    <xf numFmtId="2" fontId="8" fillId="2" borderId="0" xfId="0" applyNumberFormat="1" applyFont="1" applyFill="1"/>
    <xf numFmtId="0" fontId="8" fillId="0" borderId="0" xfId="0" applyFont="1"/>
    <xf numFmtId="166" fontId="1" fillId="2" borderId="0" xfId="0" applyNumberFormat="1" applyFont="1" applyFill="1"/>
    <xf numFmtId="166" fontId="8" fillId="2" borderId="0" xfId="0" applyNumberFormat="1" applyFont="1" applyFill="1"/>
    <xf numFmtId="0" fontId="4" fillId="0" borderId="0" xfId="0" applyFont="1"/>
    <xf numFmtId="0" fontId="10" fillId="0" borderId="0" xfId="0" applyFont="1"/>
    <xf numFmtId="1" fontId="0" fillId="2" borderId="0" xfId="0" applyNumberFormat="1" applyFill="1"/>
    <xf numFmtId="0" fontId="0" fillId="0" borderId="0" xfId="0" applyFill="1"/>
    <xf numFmtId="0" fontId="6" fillId="0" borderId="0" xfId="4" applyAlignment="1" applyProtection="1"/>
    <xf numFmtId="0" fontId="0" fillId="2" borderId="8" xfId="0" applyFill="1" applyBorder="1"/>
    <xf numFmtId="2" fontId="0" fillId="2" borderId="1" xfId="0" applyNumberFormat="1" applyFill="1" applyBorder="1"/>
    <xf numFmtId="0" fontId="0" fillId="3" borderId="0" xfId="0" applyFill="1" applyProtection="1">
      <protection locked="0"/>
    </xf>
    <xf numFmtId="0" fontId="0" fillId="2" borderId="0" xfId="0" applyFill="1" applyProtection="1">
      <protection locked="0"/>
    </xf>
    <xf numFmtId="0" fontId="6" fillId="0" borderId="0" xfId="4" applyAlignment="1" applyProtection="1">
      <protection locked="0"/>
    </xf>
    <xf numFmtId="0" fontId="13" fillId="0" borderId="0" xfId="0" applyFont="1"/>
    <xf numFmtId="0" fontId="14" fillId="0" borderId="0" xfId="0" applyFont="1"/>
    <xf numFmtId="0" fontId="3" fillId="0" borderId="0" xfId="0" applyFont="1" applyProtection="1">
      <protection locked="0"/>
    </xf>
    <xf numFmtId="168" fontId="0" fillId="2" borderId="0" xfId="0" applyNumberFormat="1" applyFill="1"/>
    <xf numFmtId="164" fontId="0" fillId="2" borderId="0" xfId="0" applyNumberFormat="1" applyFill="1"/>
    <xf numFmtId="0" fontId="0" fillId="0" borderId="0" xfId="0" applyAlignment="1">
      <alignment horizontal="left"/>
    </xf>
    <xf numFmtId="0" fontId="16" fillId="0" borderId="0" xfId="0" applyFont="1"/>
    <xf numFmtId="0" fontId="12" fillId="0" borderId="0" xfId="0" applyFont="1"/>
    <xf numFmtId="2" fontId="18" fillId="2" borderId="0" xfId="0" applyNumberFormat="1" applyFont="1" applyFill="1"/>
    <xf numFmtId="0" fontId="10" fillId="3" borderId="0" xfId="0" applyFont="1" applyFill="1"/>
    <xf numFmtId="0" fontId="10" fillId="2" borderId="0" xfId="0" applyFont="1" applyFill="1"/>
    <xf numFmtId="0" fontId="19" fillId="0" borderId="0" xfId="0" applyFont="1"/>
    <xf numFmtId="0" fontId="0" fillId="0" borderId="0" xfId="0" applyBorder="1" applyProtection="1">
      <protection locked="0"/>
    </xf>
    <xf numFmtId="0" fontId="3" fillId="0" borderId="0" xfId="0" applyFont="1" applyBorder="1" applyProtection="1">
      <protection locked="0"/>
    </xf>
    <xf numFmtId="1" fontId="1" fillId="2" borderId="0" xfId="0" applyNumberFormat="1" applyFont="1" applyFill="1"/>
    <xf numFmtId="0" fontId="21" fillId="0" borderId="0" xfId="0" applyFont="1"/>
    <xf numFmtId="0" fontId="12" fillId="0" borderId="0" xfId="0" applyFont="1" applyFill="1"/>
    <xf numFmtId="1" fontId="10" fillId="2" borderId="0" xfId="0" applyNumberFormat="1" applyFont="1" applyFill="1"/>
    <xf numFmtId="0" fontId="0" fillId="3" borderId="0" xfId="0" applyFill="1" applyProtection="1"/>
    <xf numFmtId="0" fontId="0" fillId="2" borderId="0" xfId="0" applyFill="1" applyProtection="1"/>
    <xf numFmtId="166" fontId="0" fillId="3" borderId="0" xfId="0" applyNumberFormat="1" applyFill="1" applyProtection="1">
      <protection locked="0"/>
    </xf>
    <xf numFmtId="0" fontId="0" fillId="0" borderId="0" xfId="0" applyFill="1" applyBorder="1" applyProtection="1">
      <protection locked="0"/>
    </xf>
    <xf numFmtId="0" fontId="23" fillId="0" borderId="0" xfId="0" applyFont="1"/>
    <xf numFmtId="0" fontId="0" fillId="4" borderId="0" xfId="0" applyFill="1"/>
    <xf numFmtId="166" fontId="0" fillId="4" borderId="0" xfId="0" applyNumberFormat="1" applyFill="1" applyProtection="1">
      <protection locked="0"/>
    </xf>
    <xf numFmtId="2" fontId="0" fillId="2" borderId="0" xfId="0" applyNumberFormat="1" applyFill="1" applyProtection="1"/>
    <xf numFmtId="9" fontId="0" fillId="2" borderId="0" xfId="8" applyFont="1" applyFill="1" applyProtection="1"/>
    <xf numFmtId="0" fontId="0" fillId="2" borderId="0" xfId="0" applyFill="1" applyAlignment="1" applyProtection="1">
      <alignment horizontal="right"/>
    </xf>
    <xf numFmtId="2" fontId="0" fillId="2" borderId="0" xfId="8" applyNumberFormat="1" applyFont="1" applyFill="1" applyProtection="1"/>
    <xf numFmtId="9" fontId="1" fillId="2" borderId="0" xfId="8" applyFont="1" applyFill="1" applyProtection="1"/>
    <xf numFmtId="2" fontId="1" fillId="2" borderId="0" xfId="8" applyNumberFormat="1" applyFont="1" applyFill="1" applyProtection="1"/>
    <xf numFmtId="166" fontId="0" fillId="2" borderId="0" xfId="0" applyNumberFormat="1" applyFill="1" applyProtection="1"/>
    <xf numFmtId="0" fontId="0" fillId="0" borderId="0" xfId="0" applyFill="1" applyProtection="1"/>
    <xf numFmtId="0" fontId="10" fillId="0" borderId="1" xfId="0" applyFont="1" applyBorder="1"/>
    <xf numFmtId="165" fontId="0" fillId="2" borderId="1" xfId="0" applyNumberFormat="1" applyFill="1" applyBorder="1" applyProtection="1"/>
    <xf numFmtId="2" fontId="0" fillId="2" borderId="1" xfId="0" applyNumberFormat="1" applyFill="1" applyBorder="1" applyProtection="1"/>
    <xf numFmtId="0" fontId="10" fillId="0" borderId="1" xfId="0" applyFont="1" applyBorder="1" applyAlignment="1">
      <alignment wrapText="1"/>
    </xf>
    <xf numFmtId="0" fontId="28" fillId="0" borderId="1" xfId="0" applyFont="1" applyBorder="1"/>
    <xf numFmtId="2" fontId="28" fillId="2" borderId="1" xfId="0" applyNumberFormat="1" applyFont="1" applyFill="1" applyBorder="1" applyProtection="1"/>
    <xf numFmtId="43" fontId="0" fillId="2" borderId="1" xfId="1" applyFont="1" applyFill="1" applyBorder="1" applyProtection="1"/>
    <xf numFmtId="0" fontId="10" fillId="0" borderId="1" xfId="0" applyFont="1" applyFill="1" applyBorder="1"/>
    <xf numFmtId="165" fontId="10" fillId="2" borderId="1" xfId="0" applyNumberFormat="1" applyFont="1" applyFill="1" applyBorder="1" applyProtection="1"/>
    <xf numFmtId="2" fontId="10" fillId="2" borderId="1" xfId="0" applyNumberFormat="1" applyFont="1" applyFill="1" applyBorder="1" applyProtection="1"/>
    <xf numFmtId="1" fontId="0" fillId="2" borderId="0" xfId="0" applyNumberFormat="1" applyFill="1" applyProtection="1"/>
    <xf numFmtId="0" fontId="31" fillId="0" borderId="0" xfId="0" applyFont="1"/>
    <xf numFmtId="0" fontId="0" fillId="0" borderId="0" xfId="0" applyFont="1" applyFill="1" applyBorder="1"/>
    <xf numFmtId="168" fontId="0" fillId="0" borderId="0" xfId="0" applyNumberFormat="1"/>
    <xf numFmtId="0" fontId="3" fillId="3" borderId="0" xfId="0" applyFont="1" applyFill="1" applyProtection="1"/>
    <xf numFmtId="0" fontId="3" fillId="2" borderId="0" xfId="0" applyFont="1" applyFill="1" applyProtection="1"/>
    <xf numFmtId="0" fontId="33" fillId="0" borderId="0" xfId="4" applyFont="1" applyAlignment="1" applyProtection="1">
      <protection locked="0"/>
    </xf>
    <xf numFmtId="0" fontId="3" fillId="0" borderId="0" xfId="0" applyFont="1" applyFill="1"/>
    <xf numFmtId="171" fontId="0" fillId="2" borderId="0" xfId="0" applyNumberFormat="1" applyFill="1"/>
    <xf numFmtId="0" fontId="3" fillId="0" borderId="0" xfId="0" applyFont="1" applyBorder="1"/>
    <xf numFmtId="0" fontId="3" fillId="2" borderId="0" xfId="0" applyFont="1" applyFill="1"/>
    <xf numFmtId="0" fontId="35" fillId="0" borderId="0" xfId="0" applyFont="1" applyAlignment="1"/>
    <xf numFmtId="0" fontId="3" fillId="0" borderId="0" xfId="0" applyFont="1" applyFill="1" applyProtection="1"/>
    <xf numFmtId="1" fontId="3" fillId="2" borderId="0" xfId="0" applyNumberFormat="1" applyFont="1" applyFill="1" applyProtection="1"/>
    <xf numFmtId="2" fontId="3" fillId="2" borderId="0" xfId="0" applyNumberFormat="1" applyFont="1" applyFill="1" applyProtection="1"/>
    <xf numFmtId="166" fontId="3" fillId="2" borderId="0" xfId="0" applyNumberFormat="1" applyFont="1" applyFill="1" applyProtection="1"/>
    <xf numFmtId="2" fontId="0" fillId="0" borderId="0" xfId="0" applyNumberFormat="1" applyFill="1" applyProtection="1"/>
    <xf numFmtId="0" fontId="6" fillId="0" borderId="3" xfId="4" applyBorder="1" applyAlignment="1" applyProtection="1">
      <protection locked="0"/>
    </xf>
    <xf numFmtId="0" fontId="6" fillId="0" borderId="5" xfId="4" applyBorder="1" applyAlignment="1" applyProtection="1">
      <protection locked="0"/>
    </xf>
    <xf numFmtId="0" fontId="6" fillId="0" borderId="9" xfId="4" applyBorder="1" applyAlignment="1" applyProtection="1">
      <protection locked="0"/>
    </xf>
    <xf numFmtId="0" fontId="6" fillId="0" borderId="10" xfId="4" applyBorder="1" applyAlignment="1" applyProtection="1">
      <protection locked="0"/>
    </xf>
    <xf numFmtId="0" fontId="6" fillId="0" borderId="11" xfId="4" applyBorder="1" applyAlignment="1" applyProtection="1">
      <protection locked="0"/>
    </xf>
    <xf numFmtId="0" fontId="6" fillId="0" borderId="10" xfId="4" applyFont="1" applyBorder="1" applyAlignment="1" applyProtection="1">
      <protection locked="0"/>
    </xf>
    <xf numFmtId="0" fontId="20" fillId="0" borderId="10" xfId="4" applyFont="1" applyBorder="1" applyAlignment="1" applyProtection="1">
      <protection locked="0"/>
    </xf>
    <xf numFmtId="0" fontId="3" fillId="0" borderId="0" xfId="0" applyFont="1" applyBorder="1" applyAlignment="1">
      <alignment horizontal="left" vertical="center"/>
    </xf>
    <xf numFmtId="0" fontId="43" fillId="0" borderId="0" xfId="0" applyFont="1"/>
    <xf numFmtId="0" fontId="0" fillId="3" borderId="1" xfId="0" applyFill="1" applyBorder="1" applyProtection="1">
      <protection locked="0"/>
    </xf>
    <xf numFmtId="0" fontId="10" fillId="3" borderId="1" xfId="0" applyFont="1" applyFill="1" applyBorder="1" applyProtection="1">
      <protection locked="0"/>
    </xf>
    <xf numFmtId="0" fontId="10" fillId="3" borderId="0" xfId="0" applyFont="1" applyFill="1" applyProtection="1">
      <protection locked="0"/>
    </xf>
    <xf numFmtId="0" fontId="20" fillId="0" borderId="0" xfId="4" applyFont="1" applyAlignment="1" applyProtection="1">
      <protection locked="0"/>
    </xf>
    <xf numFmtId="0" fontId="7" fillId="0" borderId="0" xfId="0" applyFont="1" applyFill="1"/>
    <xf numFmtId="166" fontId="0" fillId="0" borderId="0" xfId="0" applyNumberFormat="1" applyFill="1"/>
    <xf numFmtId="0" fontId="10" fillId="3" borderId="0" xfId="0" applyFont="1" applyFill="1" applyProtection="1"/>
    <xf numFmtId="0" fontId="10" fillId="2" borderId="0" xfId="0" applyFont="1" applyFill="1" applyProtection="1"/>
    <xf numFmtId="0" fontId="37" fillId="0" borderId="0" xfId="0" applyFont="1"/>
    <xf numFmtId="0" fontId="38" fillId="0" borderId="0" xfId="0" applyFont="1"/>
    <xf numFmtId="166" fontId="10" fillId="2" borderId="0" xfId="0" applyNumberFormat="1" applyFont="1" applyFill="1" applyProtection="1"/>
    <xf numFmtId="0" fontId="6" fillId="0" borderId="0" xfId="4" applyFont="1" applyAlignment="1" applyProtection="1">
      <protection locked="0"/>
    </xf>
    <xf numFmtId="0" fontId="0" fillId="3" borderId="12" xfId="0" applyFill="1" applyBorder="1" applyProtection="1">
      <protection locked="0"/>
    </xf>
    <xf numFmtId="0" fontId="0" fillId="3" borderId="0" xfId="0" applyFill="1" applyBorder="1" applyProtection="1">
      <protection locked="0"/>
    </xf>
    <xf numFmtId="165" fontId="10" fillId="2" borderId="0" xfId="0" applyNumberFormat="1" applyFont="1" applyFill="1"/>
    <xf numFmtId="2" fontId="10" fillId="2" borderId="0" xfId="0" applyNumberFormat="1" applyFont="1" applyFill="1"/>
    <xf numFmtId="166" fontId="10" fillId="2" borderId="0" xfId="0" applyNumberFormat="1" applyFont="1" applyFill="1"/>
    <xf numFmtId="0" fontId="10" fillId="0" borderId="0" xfId="0" applyFont="1" applyFill="1"/>
    <xf numFmtId="2" fontId="10" fillId="3" borderId="0" xfId="0" applyNumberFormat="1" applyFont="1" applyFill="1" applyProtection="1">
      <protection locked="0"/>
    </xf>
    <xf numFmtId="0" fontId="41" fillId="0" borderId="0" xfId="0" applyFont="1"/>
    <xf numFmtId="2" fontId="0" fillId="3" borderId="1" xfId="0" applyNumberFormat="1" applyFill="1" applyBorder="1" applyProtection="1">
      <protection locked="0"/>
    </xf>
    <xf numFmtId="2" fontId="0" fillId="3" borderId="0" xfId="0" applyNumberFormat="1" applyFill="1" applyProtection="1">
      <protection locked="0"/>
    </xf>
    <xf numFmtId="0" fontId="3" fillId="3" borderId="0" xfId="0" applyFont="1" applyFill="1" applyProtection="1">
      <protection locked="0"/>
    </xf>
    <xf numFmtId="1" fontId="10" fillId="2" borderId="0" xfId="0" applyNumberFormat="1" applyFont="1" applyFill="1" applyProtection="1"/>
    <xf numFmtId="0" fontId="3" fillId="0" borderId="0" xfId="0" applyFont="1" applyBorder="1" applyProtection="1"/>
    <xf numFmtId="0" fontId="6" fillId="0" borderId="10" xfId="4" applyFill="1" applyBorder="1" applyAlignment="1" applyProtection="1">
      <alignment wrapText="1"/>
      <protection locked="0"/>
    </xf>
    <xf numFmtId="0" fontId="6" fillId="0" borderId="0" xfId="4" applyFill="1" applyAlignment="1" applyProtection="1">
      <protection locked="0"/>
    </xf>
    <xf numFmtId="0" fontId="33" fillId="0" borderId="0" xfId="4" applyFont="1" applyAlignment="1" applyProtection="1"/>
    <xf numFmtId="0" fontId="45" fillId="0" borderId="0" xfId="0" applyFont="1"/>
    <xf numFmtId="0" fontId="60" fillId="0" borderId="0" xfId="5"/>
    <xf numFmtId="0" fontId="61" fillId="0" borderId="0" xfId="0" applyFont="1"/>
    <xf numFmtId="166" fontId="3" fillId="2" borderId="1" xfId="0" applyNumberFormat="1" applyFont="1" applyFill="1" applyBorder="1"/>
    <xf numFmtId="0" fontId="10" fillId="5" borderId="0" xfId="0" applyFont="1" applyFill="1"/>
    <xf numFmtId="166" fontId="0" fillId="6" borderId="0" xfId="0" applyNumberFormat="1" applyFill="1"/>
    <xf numFmtId="2" fontId="0" fillId="6" borderId="0" xfId="0" applyNumberFormat="1" applyFill="1"/>
    <xf numFmtId="166" fontId="62" fillId="6" borderId="0" xfId="0" applyNumberFormat="1" applyFont="1" applyFill="1"/>
    <xf numFmtId="165" fontId="0" fillId="6" borderId="0" xfId="0" applyNumberFormat="1" applyFill="1"/>
    <xf numFmtId="166" fontId="3" fillId="6" borderId="0" xfId="0" applyNumberFormat="1" applyFont="1" applyFill="1"/>
    <xf numFmtId="2" fontId="3" fillId="6" borderId="0" xfId="0" applyNumberFormat="1" applyFont="1" applyFill="1"/>
    <xf numFmtId="166" fontId="63" fillId="6" borderId="0" xfId="0" applyNumberFormat="1" applyFont="1" applyFill="1"/>
    <xf numFmtId="0" fontId="62" fillId="0" borderId="0" xfId="0" applyFont="1"/>
    <xf numFmtId="0" fontId="3" fillId="7" borderId="0" xfId="0" applyFont="1" applyFill="1"/>
    <xf numFmtId="0" fontId="64" fillId="0" borderId="0" xfId="0" applyFont="1"/>
    <xf numFmtId="166" fontId="64" fillId="2" borderId="0" xfId="0" applyNumberFormat="1" applyFont="1" applyFill="1"/>
    <xf numFmtId="0" fontId="63" fillId="0" borderId="0" xfId="0" applyFont="1"/>
    <xf numFmtId="166" fontId="63" fillId="2" borderId="0" xfId="0" applyNumberFormat="1" applyFont="1" applyFill="1"/>
    <xf numFmtId="0" fontId="0" fillId="6" borderId="0" xfId="0" applyFill="1"/>
    <xf numFmtId="166" fontId="64" fillId="6" borderId="0" xfId="0" applyNumberFormat="1" applyFont="1" applyFill="1"/>
    <xf numFmtId="166" fontId="63" fillId="6" borderId="1" xfId="0" applyNumberFormat="1" applyFont="1" applyFill="1" applyBorder="1"/>
    <xf numFmtId="0" fontId="0" fillId="5" borderId="0" xfId="0" applyFill="1" applyProtection="1">
      <protection locked="0"/>
    </xf>
    <xf numFmtId="2" fontId="0" fillId="5" borderId="0" xfId="0" applyNumberFormat="1" applyFill="1" applyProtection="1">
      <protection locked="0"/>
    </xf>
    <xf numFmtId="165" fontId="0" fillId="5" borderId="0" xfId="0" applyNumberFormat="1" applyFill="1" applyProtection="1">
      <protection locked="0"/>
    </xf>
    <xf numFmtId="0" fontId="46" fillId="0" borderId="0" xfId="4" applyFont="1" applyAlignment="1" applyProtection="1">
      <protection locked="0"/>
    </xf>
    <xf numFmtId="0" fontId="60" fillId="0" borderId="13" xfId="5" applyBorder="1" applyProtection="1">
      <protection locked="0"/>
    </xf>
    <xf numFmtId="0" fontId="60" fillId="0" borderId="13" xfId="5" applyBorder="1" applyAlignment="1" applyProtection="1">
      <alignment horizontal="center" wrapText="1"/>
      <protection locked="0"/>
    </xf>
    <xf numFmtId="0" fontId="60" fillId="0" borderId="14" xfId="5" applyBorder="1" applyAlignment="1" applyProtection="1">
      <alignment horizontal="center"/>
      <protection locked="0"/>
    </xf>
    <xf numFmtId="164" fontId="60" fillId="0" borderId="15" xfId="5" applyNumberFormat="1" applyBorder="1" applyProtection="1">
      <protection locked="0"/>
    </xf>
    <xf numFmtId="164" fontId="60" fillId="0" borderId="16" xfId="5" applyNumberFormat="1" applyBorder="1" applyProtection="1">
      <protection locked="0"/>
    </xf>
    <xf numFmtId="164" fontId="60" fillId="0" borderId="17" xfId="5" applyNumberFormat="1" applyBorder="1" applyProtection="1">
      <protection locked="0"/>
    </xf>
    <xf numFmtId="0" fontId="60" fillId="0" borderId="18" xfId="5" applyBorder="1" applyAlignment="1" applyProtection="1">
      <alignment horizontal="center"/>
      <protection locked="0"/>
    </xf>
    <xf numFmtId="164" fontId="60" fillId="0" borderId="19" xfId="5" applyNumberFormat="1" applyBorder="1" applyProtection="1">
      <protection locked="0"/>
    </xf>
    <xf numFmtId="164" fontId="60" fillId="0" borderId="1" xfId="5" applyNumberFormat="1" applyBorder="1" applyProtection="1">
      <protection locked="0"/>
    </xf>
    <xf numFmtId="164" fontId="60" fillId="0" borderId="20" xfId="5" applyNumberFormat="1" applyBorder="1" applyProtection="1">
      <protection locked="0"/>
    </xf>
    <xf numFmtId="0" fontId="60" fillId="0" borderId="21" xfId="5" applyBorder="1" applyAlignment="1" applyProtection="1">
      <alignment horizontal="center"/>
      <protection locked="0"/>
    </xf>
    <xf numFmtId="164" fontId="60" fillId="0" borderId="22" xfId="5" applyNumberFormat="1" applyBorder="1" applyProtection="1">
      <protection locked="0"/>
    </xf>
    <xf numFmtId="164" fontId="60" fillId="0" borderId="23" xfId="5" applyNumberFormat="1" applyBorder="1" applyProtection="1">
      <protection locked="0"/>
    </xf>
    <xf numFmtId="164" fontId="60" fillId="0" borderId="24" xfId="5" applyNumberFormat="1" applyBorder="1" applyProtection="1">
      <protection locked="0"/>
    </xf>
    <xf numFmtId="166" fontId="0" fillId="5" borderId="0" xfId="0" applyNumberFormat="1" applyFill="1" applyProtection="1">
      <protection locked="0"/>
    </xf>
    <xf numFmtId="1" fontId="0" fillId="6" borderId="0" xfId="0" applyNumberFormat="1" applyFill="1"/>
    <xf numFmtId="164" fontId="0" fillId="6" borderId="0" xfId="0" applyNumberFormat="1" applyFill="1"/>
    <xf numFmtId="1" fontId="3" fillId="2" borderId="0" xfId="0" applyNumberFormat="1" applyFont="1" applyFill="1"/>
    <xf numFmtId="0" fontId="10" fillId="0" borderId="0" xfId="0" applyNumberFormat="1" applyFont="1" applyAlignment="1">
      <alignment wrapText="1"/>
    </xf>
    <xf numFmtId="0" fontId="10" fillId="0" borderId="0" xfId="0" applyFont="1" applyAlignment="1">
      <alignment wrapText="1"/>
    </xf>
    <xf numFmtId="0" fontId="3" fillId="0" borderId="0" xfId="0" applyFont="1" applyAlignment="1">
      <alignment wrapText="1"/>
    </xf>
    <xf numFmtId="1" fontId="3" fillId="6" borderId="0" xfId="0" applyNumberFormat="1" applyFont="1" applyFill="1"/>
    <xf numFmtId="0" fontId="0" fillId="6" borderId="0" xfId="0" applyFill="1" applyProtection="1"/>
    <xf numFmtId="1" fontId="0" fillId="6" borderId="0" xfId="0" applyNumberFormat="1" applyFill="1" applyProtection="1"/>
    <xf numFmtId="170" fontId="47" fillId="6" borderId="0" xfId="1" applyNumberFormat="1" applyFont="1" applyFill="1"/>
    <xf numFmtId="0" fontId="6" fillId="0" borderId="10" xfId="4" applyFill="1" applyBorder="1" applyAlignment="1" applyProtection="1">
      <protection locked="0"/>
    </xf>
    <xf numFmtId="0" fontId="6" fillId="0" borderId="5" xfId="4" applyFill="1" applyBorder="1" applyAlignment="1" applyProtection="1">
      <protection locked="0"/>
    </xf>
    <xf numFmtId="0" fontId="6" fillId="0" borderId="7" xfId="4" applyFill="1" applyBorder="1" applyAlignment="1" applyProtection="1">
      <protection locked="0"/>
    </xf>
    <xf numFmtId="0" fontId="6" fillId="0" borderId="9" xfId="4" applyFill="1" applyBorder="1" applyAlignment="1" applyProtection="1">
      <protection locked="0"/>
    </xf>
    <xf numFmtId="168" fontId="0" fillId="6" borderId="0" xfId="0" applyNumberFormat="1" applyFill="1"/>
    <xf numFmtId="0" fontId="33" fillId="0" borderId="0" xfId="4" applyFont="1" applyFill="1" applyAlignment="1" applyProtection="1"/>
    <xf numFmtId="0" fontId="63" fillId="0" borderId="0" xfId="0" applyFont="1" applyFill="1"/>
    <xf numFmtId="167" fontId="0" fillId="6" borderId="0" xfId="0" applyNumberFormat="1" applyFill="1"/>
    <xf numFmtId="164" fontId="10" fillId="3" borderId="0" xfId="0" applyNumberFormat="1" applyFont="1" applyFill="1" applyProtection="1">
      <protection locked="0"/>
    </xf>
    <xf numFmtId="173" fontId="0" fillId="5" borderId="0" xfId="0" applyNumberFormat="1" applyFill="1" applyProtection="1">
      <protection locked="0"/>
    </xf>
    <xf numFmtId="0" fontId="65" fillId="5" borderId="0" xfId="4" applyFont="1" applyFill="1" applyAlignment="1" applyProtection="1">
      <protection locked="0"/>
    </xf>
    <xf numFmtId="0" fontId="65" fillId="0" borderId="0" xfId="4" applyFont="1" applyFill="1" applyAlignment="1" applyProtection="1">
      <protection locked="0"/>
    </xf>
    <xf numFmtId="0" fontId="66" fillId="0" borderId="0" xfId="4" applyFont="1" applyFill="1" applyAlignment="1" applyProtection="1"/>
    <xf numFmtId="0" fontId="48" fillId="0" borderId="0" xfId="0" applyFont="1"/>
    <xf numFmtId="0" fontId="0" fillId="0" borderId="0" xfId="0" applyFill="1" applyProtection="1">
      <protection locked="0"/>
    </xf>
    <xf numFmtId="170" fontId="49" fillId="5" borderId="0" xfId="1" applyNumberFormat="1" applyFont="1" applyFill="1" applyProtection="1">
      <protection locked="0"/>
    </xf>
    <xf numFmtId="170" fontId="10" fillId="2" borderId="0" xfId="1" applyNumberFormat="1" applyFont="1" applyFill="1"/>
    <xf numFmtId="2" fontId="10" fillId="0" borderId="0" xfId="0" applyNumberFormat="1" applyFont="1" applyFill="1"/>
    <xf numFmtId="170" fontId="10" fillId="0" borderId="0" xfId="1" applyNumberFormat="1" applyFont="1" applyFill="1"/>
    <xf numFmtId="0" fontId="52" fillId="0" borderId="0" xfId="0" applyFont="1"/>
    <xf numFmtId="0" fontId="10" fillId="0" borderId="0" xfId="7"/>
    <xf numFmtId="0" fontId="52" fillId="0" borderId="0" xfId="7" applyFont="1"/>
    <xf numFmtId="0" fontId="52" fillId="0" borderId="0" xfId="7" applyFont="1" applyBorder="1" applyAlignment="1">
      <alignment horizontal="right"/>
    </xf>
    <xf numFmtId="0" fontId="52" fillId="0" borderId="0" xfId="7" applyFont="1" applyBorder="1"/>
    <xf numFmtId="0" fontId="52" fillId="3" borderId="0" xfId="7" applyFont="1" applyFill="1"/>
    <xf numFmtId="0" fontId="52" fillId="2" borderId="0" xfId="7" applyFont="1" applyFill="1"/>
    <xf numFmtId="0" fontId="55" fillId="0" borderId="0" xfId="4" applyFont="1" applyAlignment="1" applyProtection="1">
      <protection locked="0"/>
    </xf>
    <xf numFmtId="2" fontId="52" fillId="2" borderId="0" xfId="7" applyNumberFormat="1" applyFont="1" applyFill="1"/>
    <xf numFmtId="0" fontId="53" fillId="0" borderId="0" xfId="7" applyFont="1" applyBorder="1" applyProtection="1">
      <protection locked="0"/>
    </xf>
    <xf numFmtId="170" fontId="53" fillId="2" borderId="0" xfId="2" applyNumberFormat="1" applyFont="1" applyFill="1"/>
    <xf numFmtId="0" fontId="10" fillId="0" borderId="0" xfId="7" applyFont="1"/>
    <xf numFmtId="170" fontId="3" fillId="2" borderId="0" xfId="2" applyNumberFormat="1" applyFont="1" applyFill="1"/>
    <xf numFmtId="1" fontId="3" fillId="2" borderId="0" xfId="7" applyNumberFormat="1" applyFont="1" applyFill="1"/>
    <xf numFmtId="0" fontId="10" fillId="3" borderId="0" xfId="7" applyFont="1" applyFill="1"/>
    <xf numFmtId="0" fontId="10" fillId="2" borderId="0" xfId="7" applyFont="1" applyFill="1"/>
    <xf numFmtId="0" fontId="3" fillId="2" borderId="0" xfId="7" applyFont="1" applyFill="1"/>
    <xf numFmtId="0" fontId="6" fillId="0" borderId="10" xfId="4" applyFont="1" applyFill="1" applyBorder="1" applyAlignment="1" applyProtection="1">
      <protection locked="0"/>
    </xf>
    <xf numFmtId="3" fontId="52" fillId="5" borderId="0" xfId="7" applyNumberFormat="1" applyFont="1" applyFill="1" applyBorder="1" applyProtection="1">
      <protection locked="0"/>
    </xf>
    <xf numFmtId="2" fontId="52" fillId="5" borderId="0" xfId="7" applyNumberFormat="1" applyFont="1" applyFill="1" applyBorder="1" applyProtection="1">
      <protection locked="0"/>
    </xf>
    <xf numFmtId="172" fontId="0" fillId="5" borderId="0" xfId="0" applyNumberFormat="1" applyFill="1" applyProtection="1">
      <protection locked="0"/>
    </xf>
    <xf numFmtId="3" fontId="0" fillId="5" borderId="0" xfId="0" applyNumberFormat="1" applyFill="1" applyProtection="1">
      <protection locked="0"/>
    </xf>
    <xf numFmtId="1" fontId="0" fillId="5" borderId="0" xfId="0" applyNumberFormat="1" applyFill="1"/>
    <xf numFmtId="170" fontId="0" fillId="3" borderId="0" xfId="1" applyNumberFormat="1" applyFont="1" applyFill="1" applyProtection="1">
      <protection locked="0"/>
    </xf>
    <xf numFmtId="43" fontId="0" fillId="3" borderId="0" xfId="1" applyNumberFormat="1" applyFont="1" applyFill="1" applyProtection="1">
      <protection locked="0"/>
    </xf>
    <xf numFmtId="2" fontId="0" fillId="0" borderId="0" xfId="0" applyNumberFormat="1" applyFill="1"/>
    <xf numFmtId="169" fontId="0" fillId="3" borderId="0" xfId="1" applyNumberFormat="1" applyFont="1" applyFill="1" applyProtection="1">
      <protection locked="0"/>
    </xf>
    <xf numFmtId="174" fontId="0" fillId="6" borderId="0" xfId="0" applyNumberFormat="1" applyFill="1"/>
    <xf numFmtId="172" fontId="0" fillId="0" borderId="0" xfId="0" applyNumberFormat="1"/>
    <xf numFmtId="0" fontId="6" fillId="0" borderId="25" xfId="4" applyBorder="1" applyAlignment="1" applyProtection="1">
      <protection locked="0"/>
    </xf>
    <xf numFmtId="172" fontId="0" fillId="0" borderId="0" xfId="0" applyNumberFormat="1" applyFill="1"/>
    <xf numFmtId="3" fontId="0" fillId="0" borderId="0" xfId="0" applyNumberFormat="1" applyFill="1"/>
    <xf numFmtId="0" fontId="23" fillId="0" borderId="0" xfId="0" applyFont="1" applyFill="1"/>
    <xf numFmtId="0" fontId="3" fillId="0" borderId="0" xfId="7" applyFont="1"/>
    <xf numFmtId="0" fontId="10" fillId="0" borderId="1" xfId="7" applyFont="1" applyBorder="1"/>
    <xf numFmtId="0" fontId="10" fillId="0" borderId="0" xfId="7" applyFont="1" applyFill="1"/>
    <xf numFmtId="0" fontId="10" fillId="0" borderId="0" xfId="7" applyFill="1"/>
    <xf numFmtId="0" fontId="10" fillId="0" borderId="1" xfId="7" applyFont="1" applyFill="1" applyBorder="1"/>
    <xf numFmtId="0" fontId="3" fillId="0" borderId="0" xfId="6" applyFont="1"/>
    <xf numFmtId="0" fontId="10" fillId="0" borderId="0" xfId="6"/>
    <xf numFmtId="0" fontId="10" fillId="0" borderId="1" xfId="6" applyFont="1" applyBorder="1"/>
    <xf numFmtId="0" fontId="10" fillId="0" borderId="0" xfId="6" applyFont="1" applyFill="1"/>
    <xf numFmtId="0" fontId="10" fillId="0" borderId="0" xfId="6" applyFill="1"/>
    <xf numFmtId="0" fontId="10" fillId="0" borderId="1" xfId="6" applyFont="1" applyFill="1" applyBorder="1"/>
    <xf numFmtId="0" fontId="10" fillId="0" borderId="26" xfId="6" applyFill="1" applyBorder="1"/>
    <xf numFmtId="166" fontId="10" fillId="0" borderId="26" xfId="6" applyNumberFormat="1" applyFill="1" applyBorder="1"/>
    <xf numFmtId="0" fontId="10" fillId="0" borderId="0" xfId="6" applyFont="1" applyFill="1" applyBorder="1"/>
    <xf numFmtId="166" fontId="10" fillId="0" borderId="0" xfId="6" applyNumberFormat="1" applyFill="1" applyBorder="1"/>
    <xf numFmtId="3" fontId="10" fillId="0" borderId="0" xfId="6" applyNumberFormat="1"/>
    <xf numFmtId="0" fontId="0" fillId="0" borderId="12" xfId="0" applyBorder="1" applyProtection="1">
      <protection locked="0"/>
    </xf>
    <xf numFmtId="0" fontId="6" fillId="0" borderId="11" xfId="4" applyFill="1" applyBorder="1" applyAlignment="1" applyProtection="1">
      <protection locked="0"/>
    </xf>
    <xf numFmtId="172" fontId="0" fillId="8" borderId="0" xfId="0" applyNumberFormat="1" applyFill="1"/>
    <xf numFmtId="4" fontId="0" fillId="5" borderId="0" xfId="0" applyNumberFormat="1" applyFill="1" applyProtection="1">
      <protection locked="0"/>
    </xf>
    <xf numFmtId="172" fontId="3" fillId="8" borderId="0" xfId="0" applyNumberFormat="1" applyFont="1" applyFill="1"/>
    <xf numFmtId="2" fontId="3" fillId="2" borderId="0" xfId="0" applyNumberFormat="1" applyFont="1" applyFill="1"/>
    <xf numFmtId="0" fontId="10" fillId="5" borderId="1" xfId="7" applyFill="1" applyBorder="1" applyProtection="1">
      <protection locked="0"/>
    </xf>
    <xf numFmtId="2" fontId="10" fillId="5" borderId="1" xfId="7" applyNumberFormat="1" applyFill="1" applyBorder="1" applyProtection="1">
      <protection locked="0"/>
    </xf>
    <xf numFmtId="165" fontId="10" fillId="5" borderId="1" xfId="7" applyNumberFormat="1" applyFill="1" applyBorder="1" applyProtection="1">
      <protection locked="0"/>
    </xf>
    <xf numFmtId="170" fontId="57" fillId="5" borderId="1" xfId="2" applyNumberFormat="1" applyFont="1" applyFill="1" applyBorder="1" applyProtection="1">
      <protection locked="0"/>
    </xf>
    <xf numFmtId="166" fontId="10" fillId="5" borderId="1" xfId="7" applyNumberFormat="1" applyFill="1" applyBorder="1" applyProtection="1">
      <protection locked="0"/>
    </xf>
    <xf numFmtId="0" fontId="3" fillId="0" borderId="1" xfId="7" applyFont="1" applyFill="1" applyBorder="1"/>
    <xf numFmtId="0" fontId="67" fillId="0" borderId="0" xfId="7" applyFont="1"/>
    <xf numFmtId="0" fontId="10" fillId="5" borderId="1" xfId="6" applyFill="1" applyBorder="1" applyProtection="1">
      <protection locked="0"/>
    </xf>
    <xf numFmtId="166" fontId="10" fillId="5" borderId="1" xfId="6" applyNumberFormat="1" applyFill="1" applyBorder="1" applyProtection="1">
      <protection locked="0"/>
    </xf>
    <xf numFmtId="0" fontId="3" fillId="0" borderId="1" xfId="6" applyFont="1" applyFill="1" applyBorder="1"/>
    <xf numFmtId="0" fontId="67" fillId="0" borderId="0" xfId="6" applyFont="1"/>
    <xf numFmtId="166" fontId="10" fillId="8" borderId="1" xfId="6" applyNumberFormat="1" applyFill="1" applyBorder="1"/>
    <xf numFmtId="3" fontId="10" fillId="8" borderId="1" xfId="6" applyNumberFormat="1" applyFill="1" applyBorder="1"/>
    <xf numFmtId="166" fontId="3" fillId="8" borderId="0" xfId="0" applyNumberFormat="1" applyFont="1" applyFill="1"/>
    <xf numFmtId="3" fontId="3" fillId="8" borderId="0" xfId="0" applyNumberFormat="1" applyFont="1" applyFill="1"/>
    <xf numFmtId="1" fontId="0" fillId="5" borderId="0" xfId="0" applyNumberFormat="1" applyFill="1" applyProtection="1">
      <protection locked="0"/>
    </xf>
    <xf numFmtId="0" fontId="6" fillId="0" borderId="3" xfId="4" applyFill="1" applyBorder="1" applyAlignment="1" applyProtection="1">
      <protection locked="0"/>
    </xf>
    <xf numFmtId="0" fontId="12" fillId="16" borderId="13" xfId="0" applyFont="1" applyFill="1" applyBorder="1" applyAlignment="1">
      <alignment horizontal="center" vertical="center"/>
    </xf>
    <xf numFmtId="170" fontId="3" fillId="2" borderId="0" xfId="1" applyNumberFormat="1" applyFont="1" applyFill="1"/>
    <xf numFmtId="170" fontId="51" fillId="5" borderId="0" xfId="1" applyNumberFormat="1" applyFont="1" applyFill="1" applyProtection="1">
      <protection locked="0"/>
    </xf>
    <xf numFmtId="3" fontId="56" fillId="5" borderId="0" xfId="7" applyNumberFormat="1" applyFont="1" applyFill="1" applyBorder="1" applyProtection="1">
      <protection locked="0"/>
    </xf>
    <xf numFmtId="2" fontId="56" fillId="5" borderId="0" xfId="7" applyNumberFormat="1" applyFont="1" applyFill="1" applyBorder="1" applyProtection="1">
      <protection locked="0"/>
    </xf>
    <xf numFmtId="166" fontId="10" fillId="8" borderId="1" xfId="7" applyNumberFormat="1" applyFill="1" applyBorder="1"/>
    <xf numFmtId="3" fontId="10" fillId="8" borderId="1" xfId="7" applyNumberFormat="1" applyFill="1" applyBorder="1"/>
    <xf numFmtId="166" fontId="3" fillId="8" borderId="1" xfId="7" applyNumberFormat="1" applyFont="1" applyFill="1" applyBorder="1"/>
    <xf numFmtId="0" fontId="9" fillId="0" borderId="0" xfId="4" applyFont="1" applyFill="1" applyBorder="1" applyAlignment="1" applyProtection="1">
      <alignment horizontal="center"/>
    </xf>
    <xf numFmtId="0" fontId="36" fillId="0" borderId="8" xfId="0" applyFont="1" applyBorder="1" applyAlignment="1" applyProtection="1">
      <alignment horizontal="center"/>
      <protection locked="0"/>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3" fillId="12" borderId="9" xfId="0" applyFont="1" applyFill="1" applyBorder="1" applyAlignment="1">
      <alignment horizontal="center" vertical="center"/>
    </xf>
    <xf numFmtId="0" fontId="3" fillId="12" borderId="10" xfId="0" applyFont="1" applyFill="1" applyBorder="1" applyAlignment="1">
      <alignment horizontal="center" vertical="center"/>
    </xf>
    <xf numFmtId="0" fontId="3" fillId="12" borderId="11"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10" borderId="9" xfId="0" applyFont="1" applyFill="1" applyBorder="1" applyAlignment="1">
      <alignment horizontal="center" vertical="center"/>
    </xf>
    <xf numFmtId="0" fontId="12" fillId="10" borderId="10" xfId="0" applyFont="1" applyFill="1" applyBorder="1" applyAlignment="1">
      <alignment horizontal="center" vertical="center"/>
    </xf>
    <xf numFmtId="0" fontId="12" fillId="10" borderId="11" xfId="0" applyFont="1" applyFill="1" applyBorder="1" applyAlignment="1">
      <alignment horizontal="center" vertical="center"/>
    </xf>
    <xf numFmtId="0" fontId="58" fillId="13" borderId="9" xfId="0" applyFont="1" applyFill="1" applyBorder="1" applyAlignment="1">
      <alignment horizontal="center" vertical="center"/>
    </xf>
    <xf numFmtId="0" fontId="58" fillId="13" borderId="10" xfId="0" applyFont="1" applyFill="1" applyBorder="1" applyAlignment="1">
      <alignment horizontal="center" vertical="center"/>
    </xf>
    <xf numFmtId="0" fontId="58" fillId="13" borderId="11" xfId="0" applyFont="1" applyFill="1" applyBorder="1" applyAlignment="1">
      <alignment horizontal="center" vertical="center"/>
    </xf>
    <xf numFmtId="0" fontId="12" fillId="14" borderId="9" xfId="0" applyFont="1" applyFill="1" applyBorder="1" applyAlignment="1">
      <alignment horizontal="center" vertical="center"/>
    </xf>
    <xf numFmtId="0" fontId="12" fillId="14" borderId="10" xfId="0" applyFont="1" applyFill="1" applyBorder="1" applyAlignment="1">
      <alignment horizontal="center" vertical="center"/>
    </xf>
    <xf numFmtId="0" fontId="12" fillId="14" borderId="11"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11" xfId="0" applyFont="1" applyFill="1" applyBorder="1" applyAlignment="1">
      <alignment horizontal="center" vertical="center"/>
    </xf>
    <xf numFmtId="44" fontId="59" fillId="0" borderId="0" xfId="3" applyFont="1" applyBorder="1" applyAlignment="1">
      <alignment horizontal="right" vertical="center"/>
    </xf>
    <xf numFmtId="0" fontId="12" fillId="15" borderId="2" xfId="0" applyFont="1" applyFill="1" applyBorder="1" applyAlignment="1">
      <alignment horizontal="center" vertical="center"/>
    </xf>
    <xf numFmtId="0" fontId="12" fillId="15" borderId="4" xfId="0" applyFont="1" applyFill="1" applyBorder="1" applyAlignment="1">
      <alignment horizontal="center" vertical="center"/>
    </xf>
    <xf numFmtId="0" fontId="12" fillId="15" borderId="6" xfId="0" applyFont="1" applyFill="1" applyBorder="1" applyAlignment="1">
      <alignment horizontal="center" vertical="center"/>
    </xf>
    <xf numFmtId="0" fontId="54" fillId="0" borderId="0" xfId="7" applyFont="1" applyBorder="1" applyAlignment="1" applyProtection="1">
      <alignment horizontal="center"/>
      <protection locked="0"/>
    </xf>
    <xf numFmtId="0" fontId="53" fillId="0" borderId="0" xfId="7" applyFont="1" applyBorder="1" applyAlignment="1" applyProtection="1">
      <alignment horizontal="left"/>
      <protection locked="0"/>
    </xf>
    <xf numFmtId="0" fontId="65" fillId="5" borderId="0" xfId="0" applyFont="1" applyFill="1" applyAlignment="1">
      <alignment horizontal="center"/>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horizontal="left" wrapText="1"/>
    </xf>
  </cellXfs>
  <cellStyles count="9">
    <cellStyle name="Comma" xfId="1" builtinId="3"/>
    <cellStyle name="Comma 2" xfId="2"/>
    <cellStyle name="Currency" xfId="3" builtinId="4"/>
    <cellStyle name="Hyperlink" xfId="4" builtinId="8"/>
    <cellStyle name="Normal" xfId="0" builtinId="0"/>
    <cellStyle name="Normal 2" xfId="5"/>
    <cellStyle name="Normal 2 2" xfId="6"/>
    <cellStyle name="Normal 3" xfId="7"/>
    <cellStyle name="Percent" xfId="8" builtinId="5"/>
  </cellStyles>
  <dxfs count="2">
    <dxf>
      <font>
        <condense val="0"/>
        <extend val="0"/>
        <color auto="1"/>
      </font>
      <fill>
        <patternFill>
          <bgColor indexed="42"/>
        </patternFill>
      </fill>
    </dxf>
    <dxf>
      <font>
        <condense val="0"/>
        <extend val="0"/>
        <color indexed="13"/>
      </font>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rillingformulas.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142875</xdr:rowOff>
    </xdr:from>
    <xdr:to>
      <xdr:col>2</xdr:col>
      <xdr:colOff>9525</xdr:colOff>
      <xdr:row>3</xdr:row>
      <xdr:rowOff>104775</xdr:rowOff>
    </xdr:to>
    <xdr:pic>
      <xdr:nvPicPr>
        <xdr:cNvPr id="6651" name="Picture 3" descr="Drillingformulas-Logo-2016.png">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276225" y="142875"/>
          <a:ext cx="1952625"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1</xdr:row>
      <xdr:rowOff>19050</xdr:rowOff>
    </xdr:from>
    <xdr:to>
      <xdr:col>6</xdr:col>
      <xdr:colOff>66675</xdr:colOff>
      <xdr:row>13</xdr:row>
      <xdr:rowOff>0</xdr:rowOff>
    </xdr:to>
    <xdr:sp macro="" textlink="">
      <xdr:nvSpPr>
        <xdr:cNvPr id="2" name="Rectangle 1"/>
        <xdr:cNvSpPr/>
      </xdr:nvSpPr>
      <xdr:spPr>
        <a:xfrm>
          <a:off x="4381500" y="180975"/>
          <a:ext cx="1238250" cy="192405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581024</xdr:colOff>
      <xdr:row>1</xdr:row>
      <xdr:rowOff>38100</xdr:rowOff>
    </xdr:from>
    <xdr:to>
      <xdr:col>5</xdr:col>
      <xdr:colOff>171449</xdr:colOff>
      <xdr:row>12</xdr:row>
      <xdr:rowOff>161924</xdr:rowOff>
    </xdr:to>
    <xdr:sp macro="" textlink="">
      <xdr:nvSpPr>
        <xdr:cNvPr id="3" name="Rectangle 2"/>
        <xdr:cNvSpPr/>
      </xdr:nvSpPr>
      <xdr:spPr>
        <a:xfrm>
          <a:off x="4914899" y="200025"/>
          <a:ext cx="200025" cy="1904999"/>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47625</xdr:colOff>
      <xdr:row>11</xdr:row>
      <xdr:rowOff>28575</xdr:rowOff>
    </xdr:from>
    <xdr:to>
      <xdr:col>6</xdr:col>
      <xdr:colOff>66675</xdr:colOff>
      <xdr:row>13</xdr:row>
      <xdr:rowOff>0</xdr:rowOff>
    </xdr:to>
    <xdr:sp macro="" textlink="">
      <xdr:nvSpPr>
        <xdr:cNvPr id="4" name="Rectangle 3"/>
        <xdr:cNvSpPr/>
      </xdr:nvSpPr>
      <xdr:spPr>
        <a:xfrm>
          <a:off x="4381500" y="1809750"/>
          <a:ext cx="1238250" cy="295275"/>
        </a:xfrm>
        <a:prstGeom prst="rect">
          <a:avLst/>
        </a:prstGeom>
        <a:blipFill>
          <a:blip xmlns:r="http://schemas.openxmlformats.org/officeDocument/2006/relationships" r:embed="rId1" cstate="print"/>
          <a:tile tx="0" ty="0" sx="100000" sy="100000" flip="none" algn="tl"/>
        </a:bli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1</xdr:row>
      <xdr:rowOff>19050</xdr:rowOff>
    </xdr:from>
    <xdr:to>
      <xdr:col>6</xdr:col>
      <xdr:colOff>66675</xdr:colOff>
      <xdr:row>13</xdr:row>
      <xdr:rowOff>0</xdr:rowOff>
    </xdr:to>
    <xdr:sp macro="" textlink="">
      <xdr:nvSpPr>
        <xdr:cNvPr id="2" name="Rectangle 1"/>
        <xdr:cNvSpPr/>
      </xdr:nvSpPr>
      <xdr:spPr>
        <a:xfrm>
          <a:off x="4381500" y="180975"/>
          <a:ext cx="1238250" cy="192405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581025</xdr:colOff>
      <xdr:row>1</xdr:row>
      <xdr:rowOff>38101</xdr:rowOff>
    </xdr:from>
    <xdr:to>
      <xdr:col>5</xdr:col>
      <xdr:colOff>161925</xdr:colOff>
      <xdr:row>8</xdr:row>
      <xdr:rowOff>123826</xdr:rowOff>
    </xdr:to>
    <xdr:sp macro="" textlink="">
      <xdr:nvSpPr>
        <xdr:cNvPr id="3" name="Rectangle 2"/>
        <xdr:cNvSpPr/>
      </xdr:nvSpPr>
      <xdr:spPr>
        <a:xfrm>
          <a:off x="4914900" y="200026"/>
          <a:ext cx="190500" cy="12192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47625</xdr:colOff>
      <xdr:row>7</xdr:row>
      <xdr:rowOff>66675</xdr:rowOff>
    </xdr:from>
    <xdr:to>
      <xdr:col>6</xdr:col>
      <xdr:colOff>66675</xdr:colOff>
      <xdr:row>8</xdr:row>
      <xdr:rowOff>142875</xdr:rowOff>
    </xdr:to>
    <xdr:sp macro="" textlink="">
      <xdr:nvSpPr>
        <xdr:cNvPr id="4" name="Rectangle 3"/>
        <xdr:cNvSpPr/>
      </xdr:nvSpPr>
      <xdr:spPr>
        <a:xfrm>
          <a:off x="4381500" y="1200150"/>
          <a:ext cx="1238250" cy="238125"/>
        </a:xfrm>
        <a:prstGeom prst="rect">
          <a:avLst/>
        </a:prstGeom>
        <a:gradFill>
          <a:gsLst>
            <a:gs pos="0">
              <a:schemeClr val="bg1">
                <a:lumMod val="65000"/>
              </a:schemeClr>
            </a:gs>
            <a:gs pos="54000">
              <a:schemeClr val="tx1"/>
            </a:gs>
            <a:gs pos="98000">
              <a:schemeClr val="bg1">
                <a:lumMod val="75000"/>
              </a:schemeClr>
            </a:gs>
          </a:gsLst>
          <a:lin ang="5400000" scaled="0"/>
        </a:gra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47625</xdr:colOff>
      <xdr:row>5</xdr:row>
      <xdr:rowOff>95250</xdr:rowOff>
    </xdr:from>
    <xdr:to>
      <xdr:col>6</xdr:col>
      <xdr:colOff>66675</xdr:colOff>
      <xdr:row>7</xdr:row>
      <xdr:rowOff>66675</xdr:rowOff>
    </xdr:to>
    <xdr:sp macro="" textlink="">
      <xdr:nvSpPr>
        <xdr:cNvPr id="5" name="Rectangle 4"/>
        <xdr:cNvSpPr/>
      </xdr:nvSpPr>
      <xdr:spPr>
        <a:xfrm>
          <a:off x="4381500" y="904875"/>
          <a:ext cx="1238250" cy="295275"/>
        </a:xfrm>
        <a:prstGeom prst="rect">
          <a:avLst/>
        </a:prstGeom>
        <a:blipFill>
          <a:blip xmlns:r="http://schemas.openxmlformats.org/officeDocument/2006/relationships" r:embed="rId1" cstate="print"/>
          <a:tile tx="0" ty="0" sx="100000" sy="100000" flip="none" algn="tl"/>
        </a:bli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4</xdr:col>
      <xdr:colOff>47625</xdr:colOff>
      <xdr:row>8</xdr:row>
      <xdr:rowOff>152400</xdr:rowOff>
    </xdr:from>
    <xdr:to>
      <xdr:col>6</xdr:col>
      <xdr:colOff>66675</xdr:colOff>
      <xdr:row>12</xdr:row>
      <xdr:rowOff>152400</xdr:rowOff>
    </xdr:to>
    <xdr:sp macro="" textlink="">
      <xdr:nvSpPr>
        <xdr:cNvPr id="6" name="Rectangle 5"/>
        <xdr:cNvSpPr/>
      </xdr:nvSpPr>
      <xdr:spPr>
        <a:xfrm>
          <a:off x="4381500" y="1447800"/>
          <a:ext cx="1238250" cy="647700"/>
        </a:xfrm>
        <a:prstGeom prst="rect">
          <a:avLst/>
        </a:prstGeom>
        <a:blipFill>
          <a:blip xmlns:r="http://schemas.openxmlformats.org/officeDocument/2006/relationships" r:embed="rId1" cstate="print"/>
          <a:tile tx="0" ty="0" sx="100000" sy="100000" flip="none" algn="tl"/>
        </a:blip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381000</xdr:colOff>
      <xdr:row>15</xdr:row>
      <xdr:rowOff>0</xdr:rowOff>
    </xdr:from>
    <xdr:to>
      <xdr:col>8</xdr:col>
      <xdr:colOff>438150</xdr:colOff>
      <xdr:row>22</xdr:row>
      <xdr:rowOff>66675</xdr:rowOff>
    </xdr:to>
    <xdr:pic>
      <xdr:nvPicPr>
        <xdr:cNvPr id="1883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619500" y="2457450"/>
          <a:ext cx="6086475" cy="1200150"/>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47625</xdr:colOff>
      <xdr:row>0</xdr:row>
      <xdr:rowOff>47625</xdr:rowOff>
    </xdr:from>
    <xdr:to>
      <xdr:col>9</xdr:col>
      <xdr:colOff>0</xdr:colOff>
      <xdr:row>7</xdr:row>
      <xdr:rowOff>114300</xdr:rowOff>
    </xdr:to>
    <xdr:pic>
      <xdr:nvPicPr>
        <xdr:cNvPr id="10714"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4562475" y="47625"/>
          <a:ext cx="6086475" cy="1200150"/>
        </a:xfrm>
        <a:prstGeom prst="rect">
          <a:avLst/>
        </a:prstGeom>
        <a:noFill/>
        <a:ln w="1">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4</xdr:col>
      <xdr:colOff>2838450</xdr:colOff>
      <xdr:row>10</xdr:row>
      <xdr:rowOff>57150</xdr:rowOff>
    </xdr:to>
    <xdr:pic>
      <xdr:nvPicPr>
        <xdr:cNvPr id="1320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48100" y="647700"/>
          <a:ext cx="2838450" cy="1028700"/>
        </a:xfrm>
        <a:prstGeom prst="rect">
          <a:avLst/>
        </a:prstGeom>
        <a:noFill/>
        <a:ln w="1">
          <a:noFill/>
          <a:miter lim="800000"/>
          <a:headEnd/>
          <a:tailEnd/>
        </a:ln>
      </xdr:spPr>
    </xdr:pic>
    <xdr:clientData/>
  </xdr:twoCellAnchor>
  <xdr:twoCellAnchor editAs="oneCell">
    <xdr:from>
      <xdr:col>5</xdr:col>
      <xdr:colOff>133350</xdr:colOff>
      <xdr:row>1</xdr:row>
      <xdr:rowOff>0</xdr:rowOff>
    </xdr:from>
    <xdr:to>
      <xdr:col>9</xdr:col>
      <xdr:colOff>200025</xdr:colOff>
      <xdr:row>23</xdr:row>
      <xdr:rowOff>114300</xdr:rowOff>
    </xdr:to>
    <xdr:pic>
      <xdr:nvPicPr>
        <xdr:cNvPr id="13204"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7591425" y="161925"/>
          <a:ext cx="2505075" cy="4486275"/>
        </a:xfrm>
        <a:prstGeom prst="rect">
          <a:avLst/>
        </a:prstGeom>
        <a:noFill/>
        <a:ln w="1">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4</xdr:col>
      <xdr:colOff>2838450</xdr:colOff>
      <xdr:row>10</xdr:row>
      <xdr:rowOff>57150</xdr:rowOff>
    </xdr:to>
    <xdr:pic>
      <xdr:nvPicPr>
        <xdr:cNvPr id="10156"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990975" y="647700"/>
          <a:ext cx="2838450" cy="1028700"/>
        </a:xfrm>
        <a:prstGeom prst="rect">
          <a:avLst/>
        </a:prstGeom>
        <a:noFill/>
        <a:ln w="1">
          <a:noFill/>
          <a:miter lim="800000"/>
          <a:headEnd/>
          <a:tailEnd/>
        </a:ln>
      </xdr:spPr>
    </xdr:pic>
    <xdr:clientData/>
  </xdr:twoCellAnchor>
  <xdr:twoCellAnchor editAs="oneCell">
    <xdr:from>
      <xdr:col>5</xdr:col>
      <xdr:colOff>76200</xdr:colOff>
      <xdr:row>0</xdr:row>
      <xdr:rowOff>76200</xdr:rowOff>
    </xdr:from>
    <xdr:to>
      <xdr:col>9</xdr:col>
      <xdr:colOff>142875</xdr:colOff>
      <xdr:row>28</xdr:row>
      <xdr:rowOff>28575</xdr:rowOff>
    </xdr:to>
    <xdr:pic>
      <xdr:nvPicPr>
        <xdr:cNvPr id="10157"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7762875" y="76200"/>
          <a:ext cx="2505075" cy="44862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00.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angle-averaging-method-in-directional-drilling-calcul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6.bin"/></Relationships>
</file>

<file path=xl/worksheets/_rels/sheet101.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radius-of-curvature-method/"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7.bin"/></Relationships>
</file>

<file path=xl/worksheets/_rels/sheet102.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balanced-tangential-method-calcul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8.bin"/></Relationships>
</file>

<file path=xl/worksheets/_rels/sheet103.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inimum-curvature-method/"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9.bin"/></Relationships>
</file>

<file path=xl/worksheets/_rels/sheet104.xml.rels><?xml version="1.0" encoding="UTF-8" standalone="yes"?>
<Relationships xmlns="http://schemas.openxmlformats.org/package/2006/relationships"><Relationship Id="rId3" Type="http://schemas.openxmlformats.org/officeDocument/2006/relationships/printerSettings" Target="../printerSettings/printerSettings70.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105.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dogleg-severity-calculationbased-on-radius-of-curvature-method/" TargetMode="External"/><Relationship Id="rId1" Type="http://schemas.openxmlformats.org/officeDocument/2006/relationships/hyperlink" Target="http://www.drillingformulas.com/" TargetMode="External"/></Relationships>
</file>

<file path=xl/worksheets/_rels/sheet10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dogleg-severity-calculation-based-on-tangential-method/" TargetMode="External"/><Relationship Id="rId1" Type="http://schemas.openxmlformats.org/officeDocument/2006/relationships/hyperlink" Target="http://www.drillingformulas.com/" TargetMode="External"/></Relationships>
</file>

<file path=xl/worksheets/_rels/sheet107.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pressure-and-force-relationship-and-applications/"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1.bin"/></Relationships>
</file>

<file path=xl/worksheets/_rels/sheet108.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leak-off-test-procedures-and-calcuation-2/"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2.bin"/></Relationships>
</file>

<file path=xl/worksheets/_rels/sheet109.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formation-integrity-test-fit/"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0.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equivalent-circulating-density-ecd-in-ppg/"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4.bin"/></Relationships>
</file>

<file path=xl/worksheets/_rels/sheet111.xml.rels><?xml version="1.0" encoding="UTF-8" standalone="yes"?>
<Relationships xmlns="http://schemas.openxmlformats.org/package/2006/relationships"><Relationship Id="rId3" Type="http://schemas.openxmlformats.org/officeDocument/2006/relationships/hyperlink" Target="http://www.drillingformulas.com/convert-specific-gravity-to-mud-weight-ppg-and-lbft3-and-pressure-gradient-psift/" TargetMode="External"/><Relationship Id="rId2" Type="http://schemas.openxmlformats.org/officeDocument/2006/relationships/hyperlink" Target="http://www.drillingformulas.com/calculate-specific-gravity-sg-in-oilfield-unit/" TargetMode="External"/><Relationship Id="rId1" Type="http://schemas.openxmlformats.org/officeDocument/2006/relationships/hyperlink" Target="http://www.drillingformulas.com/" TargetMode="External"/><Relationship Id="rId4" Type="http://schemas.openxmlformats.org/officeDocument/2006/relationships/hyperlink" Target="http://bit.ly/HExXfI" TargetMode="External"/></Relationships>
</file>

<file path=xl/worksheets/_rels/sheet112.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onvert-pressure-into-equivalent-mud-weight/"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5.bin"/></Relationships>
</file>

<file path=xl/worksheets/_rels/sheet113.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weight-of-slug-required-for-desired-length-of-dry-pipe-with-set-volume-of-slug/"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6.bin"/></Relationships>
</file>

<file path=xl/worksheets/_rels/sheet114.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115.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annular-velocity-calcul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8.bin"/></Relationships>
</file>

<file path=xl/worksheets/_rels/sheet11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pump-output-calculation-for-duplex-pump-and-triplex-pump/"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79.bin"/></Relationships>
</file>

<file path=xl/worksheets/_rels/sheet117.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buoyancy-factor-calcul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80.bin"/></Relationships>
</file>

<file path=xl/worksheets/_rels/sheet118.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amount-of-cuttings-total-solid-generated/"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81.bin"/></Relationships>
</file>

<file path=xl/worksheets/_rels/sheet119.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alculate-pressure-gradient/"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8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0.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temperature-conversion-formulas/" TargetMode="External"/><Relationship Id="rId1" Type="http://schemas.openxmlformats.org/officeDocument/2006/relationships/hyperlink" Target="http://www.drillingformulas.com/" TargetMode="External"/></Relationships>
</file>

<file path=xl/worksheets/_rels/sheet121.xml.rels><?xml version="1.0" encoding="UTF-8" standalone="yes"?>
<Relationships xmlns="http://schemas.openxmlformats.org/package/2006/relationships"><Relationship Id="rId2" Type="http://schemas.openxmlformats.org/officeDocument/2006/relationships/printerSettings" Target="../printerSettings/printerSettings83.bin"/><Relationship Id="rId1" Type="http://schemas.openxmlformats.org/officeDocument/2006/relationships/hyperlink" Target="http://bit.ly/HExXfI" TargetMode="External"/></Relationships>
</file>

<file path=xl/worksheets/_rels/sheet122.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bulk-density-cuttings-using-mud-balance/" TargetMode="External"/><Relationship Id="rId1" Type="http://schemas.openxmlformats.org/officeDocument/2006/relationships/hyperlink" Target="http://www.drillingformulas.com/" TargetMode="External"/></Relationships>
</file>

<file path=xl/worksheets/_rels/sheet123.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124.xml.rels><?xml version="1.0" encoding="UTF-8" standalone="yes"?>
<Relationships xmlns="http://schemas.openxmlformats.org/package/2006/relationships"><Relationship Id="rId3" Type="http://schemas.openxmlformats.org/officeDocument/2006/relationships/printerSettings" Target="../printerSettings/printerSettings85.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125.xml.rels><?xml version="1.0" encoding="UTF-8" standalone="yes"?>
<Relationships xmlns="http://schemas.openxmlformats.org/package/2006/relationships"><Relationship Id="rId3" Type="http://schemas.openxmlformats.org/officeDocument/2006/relationships/printerSettings" Target="../printerSettings/printerSettings86.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drillingformulas.com/kick-penetration-for-stripping-oper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drillingformulas.com/lubricate-and-bleed-example-calculation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drillingformulas.com/how-to-perform-volumetric-well-control-method/"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www.drillingformulas.com/determine-bottom-hole-pressure-from-wellhead-pressure-in-a-dry-gas-well/" TargetMode="External"/><Relationship Id="rId1" Type="http://schemas.openxmlformats.org/officeDocument/2006/relationships/hyperlink" Target="http://bit.ly/HExXfI"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bit.ly/HExXf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drillingformulas.com/coring-cost-per-footage-drilled/" TargetMode="External"/><Relationship Id="rId1" Type="http://schemas.openxmlformats.org/officeDocument/2006/relationships/hyperlink" Target="http://bit.ly/HExXfI"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drillingformulas.com/volume-of-cutting-generated-while-drilling/" TargetMode="External"/><Relationship Id="rId1" Type="http://schemas.openxmlformats.org/officeDocument/2006/relationships/hyperlink" Target="http://bit.ly/HExXfI"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bit.ly/HExXfI"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bit.ly/HExXfI"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www.drillingformulas.com/buoyancy-factor-with-two-different-fluid-weights-in-the-well/" TargetMode="External"/><Relationship Id="rId1" Type="http://schemas.openxmlformats.org/officeDocument/2006/relationships/hyperlink" Target="http://bit.ly/HExXf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bit.ly/HExXfI"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www.drillingformulas.com/margin-of-overpull-in-drillstring/" TargetMode="External"/><Relationship Id="rId1" Type="http://schemas.openxmlformats.org/officeDocument/2006/relationships/hyperlink" Target="http://bit.ly/HExXfI"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www.drillingformulas.com/drill-collar-weight-calculation-to-prevent-drill-pipe-buckling/" TargetMode="External"/><Relationship Id="rId1" Type="http://schemas.openxmlformats.org/officeDocument/2006/relationships/hyperlink" Target="http://bit.ly/HExXfI"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http://www.drillingformulas.com/drill-pipe-elongation-due-to-temperature/" TargetMode="External"/><Relationship Id="rId1" Type="http://schemas.openxmlformats.org/officeDocument/2006/relationships/hyperlink" Target="http://bit.ly/HExXfI"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bit.ly/HExXfI"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www.drillingformulas.com/equivalent-circulating-density-ecd-using-yield-point-for-mw-less-than-13-ppg/" TargetMode="External"/><Relationship Id="rId1" Type="http://schemas.openxmlformats.org/officeDocument/2006/relationships/hyperlink" Target="http://bit.ly/HExXfI"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bit.ly/HExXfI"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http://www.drillingformulas.com/pressure-drop-across-a-bit/" TargetMode="External"/><Relationship Id="rId1" Type="http://schemas.openxmlformats.org/officeDocument/2006/relationships/hyperlink" Target="http://bit.ly/HExXfI"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drillingformulas.com/determine-optimum-drilling-flow-rate-for-basic-system-drilling-hydraulics/" TargetMode="External"/><Relationship Id="rId1" Type="http://schemas.openxmlformats.org/officeDocument/2006/relationships/hyperlink" Target="http://bit.ly/HExXf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www.drillingformulas.com/critical-flow-rate-drilling-hydraulics/" TargetMode="External"/><Relationship Id="rId1" Type="http://schemas.openxmlformats.org/officeDocument/2006/relationships/hyperlink" Target="http://bit.ly/HExXfI" TargetMode="Externa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drillingformulas.com/cutting-carrying-index-simple-tool-to-determine-hole-cleaning/" TargetMode="External"/><Relationship Id="rId1" Type="http://schemas.openxmlformats.org/officeDocument/2006/relationships/hyperlink" Target="http://bit.ly/HExXfI"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www.drillingformulas.com/reynold-number-for-drilling-hydraulics/" TargetMode="External"/><Relationship Id="rId1" Type="http://schemas.openxmlformats.org/officeDocument/2006/relationships/hyperlink" Target="http://bit.ly/HExXfI"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http://www.drillingformulas.com/power-law-constants-n-and-k-calculation/" TargetMode="External"/><Relationship Id="rId1" Type="http://schemas.openxmlformats.org/officeDocument/2006/relationships/hyperlink" Target="http://bit.ly/HExXfI"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www.drillingformulas.com/effective-viscosity-calculation/" TargetMode="External"/><Relationship Id="rId1" Type="http://schemas.openxmlformats.org/officeDocument/2006/relationships/hyperlink" Target="http://bit.ly/HExXfI" TargetMode="External"/></Relationships>
</file>

<file path=xl/worksheets/_rels/sheet4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2.bin"/><Relationship Id="rId1" Type="http://schemas.openxmlformats.org/officeDocument/2006/relationships/hyperlink" Target="http://bit.ly/HExXfI"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3.bin"/><Relationship Id="rId1" Type="http://schemas.openxmlformats.org/officeDocument/2006/relationships/hyperlink" Target="http://bit.ly/HExXfI"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bit.ly/HExXfI"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bit.ly/HExXfI"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bit.ly/HExXf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bit.ly/HExXfI"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determine-surge-and-swab-pressure-method-2/" TargetMode="External"/><Relationship Id="rId1" Type="http://schemas.openxmlformats.org/officeDocument/2006/relationships/hyperlink" Target="http://www.drillingformulas.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 TargetMode="External"/><Relationship Id="rId1" Type="http://schemas.openxmlformats.org/officeDocument/2006/relationships/hyperlink" Target="http://www.drillingformulas.com/surge-and-swab-calculation-method-1/" TargetMode="External"/><Relationship Id="rId4" Type="http://schemas.openxmlformats.org/officeDocument/2006/relationships/printerSettings" Target="../printerSettings/printerSettings35.bin"/></Relationships>
</file>

<file path=xl/worksheets/_rels/sheet53.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 TargetMode="External"/><Relationship Id="rId1" Type="http://schemas.openxmlformats.org/officeDocument/2006/relationships/hyperlink" Target="http://www.drillingformulas.com/cutting-slip-velocity-calculation-method-2/" TargetMode="External"/><Relationship Id="rId4" Type="http://schemas.openxmlformats.org/officeDocument/2006/relationships/printerSettings" Target="../printerSettings/printerSettings36.bin"/></Relationships>
</file>

<file path=xl/worksheets/_rels/sheet54.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 TargetMode="External"/><Relationship Id="rId1" Type="http://schemas.openxmlformats.org/officeDocument/2006/relationships/hyperlink" Target="http://www.drillingformulas.com/cutting-slip-velocity-calculation-method-1/" TargetMode="External"/><Relationship Id="rId4" Type="http://schemas.openxmlformats.org/officeDocument/2006/relationships/printerSettings" Target="../printerSettings/printerSettings37.bin"/></Relationships>
</file>

<file path=xl/worksheets/_rels/sheet55.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aximum-pit-gain-from-gas-kick-in-water-based-mud/" TargetMode="External"/><Relationship Id="rId1" Type="http://schemas.openxmlformats.org/officeDocument/2006/relationships/hyperlink" Target="http://www.drillingformulas.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aximum-surf3ace-pressure-from-gas-influx-in-water-based-mud/" TargetMode="External"/><Relationship Id="rId1" Type="http://schemas.openxmlformats.org/officeDocument/2006/relationships/hyperlink" Target="http://www.drillingformulas.com/"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hydrostatic-pressure-loss-due-to-gas-cut-mud/" TargetMode="External"/><Relationship Id="rId1" Type="http://schemas.openxmlformats.org/officeDocument/2006/relationships/hyperlink" Target="http://www.drillingformulas.com/" TargetMode="External"/></Relationships>
</file>

<file path=xl/worksheets/_rels/sheet58.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alculate-influx-height/" TargetMode="External"/><Relationship Id="rId1" Type="http://schemas.openxmlformats.org/officeDocument/2006/relationships/hyperlink" Target="http://www.drillingformulas.com/" TargetMode="External"/></Relationships>
</file>

<file path=xl/worksheets/_rels/sheet59.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shut-down-pumps-weight-up-mud/"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 TargetMode="External"/><Relationship Id="rId1" Type="http://schemas.openxmlformats.org/officeDocument/2006/relationships/hyperlink" Target="http://www.drillingformulas.com/determine-the-actual-gas-migration-rate/" TargetMode="External"/></Relationships>
</file>

<file path=xl/worksheets/_rels/sheet61.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estimate-gas-migration-rate-in-a-shut-in-well/" TargetMode="External"/><Relationship Id="rId1" Type="http://schemas.openxmlformats.org/officeDocument/2006/relationships/hyperlink" Target="http://www.drillingformulas.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formation-pressure-from-kick-analysis/"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40.bin"/></Relationships>
</file>

<file path=xl/worksheets/_rels/sheet64.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adjusted-maximum-allowable-shut-in-casing-pressure/"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41.bin"/></Relationships>
</file>

<file path=xl/worksheets/_rels/sheet65.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aximum-influx-height-to-equal-the-maximum-allowable-shut-in-casing-pressure/" TargetMode="External"/><Relationship Id="rId1" Type="http://schemas.openxmlformats.org/officeDocument/2006/relationships/hyperlink" Target="http://www.drillingformulas.com/"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aximum-initial-shut-in-casing-pressure-misicp/"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42.bin"/></Relationships>
</file>

<file path=xl/worksheets/_rels/sheet67.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aximum-formation-pressure-that-can-be-controlled-when-we-shut-the-well-i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43.bin"/></Relationships>
</file>

<file path=xl/worksheets/_rels/sheet68.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aximum-surface-pressure-from-kick-tolerance-factor/" TargetMode="External"/><Relationship Id="rId1" Type="http://schemas.openxmlformats.org/officeDocument/2006/relationships/hyperlink" Target="http://www.drillingformulas.com/" TargetMode="External"/></Relationships>
</file>

<file path=xl/worksheets/_rels/sheet69.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kick-tolerance-factor-calcul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4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trip-margin-calcul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45.bin"/></Relationships>
</file>

<file path=xl/worksheets/_rels/sheet71.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 TargetMode="External"/><Relationship Id="rId1" Type="http://schemas.openxmlformats.org/officeDocument/2006/relationships/hyperlink" Target="http://www.drillingformulas.com/lag-time-for-drilling-business-and-how-to-calculate-theoretical-lag-time/" TargetMode="External"/><Relationship Id="rId4" Type="http://schemas.openxmlformats.org/officeDocument/2006/relationships/printerSettings" Target="../printerSettings/printerSettings46.bin"/></Relationships>
</file>

<file path=xl/worksheets/_rels/sheet72.xml.rels><?xml version="1.0" encoding="UTF-8" standalone="yes"?>
<Relationships xmlns="http://schemas.openxmlformats.org/package/2006/relationships"><Relationship Id="rId8" Type="http://schemas.openxmlformats.org/officeDocument/2006/relationships/printerSettings" Target="../printerSettings/printerSettings47.bin"/><Relationship Id="rId3" Type="http://schemas.openxmlformats.org/officeDocument/2006/relationships/hyperlink" Target="http://www.drillingformulas.com/drilling-or-connection-ton-miles/" TargetMode="External"/><Relationship Id="rId7" Type="http://schemas.openxmlformats.org/officeDocument/2006/relationships/hyperlink" Target="http://bit.ly/HExXfI" TargetMode="External"/><Relationship Id="rId2" Type="http://schemas.openxmlformats.org/officeDocument/2006/relationships/hyperlink" Target="http://www.drillingformulas.com/round-trip-ton-miles-calculation/" TargetMode="External"/><Relationship Id="rId1" Type="http://schemas.openxmlformats.org/officeDocument/2006/relationships/hyperlink" Target="http://www.drillingformulas.com/" TargetMode="External"/><Relationship Id="rId6" Type="http://schemas.openxmlformats.org/officeDocument/2006/relationships/hyperlink" Target="http://www.drillingformulas.com/ton-miles-while-making-short-trip/" TargetMode="External"/><Relationship Id="rId5" Type="http://schemas.openxmlformats.org/officeDocument/2006/relationships/hyperlink" Target="http://www.drillingformulas.com/ton-miles-for-setting-casing/" TargetMode="External"/><Relationship Id="rId4" Type="http://schemas.openxmlformats.org/officeDocument/2006/relationships/hyperlink" Target="http://www.drillingformulas.com/ton-miles-for-coring-operation/" TargetMode="External"/></Relationships>
</file>

<file path=xl/worksheets/_rels/sheet73.xml.rels><?xml version="1.0" encoding="UTF-8" standalone="yes"?>
<Relationships xmlns="http://schemas.openxmlformats.org/package/2006/relationships"><Relationship Id="rId3" Type="http://schemas.openxmlformats.org/officeDocument/2006/relationships/hyperlink" Target="http://www.drillingformulas.com/d-exponent-calculation/" TargetMode="External"/><Relationship Id="rId2" Type="http://schemas.openxmlformats.org/officeDocument/2006/relationships/hyperlink" Target="http://www.drillingformulas.com/corrected-d-exponent/" TargetMode="External"/><Relationship Id="rId1" Type="http://schemas.openxmlformats.org/officeDocument/2006/relationships/hyperlink" Target="http://www.drillingformulas.com/" TargetMode="External"/><Relationship Id="rId5" Type="http://schemas.openxmlformats.org/officeDocument/2006/relationships/printerSettings" Target="../printerSettings/printerSettings48.bin"/><Relationship Id="rId4" Type="http://schemas.openxmlformats.org/officeDocument/2006/relationships/hyperlink" Target="http://bit.ly/HExXfI" TargetMode="External"/></Relationships>
</file>

<file path=xl/worksheets/_rels/sheet74.xml.rels><?xml version="1.0" encoding="UTF-8" standalone="yes"?>
<Relationships xmlns="http://schemas.openxmlformats.org/package/2006/relationships"><Relationship Id="rId3" Type="http://schemas.openxmlformats.org/officeDocument/2006/relationships/hyperlink" Target="http://www.drillingformulas.com/dilution-of-mud-system-to-control-low-gravity-solid/" TargetMode="External"/><Relationship Id="rId2" Type="http://schemas.openxmlformats.org/officeDocument/2006/relationships/hyperlink" Target="http://www.drillingformulas.com/dilution-of-mud-system-to-control-low-gravity-solid-by-adding-mud/" TargetMode="External"/><Relationship Id="rId1" Type="http://schemas.openxmlformats.org/officeDocument/2006/relationships/hyperlink" Target="http://www.drillingformulas.com/" TargetMode="External"/><Relationship Id="rId5" Type="http://schemas.openxmlformats.org/officeDocument/2006/relationships/printerSettings" Target="../printerSettings/printerSettings49.bin"/><Relationship Id="rId4" Type="http://schemas.openxmlformats.org/officeDocument/2006/relationships/hyperlink" Target="http://bit.ly/HExXfI" TargetMode="External"/></Relationships>
</file>

<file path=xl/worksheets/_rels/sheet75.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decrease-oil-water-ratio/"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50.bin"/></Relationships>
</file>

<file path=xl/worksheets/_rels/sheet7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increase-oil-water-ratio/" TargetMode="External"/><Relationship Id="rId1" Type="http://schemas.openxmlformats.org/officeDocument/2006/relationships/hyperlink" Target="http://www.drillingformulas.com/"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78.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ixing-fluids-of-different-densities-without-pit-space-limit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5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0.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mixing-fluids-of-different-densities-pit-space-limita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53.bin"/></Relationships>
</file>

<file path=xl/worksheets/_rels/sheet81.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reduce-mud-weight-by-dilutio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54.bin"/></Relationships>
</file>

<file path=xl/worksheets/_rels/sheet82.xml.rels><?xml version="1.0" encoding="UTF-8" standalone="yes"?>
<Relationships xmlns="http://schemas.openxmlformats.org/package/2006/relationships"><Relationship Id="rId3" Type="http://schemas.openxmlformats.org/officeDocument/2006/relationships/hyperlink" Target="http://www.drillingformulas.com/starting-volume-weight-up-with-hematite/" TargetMode="External"/><Relationship Id="rId2" Type="http://schemas.openxmlformats.org/officeDocument/2006/relationships/hyperlink" Target="http://www.drillingformulas.com/volume-of-mud-increases-due-to-adding-hematite/" TargetMode="External"/><Relationship Id="rId1" Type="http://schemas.openxmlformats.org/officeDocument/2006/relationships/hyperlink" Target="http://www.drillingformulas.com/increase-mud-weight-by-adding-hematite/" TargetMode="External"/><Relationship Id="rId5" Type="http://schemas.openxmlformats.org/officeDocument/2006/relationships/printerSettings" Target="../printerSettings/printerSettings55.bin"/><Relationship Id="rId4" Type="http://schemas.openxmlformats.org/officeDocument/2006/relationships/hyperlink" Target="http://bit.ly/HExXfI" TargetMode="External"/></Relationships>
</file>

<file path=xl/worksheets/_rels/sheet83.xml.rels><?xml version="1.0" encoding="UTF-8" standalone="yes"?>
<Relationships xmlns="http://schemas.openxmlformats.org/package/2006/relationships"><Relationship Id="rId3" Type="http://schemas.openxmlformats.org/officeDocument/2006/relationships/hyperlink" Target="http://www.drillingformulas.com/starting-volume-of-original-mud-weight-up-with-calcium-carbonate/" TargetMode="External"/><Relationship Id="rId2" Type="http://schemas.openxmlformats.org/officeDocument/2006/relationships/hyperlink" Target="http://www.drillingformulas.com/volume-of-mud-increase-due-to-adding-calcium-carbonate/" TargetMode="External"/><Relationship Id="rId1" Type="http://schemas.openxmlformats.org/officeDocument/2006/relationships/hyperlink" Target="http://www.drillingformulas.com/increase-mud-weight-by-adding-calcium-carbonate/" TargetMode="External"/><Relationship Id="rId5" Type="http://schemas.openxmlformats.org/officeDocument/2006/relationships/printerSettings" Target="../printerSettings/printerSettings56.bin"/><Relationship Id="rId4" Type="http://schemas.openxmlformats.org/officeDocument/2006/relationships/hyperlink" Target="http://bit.ly/HExXfI" TargetMode="External"/></Relationships>
</file>

<file path=xl/worksheets/_rels/sheet84.xml.rels><?xml version="1.0" encoding="UTF-8" standalone="yes"?>
<Relationships xmlns="http://schemas.openxmlformats.org/package/2006/relationships"><Relationship Id="rId3" Type="http://schemas.openxmlformats.org/officeDocument/2006/relationships/hyperlink" Target="http://www.drillingformulas.com/volume-of-mud-increase-due-to-mud-weight-increase-by-adding-barite/" TargetMode="External"/><Relationship Id="rId2" Type="http://schemas.openxmlformats.org/officeDocument/2006/relationships/hyperlink" Target="http://www.drillingformulas.com/increase-mud-weight-by-adding-barite/" TargetMode="External"/><Relationship Id="rId1" Type="http://schemas.openxmlformats.org/officeDocument/2006/relationships/hyperlink" Target="http://www.drillingformulas.com/" TargetMode="External"/><Relationship Id="rId6" Type="http://schemas.openxmlformats.org/officeDocument/2006/relationships/printerSettings" Target="../printerSettings/printerSettings57.bin"/><Relationship Id="rId5" Type="http://schemas.openxmlformats.org/officeDocument/2006/relationships/hyperlink" Target="http://bit.ly/HExXfI" TargetMode="External"/><Relationship Id="rId4" Type="http://schemas.openxmlformats.org/officeDocument/2006/relationships/hyperlink" Target="http://www.drillingformulas.com/starting-volume-of-original-mud-weight-up-with-barite/" TargetMode="External"/></Relationships>
</file>

<file path=xl/worksheets/_rels/sheet85.xml.rels><?xml version="1.0" encoding="UTF-8" standalone="yes"?>
<Relationships xmlns="http://schemas.openxmlformats.org/package/2006/relationships"><Relationship Id="rId3" Type="http://schemas.openxmlformats.org/officeDocument/2006/relationships/hyperlink" Target="http://www.drillingformulas.com/pressure-required-to-break-circulation-in-annlus/" TargetMode="External"/><Relationship Id="rId2" Type="http://schemas.openxmlformats.org/officeDocument/2006/relationships/hyperlink" Target="http://www.drillingformulas.com/pressure-required-to-break-circulation-inside-drillstring/" TargetMode="External"/><Relationship Id="rId1" Type="http://schemas.openxmlformats.org/officeDocument/2006/relationships/hyperlink" Target="http://www.drillingformulas.com/" TargetMode="External"/><Relationship Id="rId5" Type="http://schemas.openxmlformats.org/officeDocument/2006/relationships/printerSettings" Target="../printerSettings/printerSettings58.bin"/><Relationship Id="rId4" Type="http://schemas.openxmlformats.org/officeDocument/2006/relationships/hyperlink" Target="http://bit.ly/HExXfI"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determine-height-of-light-weight-spot-pill-to-balance-formation-pressure/"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59.bin"/></Relationships>
</file>

<file path=xl/worksheets/_rels/sheet87.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loss-of-hydrostatic-pressure-due-to-lost-return/"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0.bin"/></Relationships>
</file>

<file path=xl/worksheets/_rels/sheet88.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http://bit.ly/HExXfI" TargetMode="External"/><Relationship Id="rId1" Type="http://schemas.openxmlformats.org/officeDocument/2006/relationships/hyperlink" Target="http://www.drillingformulas.com/" TargetMode="External"/></Relationships>
</file>

<file path=xl/worksheets/_rels/sheet89.xml.rels><?xml version="1.0" encoding="UTF-8" standalone="yes"?>
<Relationships xmlns="http://schemas.openxmlformats.org/package/2006/relationships"><Relationship Id="rId3" Type="http://schemas.openxmlformats.org/officeDocument/2006/relationships/hyperlink" Target="http://www.drillingformulas.com/determine-free-point-constant-fpc/" TargetMode="External"/><Relationship Id="rId2" Type="http://schemas.openxmlformats.org/officeDocument/2006/relationships/hyperlink" Target="http://www.drillingformulas.com/determine-how-many-feet-of-free-pipe/" TargetMode="External"/><Relationship Id="rId1" Type="http://schemas.openxmlformats.org/officeDocument/2006/relationships/hyperlink" Target="http://bit.ly/HExXfI" TargetMode="External"/><Relationship Id="rId5" Type="http://schemas.openxmlformats.org/officeDocument/2006/relationships/printerSettings" Target="../printerSettings/printerSettings62.bin"/><Relationship Id="rId4" Type="http://schemas.openxmlformats.org/officeDocument/2006/relationships/hyperlink" Target="http://www.drillingformulas.com/determine-how-many-feet-of-free-pipe-without-free-pipe-constant-tabl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0.xml.rels><?xml version="1.0" encoding="UTF-8" standalone="yes"?>
<Relationships xmlns="http://schemas.openxmlformats.org/package/2006/relationships"><Relationship Id="rId3" Type="http://schemas.openxmlformats.org/officeDocument/2006/relationships/hyperlink" Target="http://www.drillingformulas.com/accumulator-capacity-usable-volume-per-bottle-calculation-for-subsea-bop/" TargetMode="External"/><Relationship Id="rId2" Type="http://schemas.openxmlformats.org/officeDocument/2006/relationships/hyperlink" Target="http://www.drillingformulas.com/accumulator-capacity-usable-volume-per-bottle-calculation-surface-stack/" TargetMode="External"/><Relationship Id="rId1" Type="http://schemas.openxmlformats.org/officeDocument/2006/relationships/hyperlink" Target="http://www.drillingformulas.com/" TargetMode="External"/><Relationship Id="rId5" Type="http://schemas.openxmlformats.org/officeDocument/2006/relationships/printerSettings" Target="../printerSettings/printerSettings63.bin"/><Relationship Id="rId4" Type="http://schemas.openxmlformats.org/officeDocument/2006/relationships/hyperlink" Target="http://bit.ly/HExXfI" TargetMode="External"/></Relationships>
</file>

<file path=xl/worksheets/_rels/sheet91.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alculate-inner-capacity-of-open-holeinside-cylindrical-objects/" TargetMode="External"/><Relationship Id="rId1" Type="http://schemas.openxmlformats.org/officeDocument/2006/relationships/hyperlink" Target="http://www.drillingformulas.com/" TargetMode="External"/></Relationships>
</file>

<file path=xl/worksheets/_rels/sheet92.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alculate-annular-capacity" TargetMode="External"/><Relationship Id="rId1" Type="http://schemas.openxmlformats.org/officeDocument/2006/relationships/hyperlink" Target="http://www.drillingformulas.com/" TargetMode="External"/></Relationships>
</file>

<file path=xl/worksheets/_rels/sheet93.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drilling-cost-per-foot/" TargetMode="External"/><Relationship Id="rId1" Type="http://schemas.openxmlformats.org/officeDocument/2006/relationships/hyperlink" Target="http://www.drillingformulas.com/" TargetMode="External"/></Relationships>
</file>

<file path=xl/worksheets/_rels/sheet94.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pump-pressure-and-pump-stroke-relationship/" TargetMode="External"/><Relationship Id="rId1" Type="http://schemas.openxmlformats.org/officeDocument/2006/relationships/hyperlink" Target="http://www.drillingformulas.com/" TargetMode="External"/></Relationships>
</file>

<file path=xl/worksheets/_rels/sheet95.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hydraulic-horse-power-calculatin/" TargetMode="External"/><Relationship Id="rId1" Type="http://schemas.openxmlformats.org/officeDocument/2006/relationships/hyperlink" Target="http://www.drillingformulas.com/" TargetMode="External"/></Relationships>
</file>

<file path=xl/worksheets/_rels/sheet96.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formation-temperature/"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4.bin"/></Relationships>
</file>

<file path=xl/worksheets/_rels/sheet97.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ritical-rpm-to-avoid-excessive-vibration/" TargetMode="External"/><Relationship Id="rId1" Type="http://schemas.openxmlformats.org/officeDocument/2006/relationships/hyperlink" Target="http://www.drillingformulas.com/" TargetMode="External"/></Relationships>
</file>

<file path=xl/worksheets/_rels/sheet98.xml.rels><?xml version="1.0" encoding="UTF-8" standalone="yes"?>
<Relationships xmlns="http://schemas.openxmlformats.org/package/2006/relationships"><Relationship Id="rId3" Type="http://schemas.openxmlformats.org/officeDocument/2006/relationships/hyperlink" Target="http://bit.ly/HExXfI" TargetMode="External"/><Relationship Id="rId2" Type="http://schemas.openxmlformats.org/officeDocument/2006/relationships/hyperlink" Target="http://www.drillingformulas.com/calculate-equivalent-circulation-density-ecd-with-complex-engineering-equations/" TargetMode="External"/><Relationship Id="rId1" Type="http://schemas.openxmlformats.org/officeDocument/2006/relationships/hyperlink" Target="http://www.drillingformulas.com/" TargetMode="External"/><Relationship Id="rId4" Type="http://schemas.openxmlformats.org/officeDocument/2006/relationships/printerSettings" Target="../printerSettings/printerSettings65.bin"/></Relationships>
</file>

<file path=xl/worksheets/_rels/sheet99.xml.rels><?xml version="1.0" encoding="UTF-8" standalone="yes"?>
<Relationships xmlns="http://schemas.openxmlformats.org/package/2006/relationships"><Relationship Id="rId2" Type="http://schemas.openxmlformats.org/officeDocument/2006/relationships/hyperlink" Target="http://www.drillingformulas.com/calcuate-annular-pressure-loss/" TargetMode="External"/><Relationship Id="rId1" Type="http://schemas.openxmlformats.org/officeDocument/2006/relationships/hyperlink" Target="http://www.drillingformulas.com/"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H127"/>
  <sheetViews>
    <sheetView showGridLines="0" tabSelected="1" topLeftCell="A25" zoomScale="115" zoomScaleNormal="115" workbookViewId="0">
      <selection activeCell="C6" sqref="C6"/>
    </sheetView>
  </sheetViews>
  <sheetFormatPr defaultRowHeight="12.75"/>
  <cols>
    <col min="1" max="1" width="3.85546875" customWidth="1"/>
    <col min="2" max="2" width="29.42578125" style="103" bestFit="1" customWidth="1"/>
    <col min="3" max="3" width="73.85546875" style="48" customWidth="1"/>
    <col min="8" max="8" width="29" customWidth="1"/>
  </cols>
  <sheetData>
    <row r="1" spans="1:8">
      <c r="A1" s="29"/>
    </row>
    <row r="2" spans="1:8" ht="23.25" customHeight="1">
      <c r="B2" s="304" t="s">
        <v>889</v>
      </c>
      <c r="C2" s="304"/>
    </row>
    <row r="3" spans="1:8" ht="30.75" customHeight="1">
      <c r="B3" s="304"/>
      <c r="C3" s="304"/>
    </row>
    <row r="4" spans="1:8" ht="15.75" customHeight="1" thickBot="1">
      <c r="B4" s="283"/>
      <c r="C4" s="283"/>
    </row>
    <row r="5" spans="1:8">
      <c r="B5" s="290" t="s">
        <v>728</v>
      </c>
      <c r="C5" s="96" t="s">
        <v>860</v>
      </c>
      <c r="E5" s="189"/>
      <c r="F5" s="29"/>
      <c r="G5" s="29"/>
      <c r="H5" s="29"/>
    </row>
    <row r="6" spans="1:8">
      <c r="B6" s="291"/>
      <c r="C6" s="184" t="s">
        <v>922</v>
      </c>
      <c r="E6" s="189"/>
      <c r="F6" s="29"/>
      <c r="G6" s="29"/>
      <c r="H6" s="29"/>
    </row>
    <row r="7" spans="1:8">
      <c r="B7" s="291"/>
      <c r="C7" s="97" t="s">
        <v>843</v>
      </c>
      <c r="E7" s="189"/>
      <c r="F7" s="29"/>
      <c r="G7" s="29"/>
      <c r="H7" s="29"/>
    </row>
    <row r="8" spans="1:8">
      <c r="B8" s="291"/>
      <c r="C8" s="97" t="s">
        <v>841</v>
      </c>
      <c r="E8" s="282"/>
      <c r="F8" s="282"/>
      <c r="G8" s="282"/>
      <c r="H8" s="282"/>
    </row>
    <row r="9" spans="1:8">
      <c r="B9" s="291"/>
      <c r="C9" s="97" t="s">
        <v>312</v>
      </c>
      <c r="E9" s="29"/>
      <c r="F9" s="29"/>
      <c r="G9" s="29"/>
      <c r="H9" s="29"/>
    </row>
    <row r="10" spans="1:8">
      <c r="B10" s="291"/>
      <c r="C10" s="97" t="s">
        <v>184</v>
      </c>
      <c r="E10" s="29"/>
      <c r="F10" s="29"/>
      <c r="G10" s="29"/>
      <c r="H10" s="29"/>
    </row>
    <row r="11" spans="1:8">
      <c r="B11" s="291"/>
      <c r="C11" s="97" t="s">
        <v>170</v>
      </c>
    </row>
    <row r="12" spans="1:8">
      <c r="B12" s="291"/>
      <c r="C12" s="97" t="s">
        <v>962</v>
      </c>
    </row>
    <row r="13" spans="1:8">
      <c r="B13" s="291"/>
      <c r="C13" s="97" t="s">
        <v>925</v>
      </c>
    </row>
    <row r="14" spans="1:8">
      <c r="B14" s="291"/>
      <c r="C14" s="97" t="s">
        <v>853</v>
      </c>
    </row>
    <row r="15" spans="1:8">
      <c r="B15" s="291"/>
      <c r="C15" s="97" t="s">
        <v>185</v>
      </c>
    </row>
    <row r="16" spans="1:8">
      <c r="B16" s="291"/>
      <c r="C16" s="101" t="s">
        <v>125</v>
      </c>
    </row>
    <row r="17" spans="2:3">
      <c r="B17" s="291"/>
      <c r="C17" s="99" t="s">
        <v>93</v>
      </c>
    </row>
    <row r="18" spans="2:3">
      <c r="B18" s="291"/>
      <c r="C18" s="99" t="s">
        <v>722</v>
      </c>
    </row>
    <row r="19" spans="2:3">
      <c r="B19" s="291"/>
      <c r="C19" s="99" t="s">
        <v>529</v>
      </c>
    </row>
    <row r="20" spans="2:3" ht="13.5" thickBot="1">
      <c r="B20" s="292"/>
      <c r="C20" s="252" t="s">
        <v>929</v>
      </c>
    </row>
    <row r="21" spans="2:3">
      <c r="B21" s="284" t="s">
        <v>727</v>
      </c>
      <c r="C21" s="98" t="s">
        <v>152</v>
      </c>
    </row>
    <row r="22" spans="2:3">
      <c r="B22" s="285"/>
      <c r="C22" s="99" t="s">
        <v>448</v>
      </c>
    </row>
    <row r="23" spans="2:3">
      <c r="B23" s="285"/>
      <c r="C23" s="99" t="s">
        <v>124</v>
      </c>
    </row>
    <row r="24" spans="2:3">
      <c r="B24" s="285"/>
      <c r="C24" s="99" t="s">
        <v>422</v>
      </c>
    </row>
    <row r="25" spans="2:3">
      <c r="B25" s="285"/>
      <c r="C25" s="99" t="s">
        <v>23</v>
      </c>
    </row>
    <row r="26" spans="2:3">
      <c r="B26" s="285"/>
      <c r="C26" s="183" t="s">
        <v>914</v>
      </c>
    </row>
    <row r="27" spans="2:3">
      <c r="B27" s="285"/>
      <c r="C27" s="99" t="s">
        <v>26</v>
      </c>
    </row>
    <row r="28" spans="2:3">
      <c r="B28" s="285"/>
      <c r="C28" s="99" t="s">
        <v>394</v>
      </c>
    </row>
    <row r="29" spans="2:3">
      <c r="B29" s="285"/>
      <c r="C29" s="183" t="s">
        <v>935</v>
      </c>
    </row>
    <row r="30" spans="2:3">
      <c r="B30" s="285"/>
      <c r="C30" s="99" t="s">
        <v>27</v>
      </c>
    </row>
    <row r="31" spans="2:3">
      <c r="B31" s="285"/>
      <c r="C31" s="99" t="s">
        <v>539</v>
      </c>
    </row>
    <row r="32" spans="2:3">
      <c r="B32" s="285"/>
      <c r="C32" s="99" t="s">
        <v>723</v>
      </c>
    </row>
    <row r="33" spans="2:3">
      <c r="B33" s="285"/>
      <c r="C33" s="99" t="s">
        <v>538</v>
      </c>
    </row>
    <row r="34" spans="2:3" ht="13.5" customHeight="1">
      <c r="B34" s="285"/>
      <c r="C34" s="99" t="s">
        <v>544</v>
      </c>
    </row>
    <row r="35" spans="2:3" ht="13.5" customHeight="1">
      <c r="B35" s="285"/>
      <c r="C35" s="99" t="s">
        <v>545</v>
      </c>
    </row>
    <row r="36" spans="2:3" ht="13.5" customHeight="1">
      <c r="B36" s="285"/>
      <c r="C36" s="99" t="s">
        <v>86</v>
      </c>
    </row>
    <row r="37" spans="2:3">
      <c r="B37" s="285"/>
      <c r="C37" s="99" t="s">
        <v>136</v>
      </c>
    </row>
    <row r="38" spans="2:3">
      <c r="B38" s="285"/>
      <c r="C38" s="99" t="s">
        <v>382</v>
      </c>
    </row>
    <row r="39" spans="2:3">
      <c r="B39" s="285"/>
      <c r="C39" s="99" t="s">
        <v>477</v>
      </c>
    </row>
    <row r="40" spans="2:3">
      <c r="B40" s="285"/>
      <c r="C40" s="99" t="s">
        <v>510</v>
      </c>
    </row>
    <row r="41" spans="2:3">
      <c r="B41" s="285"/>
      <c r="C41" s="99" t="s">
        <v>546</v>
      </c>
    </row>
    <row r="42" spans="2:3">
      <c r="B42" s="285"/>
      <c r="C42" s="99" t="s">
        <v>556</v>
      </c>
    </row>
    <row r="43" spans="2:3">
      <c r="B43" s="285"/>
      <c r="C43" s="99" t="s">
        <v>368</v>
      </c>
    </row>
    <row r="44" spans="2:3">
      <c r="B44" s="285"/>
      <c r="C44" s="99" t="s">
        <v>25</v>
      </c>
    </row>
    <row r="45" spans="2:3">
      <c r="B45" s="285"/>
      <c r="C45" s="183" t="s">
        <v>397</v>
      </c>
    </row>
    <row r="46" spans="2:3" ht="13.5" thickBot="1">
      <c r="B46" s="286"/>
      <c r="C46" s="100" t="s">
        <v>826</v>
      </c>
    </row>
    <row r="47" spans="2:3">
      <c r="B47" s="287" t="s">
        <v>506</v>
      </c>
      <c r="C47" s="98" t="s">
        <v>577</v>
      </c>
    </row>
    <row r="48" spans="2:3">
      <c r="B48" s="288"/>
      <c r="C48" s="99" t="s">
        <v>579</v>
      </c>
    </row>
    <row r="49" spans="2:3">
      <c r="B49" s="288"/>
      <c r="C49" s="99" t="s">
        <v>581</v>
      </c>
    </row>
    <row r="50" spans="2:3">
      <c r="B50" s="288"/>
      <c r="C50" s="99" t="s">
        <v>583</v>
      </c>
    </row>
    <row r="51" spans="2:3">
      <c r="B51" s="288"/>
      <c r="C51" s="99" t="s">
        <v>585</v>
      </c>
    </row>
    <row r="52" spans="2:3">
      <c r="B52" s="288"/>
      <c r="C52" s="99" t="s">
        <v>570</v>
      </c>
    </row>
    <row r="53" spans="2:3" ht="13.5" thickBot="1">
      <c r="B53" s="289"/>
      <c r="C53" s="100" t="s">
        <v>571</v>
      </c>
    </row>
    <row r="54" spans="2:3">
      <c r="B54" s="293" t="s">
        <v>729</v>
      </c>
      <c r="C54" s="98" t="s">
        <v>14</v>
      </c>
    </row>
    <row r="55" spans="2:3">
      <c r="B55" s="294"/>
      <c r="C55" s="99" t="s">
        <v>254</v>
      </c>
    </row>
    <row r="56" spans="2:3">
      <c r="B56" s="294"/>
      <c r="C56" s="102" t="s">
        <v>242</v>
      </c>
    </row>
    <row r="57" spans="2:3">
      <c r="B57" s="294"/>
      <c r="C57" s="102" t="s">
        <v>233</v>
      </c>
    </row>
    <row r="58" spans="2:3">
      <c r="B58" s="294"/>
      <c r="C58" s="99" t="s">
        <v>258</v>
      </c>
    </row>
    <row r="59" spans="2:3">
      <c r="B59" s="294"/>
      <c r="C59" s="101" t="s">
        <v>209</v>
      </c>
    </row>
    <row r="60" spans="2:3">
      <c r="B60" s="294"/>
      <c r="C60" s="101" t="s">
        <v>210</v>
      </c>
    </row>
    <row r="61" spans="2:3">
      <c r="B61" s="294"/>
      <c r="C61" s="99" t="s">
        <v>208</v>
      </c>
    </row>
    <row r="62" spans="2:3">
      <c r="B62" s="294"/>
      <c r="C62" s="102" t="s">
        <v>246</v>
      </c>
    </row>
    <row r="63" spans="2:3">
      <c r="B63" s="294"/>
      <c r="C63" s="99" t="s">
        <v>606</v>
      </c>
    </row>
    <row r="64" spans="2:3">
      <c r="B64" s="294"/>
      <c r="C64" s="130" t="s">
        <v>607</v>
      </c>
    </row>
    <row r="65" spans="2:3">
      <c r="B65" s="294"/>
      <c r="C65" s="130" t="s">
        <v>913</v>
      </c>
    </row>
    <row r="66" spans="2:3" ht="12" customHeight="1">
      <c r="B66" s="294"/>
      <c r="C66" s="99" t="s">
        <v>611</v>
      </c>
    </row>
    <row r="67" spans="2:3" ht="12" customHeight="1" thickBot="1">
      <c r="B67" s="295"/>
      <c r="C67" s="100" t="s">
        <v>947</v>
      </c>
    </row>
    <row r="68" spans="2:3">
      <c r="B68" s="296" t="s">
        <v>726</v>
      </c>
      <c r="C68" s="98" t="s">
        <v>58</v>
      </c>
    </row>
    <row r="69" spans="2:3">
      <c r="B69" s="297"/>
      <c r="C69" s="99" t="s">
        <v>62</v>
      </c>
    </row>
    <row r="70" spans="2:3">
      <c r="B70" s="297"/>
      <c r="C70" s="99" t="s">
        <v>507</v>
      </c>
    </row>
    <row r="71" spans="2:3" ht="13.5" thickBot="1">
      <c r="B71" s="298"/>
      <c r="C71" s="252" t="s">
        <v>955</v>
      </c>
    </row>
    <row r="72" spans="2:3" ht="15.75" customHeight="1">
      <c r="B72" s="299" t="s">
        <v>730</v>
      </c>
      <c r="C72" s="186" t="s">
        <v>1001</v>
      </c>
    </row>
    <row r="73" spans="2:3">
      <c r="B73" s="300"/>
      <c r="C73" s="183" t="s">
        <v>1027</v>
      </c>
    </row>
    <row r="74" spans="2:3">
      <c r="B74" s="300"/>
      <c r="C74" s="183" t="s">
        <v>1004</v>
      </c>
    </row>
    <row r="75" spans="2:3">
      <c r="B75" s="300"/>
      <c r="C75" s="183" t="s">
        <v>1005</v>
      </c>
    </row>
    <row r="76" spans="2:3" ht="12.75" customHeight="1">
      <c r="B76" s="300"/>
      <c r="C76" s="183" t="s">
        <v>784</v>
      </c>
    </row>
    <row r="77" spans="2:3" ht="12.75" customHeight="1">
      <c r="B77" s="300"/>
      <c r="C77" s="131" t="s">
        <v>1012</v>
      </c>
    </row>
    <row r="78" spans="2:3" ht="12.75" customHeight="1">
      <c r="B78" s="300"/>
      <c r="C78" s="183" t="s">
        <v>781</v>
      </c>
    </row>
    <row r="79" spans="2:3" ht="12.75" customHeight="1">
      <c r="B79" s="300"/>
      <c r="C79" s="183" t="s">
        <v>695</v>
      </c>
    </row>
    <row r="80" spans="2:3" ht="12.75" customHeight="1">
      <c r="B80" s="300"/>
      <c r="C80" s="183" t="s">
        <v>696</v>
      </c>
    </row>
    <row r="81" spans="2:3" ht="12.75" customHeight="1">
      <c r="B81" s="300"/>
      <c r="C81" s="183" t="s">
        <v>764</v>
      </c>
    </row>
    <row r="82" spans="2:3" ht="12.75" customHeight="1">
      <c r="B82" s="300"/>
      <c r="C82" s="101" t="s">
        <v>90</v>
      </c>
    </row>
    <row r="83" spans="2:3" ht="12.75" customHeight="1">
      <c r="B83" s="300"/>
      <c r="C83" s="131" t="s">
        <v>1008</v>
      </c>
    </row>
    <row r="84" spans="2:3" ht="12.75" customHeight="1">
      <c r="B84" s="300"/>
      <c r="C84" s="131" t="s">
        <v>1016</v>
      </c>
    </row>
    <row r="85" spans="2:3" ht="12.75" customHeight="1">
      <c r="B85" s="300"/>
      <c r="C85" s="131" t="s">
        <v>1030</v>
      </c>
    </row>
    <row r="86" spans="2:3" ht="12.75" customHeight="1">
      <c r="B86" s="300"/>
      <c r="C86" s="184" t="s">
        <v>831</v>
      </c>
    </row>
    <row r="87" spans="2:3" ht="12.75" customHeight="1">
      <c r="B87" s="300"/>
      <c r="C87" s="184" t="s">
        <v>771</v>
      </c>
    </row>
    <row r="88" spans="2:3" ht="12.75" customHeight="1">
      <c r="B88" s="300"/>
      <c r="C88" s="184" t="s">
        <v>993</v>
      </c>
    </row>
    <row r="89" spans="2:3" ht="12.75" customHeight="1">
      <c r="B89" s="300"/>
      <c r="C89" s="184" t="s">
        <v>791</v>
      </c>
    </row>
    <row r="90" spans="2:3" ht="12.75" customHeight="1">
      <c r="B90" s="300"/>
      <c r="C90" s="184" t="s">
        <v>792</v>
      </c>
    </row>
    <row r="91" spans="2:3" ht="12.75" customHeight="1">
      <c r="B91" s="300"/>
      <c r="C91" s="184" t="s">
        <v>790</v>
      </c>
    </row>
    <row r="92" spans="2:3" ht="12.75" customHeight="1">
      <c r="B92" s="300"/>
      <c r="C92" s="184" t="s">
        <v>793</v>
      </c>
    </row>
    <row r="93" spans="2:3" ht="12.75" customHeight="1">
      <c r="B93" s="300"/>
      <c r="C93" s="184" t="s">
        <v>794</v>
      </c>
    </row>
    <row r="94" spans="2:3" ht="12.75" customHeight="1">
      <c r="B94" s="300"/>
      <c r="C94" s="184" t="s">
        <v>774</v>
      </c>
    </row>
    <row r="95" spans="2:3" ht="12.75" customHeight="1">
      <c r="B95" s="300"/>
      <c r="C95" s="184" t="s">
        <v>697</v>
      </c>
    </row>
    <row r="96" spans="2:3" ht="12.75" customHeight="1">
      <c r="B96" s="300"/>
      <c r="C96" s="184" t="s">
        <v>698</v>
      </c>
    </row>
    <row r="97" spans="2:3" ht="13.5" customHeight="1" thickBot="1">
      <c r="B97" s="301"/>
      <c r="C97" s="185" t="s">
        <v>699</v>
      </c>
    </row>
    <row r="98" spans="2:3">
      <c r="B98" s="305" t="s">
        <v>731</v>
      </c>
      <c r="C98" s="186" t="s">
        <v>589</v>
      </c>
    </row>
    <row r="99" spans="2:3">
      <c r="B99" s="306"/>
      <c r="C99" s="183" t="s">
        <v>621</v>
      </c>
    </row>
    <row r="100" spans="2:3">
      <c r="B100" s="306"/>
      <c r="C100" s="183" t="s">
        <v>638</v>
      </c>
    </row>
    <row r="101" spans="2:3">
      <c r="B101" s="306"/>
      <c r="C101" s="183" t="s">
        <v>503</v>
      </c>
    </row>
    <row r="102" spans="2:3">
      <c r="B102" s="306"/>
      <c r="C102" s="183" t="s">
        <v>724</v>
      </c>
    </row>
    <row r="103" spans="2:3">
      <c r="B103" s="306"/>
      <c r="C103" s="183" t="s">
        <v>895</v>
      </c>
    </row>
    <row r="104" spans="2:3">
      <c r="B104" s="306"/>
      <c r="C104" s="183" t="s">
        <v>725</v>
      </c>
    </row>
    <row r="105" spans="2:3">
      <c r="B105" s="306"/>
      <c r="C105" s="183" t="s">
        <v>643</v>
      </c>
    </row>
    <row r="106" spans="2:3">
      <c r="B106" s="306"/>
      <c r="C106" s="183" t="s">
        <v>995</v>
      </c>
    </row>
    <row r="107" spans="2:3">
      <c r="B107" s="306"/>
      <c r="C107" s="183" t="s">
        <v>896</v>
      </c>
    </row>
    <row r="108" spans="2:3">
      <c r="B108" s="306"/>
      <c r="C108" s="183" t="s">
        <v>344</v>
      </c>
    </row>
    <row r="109" spans="2:3">
      <c r="B109" s="306"/>
      <c r="C109" s="183" t="s">
        <v>634</v>
      </c>
    </row>
    <row r="110" spans="2:3">
      <c r="B110" s="306"/>
      <c r="C110" s="183" t="s">
        <v>1033</v>
      </c>
    </row>
    <row r="111" spans="2:3">
      <c r="B111" s="306"/>
      <c r="C111" s="183" t="s">
        <v>353</v>
      </c>
    </row>
    <row r="112" spans="2:3">
      <c r="B112" s="306"/>
      <c r="C112" s="183" t="s">
        <v>332</v>
      </c>
    </row>
    <row r="113" spans="2:3">
      <c r="B113" s="306"/>
      <c r="C113" s="183" t="s">
        <v>622</v>
      </c>
    </row>
    <row r="114" spans="2:3">
      <c r="B114" s="306"/>
      <c r="C114" s="219" t="s">
        <v>652</v>
      </c>
    </row>
    <row r="115" spans="2:3">
      <c r="B115" s="306"/>
      <c r="C115" s="183" t="s">
        <v>646</v>
      </c>
    </row>
    <row r="116" spans="2:3">
      <c r="B116" s="306"/>
      <c r="C116" s="183" t="s">
        <v>351</v>
      </c>
    </row>
    <row r="117" spans="2:3">
      <c r="B117" s="306"/>
      <c r="C117" s="183" t="s">
        <v>996</v>
      </c>
    </row>
    <row r="118" spans="2:3" s="202" customFormat="1" ht="13.5">
      <c r="B118" s="306"/>
      <c r="C118" s="183" t="s">
        <v>893</v>
      </c>
    </row>
    <row r="119" spans="2:3" s="202" customFormat="1" ht="13.5">
      <c r="B119" s="306"/>
      <c r="C119" s="183" t="s">
        <v>894</v>
      </c>
    </row>
    <row r="120" spans="2:3" s="202" customFormat="1" ht="13.5">
      <c r="B120" s="306"/>
      <c r="C120" s="183" t="s">
        <v>892</v>
      </c>
    </row>
    <row r="121" spans="2:3" s="202" customFormat="1" ht="13.5">
      <c r="B121" s="306"/>
      <c r="C121" s="183" t="s">
        <v>994</v>
      </c>
    </row>
    <row r="122" spans="2:3" s="202" customFormat="1" ht="13.5">
      <c r="B122" s="306"/>
      <c r="C122" s="183" t="s">
        <v>338</v>
      </c>
    </row>
    <row r="123" spans="2:3" s="202" customFormat="1" ht="15" customHeight="1" thickBot="1">
      <c r="B123" s="307"/>
      <c r="C123" s="252" t="s">
        <v>1035</v>
      </c>
    </row>
    <row r="124" spans="2:3" ht="16.5" thickBot="1">
      <c r="B124" s="274" t="s">
        <v>888</v>
      </c>
      <c r="C124" s="231" t="s">
        <v>887</v>
      </c>
    </row>
    <row r="125" spans="2:3" ht="15.75" customHeight="1">
      <c r="B125" s="302" t="s">
        <v>1054</v>
      </c>
      <c r="C125" s="273" t="s">
        <v>1055</v>
      </c>
    </row>
    <row r="126" spans="2:3" ht="13.5" thickBot="1">
      <c r="B126" s="303"/>
      <c r="C126" s="185" t="s">
        <v>1056</v>
      </c>
    </row>
    <row r="127" spans="2:3">
      <c r="C127" s="251"/>
    </row>
  </sheetData>
  <sheetProtection password="EFD6" sheet="1" selectLockedCells="1"/>
  <mergeCells count="11">
    <mergeCell ref="B54:B67"/>
    <mergeCell ref="B68:B71"/>
    <mergeCell ref="B72:B97"/>
    <mergeCell ref="B125:B126"/>
    <mergeCell ref="B2:C3"/>
    <mergeCell ref="B98:B123"/>
    <mergeCell ref="E8:H8"/>
    <mergeCell ref="B4:C4"/>
    <mergeCell ref="B21:B46"/>
    <mergeCell ref="B47:B53"/>
    <mergeCell ref="B5:B20"/>
  </mergeCells>
  <phoneticPr fontId="2" type="noConversion"/>
  <hyperlinks>
    <hyperlink ref="C45" location="'Specific Gravity (SG)'!A1" display="Specific Gravity (SG)"/>
    <hyperlink ref="C28" location="'Pressure to MW'!A1" display="Converting Pressure into Mud Weight"/>
    <hyperlink ref="C44" location="'Slug Calculation'!A1" display="Slug Calculation"/>
    <hyperlink ref="C38" location="'Hydrostatic Pressure (HP)'!A1" display="Hydrostatic Pressure (HP)"/>
    <hyperlink ref="C24" location="'Annular Velocity (AV)'!A1" display="Annular Velocity (AV)"/>
    <hyperlink ref="C16" location="'Pump Out'!A1" display="Pump out (both duplex and tripex pump)"/>
    <hyperlink ref="C25" location="'Bouyancy Factor'!A1" display="Buoyancy Factor (BF)"/>
    <hyperlink ref="C22" location="'Amount of cutting drilled'!A1" display="Amount of cuttings drilled per foot of hole drilled"/>
    <hyperlink ref="C43" location="'Pressure Gradient'!A1" display="Pressure Gradient"/>
    <hyperlink ref="C27" location="'Temp Convert'!A1" display="Convert Temperature Unit"/>
    <hyperlink ref="C54" location="'Bulk Density Calculation'!A1" display="Bulk Density of Cuttings by using Mud Balance"/>
    <hyperlink ref="C39" location="'HP decrease w POOH'!A1" display="Hydrostatic Pressure (HP) Decrease When POOH"/>
    <hyperlink ref="C30" location="'Depth of Washout'!A1" display="Depth of washout"/>
    <hyperlink ref="C42" location="'Pressure and force'!A1" display="Pressure and Force"/>
    <hyperlink ref="C68" location="'Annular Pressure Loss'!A1" display="Annular Pressure Loss"/>
    <hyperlink ref="C69" location="'Critial RPM'!A1" display="Critical RPM"/>
    <hyperlink ref="C70" location="'ECD Calculation'!A1" display="Calculate Equivalent Circulating Density with Engineering Formula"/>
    <hyperlink ref="C36" location="'Formation Temperature'!A1" display="Formation Temperature"/>
    <hyperlink ref="C82" location="'Hydraulic Horse Power'!A1" display="Hydraulic Horse Power"/>
    <hyperlink ref="C17" location="'Pump Pressure and stroke'!A1" display="Pump Pressure and Pump Stroke Relationship "/>
    <hyperlink ref="C33" location="'Cost Per Foot'!A1" display="Drilling Cost Per Foot"/>
    <hyperlink ref="C40" location="'Inner Capacity'!A1" display="Inner Capacity of open hole, inside cylindrical objects "/>
    <hyperlink ref="C23" location="'Annular Capacity'!A1" display="Annular Capacity "/>
    <hyperlink ref="C37" location="'ft pulled to lose HP'!A1" display="How many feet of drill pipe pulled to lose certain amount of hydrostatic pressure (psi)"/>
    <hyperlink ref="C21" location="'accumulator capacity'!A1" display="Accumulator capacity"/>
    <hyperlink ref="C18" location="'Sutck Pipe Calculation'!A1" display="Sutck Pipe Calculation"/>
    <hyperlink ref="C32" location="Displacement!A1" display="Displacment of plain pipe such as casing, tubing, etc."/>
    <hyperlink ref="C11" location="'Loss HP due to loss returns'!A1" display="Loss of hydrostatic pressure due to filling water into annulus in case of lost return"/>
    <hyperlink ref="C10" location="'light weight spot pill'!A1" display="Light weight spot fill to balance formation pressure"/>
    <hyperlink ref="C15" location="'Pressure to break CC'!A1" display="Pressure required to break circulation"/>
    <hyperlink ref="C59" location="'Mud Calculation-Barite'!A1" display="Mud calculation by adding Barite"/>
    <hyperlink ref="C60" location="'Mud Calculation-Carbonate'!A1" display="Mud calculation by adding Carbonate"/>
    <hyperlink ref="C61" location="'Mud Calculation-Hematite'!A1" display="Increase mud weight by adding Hematite"/>
    <hyperlink ref="C66" location="'Reduce mud weight'!A1" display="Reduce mud weight by dilution"/>
    <hyperlink ref="C57" location="'density of oil-water mix'!A1" display="Determine the density of oil/water mixture "/>
    <hyperlink ref="C56" location="'Oil water ratio'!A1" display="Determine oil water ratio from a retort analysis"/>
    <hyperlink ref="C62" location="'Increase oil water ratio'!A1" display="Increase oil water ratio"/>
    <hyperlink ref="C55" location="'Decrease oil water ratio'!A1" display="Decrease oil water ratio"/>
    <hyperlink ref="C58" location="'Dilution LGS control'!A1" display="Dilution to control LGS"/>
    <hyperlink ref="C31" location="'d exponent'!A1" display="D-Exponent and D-Exponent Corrected"/>
    <hyperlink ref="C19" location="'Ton Miles'!A1" display="Ton Miles Calculation"/>
    <hyperlink ref="C9" location="'Lag Time'!A1" display="Lag time"/>
    <hyperlink ref="C122" location="'Trip Margin'!A1" display="Trip margin"/>
    <hyperlink ref="C108" location="KTF!A1" display="Kick tolerance factor (KTF)"/>
    <hyperlink ref="C116" location="'max surface press'!A1" display="Maximum suface pressure from kick tolerance information"/>
    <hyperlink ref="C111" location="'Max formation press'!A1" display="Maximum formation pressure (FP)"/>
    <hyperlink ref="C113" location="'Max shut in Pressure'!A1" display="Maximum Initial Shut-In Casing Pressure (MISICP)"/>
    <hyperlink ref="C112" location="'max influx height'!A1" display="Maximum influx height"/>
    <hyperlink ref="C99" location="'Adjusting MASCIP'!A1" display="Adjusted maximum allowable shut-in casing pressure for new mud weight"/>
    <hyperlink ref="C104" location="'formation pressure well shut in'!A1" display="Formaton pressure from kick analysis"/>
    <hyperlink ref="C102" location="'type of influx'!A1" display="Estimate type of inlux"/>
    <hyperlink ref="C101" location="'Estimate gas migration rate'!A1" display="Estimate gas migration rate with an empirical equation"/>
    <hyperlink ref="C34" location="ECD!A1" display="Equivalent Circulating Density (ECD)"/>
    <hyperlink ref="C35" location="FIT!A1" display="Formation Integrity Test (FIT)"/>
    <hyperlink ref="C41" location="LOT!A1" display="Leak Off Test (LOT)"/>
    <hyperlink ref="C52" location="'Dogleg Radius C'!A1" display="Dogleg Severity Calculation based on Radius of Curvature Method"/>
    <hyperlink ref="C53" location="'Dogleg Tangent'!A1" display="Dogleg Severity Calculation based on Tangential Method"/>
    <hyperlink ref="C47" location="'Angle Averaing Method'!A1" display="Directional Survey - Angle Averaging Method"/>
    <hyperlink ref="C48" location="'Radius of Curvature Method'!A1" display="Directional Survey - Radius of Curvature Method"/>
    <hyperlink ref="C49" location="'Balanced Tangential Method'!A1" display="Directional Survey - Balanced Tangential Method"/>
    <hyperlink ref="C50" location="'Minimum Curvature Method'!A1" display="Directional Survey - Minimum Curvature Method"/>
    <hyperlink ref="C51" location="'Tangential Method'!A1" display="Directional Survey - Tangential Method"/>
    <hyperlink ref="C63" location="'Mix different density limit'!A1" display="Mixing Fluids of Different Densities with Pit Space Limitation"/>
    <hyperlink ref="C64" location="'Mix different density unlimit'!A1" display="Mixing Fluids of Different Densities without Pit Space Limitation"/>
    <hyperlink ref="C98" location="'Acutal Gas Migration Rate'!A1" display="Actual gas migration rate in a shut in well"/>
    <hyperlink ref="C109" location="KWM!A1" display="Kill Weight Mud"/>
    <hyperlink ref="C100" location="'Calculate Influx Height'!A1" display="Calculate Influx Height"/>
    <hyperlink ref="C105" location="'HP loss gas cut mud'!A1" display="Hydrostatic Pressure Loss Due to Gas Cut Mud"/>
    <hyperlink ref="C115" location="'Max P gas influx'!A1" display="Maximum Surface Pressure from Gas Influx in Water Based Mud"/>
    <hyperlink ref="C114" location="'Max Pit Gain'!A1" display="Maximum pit gain from gas kick in water based mud.doc"/>
    <hyperlink ref="C79" location="'Cutting Slip Velocity 1'!A1" display="Cutting Slip Velocity Method#1"/>
    <hyperlink ref="C80" location="'Cutting Slip Velocity 2'!A1" display="Cutting Slip Velocity Method#2"/>
    <hyperlink ref="C95" location="'Surge Swab 1'!A1" display="Surge and Swab Pressure Method#1"/>
    <hyperlink ref="C96" location="'Surge Swab 2'!A1" display="Surge and Swab Pressure Method#2"/>
    <hyperlink ref="C97" location="'TFA Table'!A1" display="Total Flow Area Table"/>
    <hyperlink ref="C91" location="'Pressure Loss Drillstring'!A1" display="Pressure Loss Drillstring"/>
    <hyperlink ref="C92" location="'Ploss Drillstring TJ Correction'!A1" display="Pressure Loss Drillstring with tool joint correction"/>
    <hyperlink ref="C89" location="'P loss in annulus'!A1" display="Pressure Loss Annulus"/>
    <hyperlink ref="C93" location="'P loss surface equipment'!A1" display="Pressure Loss in Surface Equipment"/>
    <hyperlink ref="C81" location="'Effective Viscosity'!A1" display="Effective Viscosity"/>
    <hyperlink ref="C87" location="'Power Law Constant'!A1" display="Power Law Constant"/>
    <hyperlink ref="C94" location="'Reynold Number'!A1" display="Reynold Number"/>
    <hyperlink ref="C78" location="CCI!A1" display="Cutting Carrying Index"/>
    <hyperlink ref="C76" location="'Critical Flow Rate'!A1" display="Critical Flow Rate"/>
    <hyperlink ref="C86" location="'Optimum Flow Rate-Basic System'!A1" display="Optimun Flow Rate for basic system"/>
    <hyperlink ref="C90" location="'P loss in annulus TJ correction'!A1" display="Pressure Loss Annulus With Tool Joint Correction"/>
    <hyperlink ref="C46" location="'Total Bit Revolution'!A1" display="Total Bit Revolution in Mud Motor"/>
    <hyperlink ref="C7" location="'ECD Yp'!A1" display="Equivalent Circulating Density (ECD) Using Yield Point for MW less than 13 ppg"/>
    <hyperlink ref="C8" location="'ECD Yp (2)'!A1" display="Equivalent Circulating Density (ECD) Using Yield Point for MW more than 13 ppg"/>
    <hyperlink ref="C14" location="'Pipe Elongation Temp'!A1" display="Pipe Elongation Due to Temperature"/>
    <hyperlink ref="C5" location="'Drill Collar Weight'!A1" display="Drill Collar Weight"/>
    <hyperlink ref="C12" location="'Margin of Overpull'!A1" display="Margine of Overpull"/>
    <hyperlink ref="C65" location="'PV YP'!A1" display="Plastic Viscosity and Yield Point"/>
    <hyperlink ref="C124" location="'Drillstring Tensile'!A1" display="Tensile Capacity of Drill String"/>
    <hyperlink ref="C107" location="ICP!A1" display="Initial Circulating Pressure (psi)"/>
    <hyperlink ref="C103" location="FCP!A1" display="Final Circulating Pressure (psi)"/>
    <hyperlink ref="C119" location="'New Pump P'!A1" display="New Pump Pressure With New Strokes (psi)"/>
    <hyperlink ref="C118" location="'New Pump P (2)'!A1" display="New Pressure Loss With New Mud (psi)"/>
    <hyperlink ref="C120" location="'Riser Margin'!A1" display="Riser Margin"/>
    <hyperlink ref="C26" location="'Bouyancy Factor (2)'!A1" display="Buoyancy Factor (BF) with different fluid weight inside and outside"/>
    <hyperlink ref="C6" location="'Effective Mud Density'!A1" display="Effective Mud Density"/>
    <hyperlink ref="C13" location="'Max ROP'!A1" display="Maximum ROP Before Fracturing Formation"/>
    <hyperlink ref="C20" location="'Cutting Volume'!A1" display="Volume of Cutting Generated While Drilling"/>
    <hyperlink ref="C29" location="'coring cost per foot'!A1" display="Coring Cost Per Footage Recovered"/>
    <hyperlink ref="C67" location="'solid density'!A1" display="Solid Density From Retort Analysis "/>
    <hyperlink ref="C71" location="'Bottom hole pressure gas well'!A1" display="Bottom Hole Pressure from Wellhead Pressure in a Dry Gas Well"/>
    <hyperlink ref="C88" location="'Pressure drop across bit'!A1" display="Pressure Drop Across Bit"/>
    <hyperlink ref="C121" location="'Time to bubble '!A1" display="Time To Penetrate Kick"/>
    <hyperlink ref="C106" location="'Increase in casing pressure'!A1" display="Increase in casing pressure due to kick penetration"/>
    <hyperlink ref="C117" location="'Mud Increment'!A1" display="Mud Increment"/>
    <hyperlink ref="C72" location="'Bit Nozzle Velocity'!A1" display="Bi Nozzle Velocity"/>
    <hyperlink ref="C74" location="'Bit Hydraulic HP'!A1" display="Bit Hydraulic Horsepower"/>
    <hyperlink ref="C83" location="'Impact Force'!A1" display="Impact Force of Jet Nozzles on Bottom Hole"/>
    <hyperlink ref="C75" location="HSI!A1" display="Bit Hydraulic Horsepower Per Area of Dril Bit (HSI)"/>
    <hyperlink ref="C77" location="'Cross flow velocity'!A1" display="Cross Flow Velocity Under a Drilling Bit"/>
    <hyperlink ref="C84" location="MSE!A1" display="Mechanical Specific Energy"/>
    <hyperlink ref="C73" location="'Bit Aggressiveness'!A1" display="Bit Aggressiveness"/>
    <hyperlink ref="C85" location="'Minimum Flow Rate PDC bit'!A1" display="Minimum Flow Rate PDC bit"/>
    <hyperlink ref="C110" location="'Lube Increment'!A1" display="Lube Increment"/>
    <hyperlink ref="C123" location="'Bottle Capacity Required '!A1" display="Bottle Capacity Required in Accumulator"/>
    <hyperlink ref="C125" location="'Cement plug'!A1" display="Squeeze and Balance Cement Plug"/>
    <hyperlink ref="C126" location="'Cement plug (2)'!A1" display="Balance Cement Plug Above Retainer"/>
  </hyperlinks>
  <pageMargins left="0.75" right="0.75" top="1" bottom="1" header="0.5" footer="0.5"/>
  <pageSetup paperSize="9" scale="8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rgb="FFFFFF00"/>
  </sheetPr>
  <dimension ref="A1:F13"/>
  <sheetViews>
    <sheetView showGridLines="0" workbookViewId="0">
      <selection activeCell="F4" sqref="F4"/>
    </sheetView>
  </sheetViews>
  <sheetFormatPr defaultRowHeight="12.75"/>
  <cols>
    <col min="1" max="1" width="47.7109375" bestFit="1" customWidth="1"/>
    <col min="5" max="5" width="17.85546875" customWidth="1"/>
    <col min="6" max="6" width="55.42578125" bestFit="1" customWidth="1"/>
  </cols>
  <sheetData>
    <row r="1" spans="1:6">
      <c r="A1" s="18" t="s">
        <v>1005</v>
      </c>
    </row>
    <row r="2" spans="1:6">
      <c r="A2" s="27"/>
      <c r="F2" s="13" t="s">
        <v>373</v>
      </c>
    </row>
    <row r="3" spans="1:6">
      <c r="C3" s="27"/>
      <c r="F3" s="12" t="s">
        <v>372</v>
      </c>
    </row>
    <row r="4" spans="1:6">
      <c r="A4" s="27" t="s">
        <v>1002</v>
      </c>
      <c r="B4" s="222">
        <v>450</v>
      </c>
      <c r="C4" s="27"/>
      <c r="F4" s="35" t="s">
        <v>24</v>
      </c>
    </row>
    <row r="5" spans="1:6">
      <c r="A5" s="27" t="s">
        <v>1006</v>
      </c>
      <c r="B5" s="156">
        <v>8.625</v>
      </c>
      <c r="C5" s="27"/>
      <c r="F5" s="194"/>
    </row>
    <row r="6" spans="1:6">
      <c r="A6" s="18" t="s">
        <v>1007</v>
      </c>
      <c r="B6" s="255">
        <f>(B4*1.273)/(B5^2)</f>
        <v>7.7005671077504712</v>
      </c>
    </row>
    <row r="8" spans="1:6">
      <c r="A8" s="122"/>
      <c r="B8" s="29"/>
    </row>
    <row r="9" spans="1:6">
      <c r="A9" s="29"/>
      <c r="B9" s="29"/>
    </row>
    <row r="10" spans="1:6">
      <c r="A10" s="122"/>
      <c r="B10" s="232"/>
    </row>
    <row r="11" spans="1:6">
      <c r="A11" s="122"/>
      <c r="B11" s="232"/>
    </row>
    <row r="12" spans="1:6">
      <c r="A12" s="122"/>
      <c r="B12" s="110"/>
    </row>
    <row r="13" spans="1:6">
      <c r="A13" s="29"/>
      <c r="B13" s="29"/>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dimension ref="A1:F12"/>
  <sheetViews>
    <sheetView showGridLines="0" workbookViewId="0">
      <selection activeCell="F5" sqref="F5"/>
    </sheetView>
  </sheetViews>
  <sheetFormatPr defaultRowHeight="12.75"/>
  <cols>
    <col min="1" max="1" width="16.7109375" customWidth="1"/>
    <col min="2" max="2" width="8.7109375" customWidth="1"/>
    <col min="6" max="6" width="54" customWidth="1"/>
  </cols>
  <sheetData>
    <row r="1" spans="1:6">
      <c r="A1" s="58" t="s">
        <v>56</v>
      </c>
    </row>
    <row r="2" spans="1:6">
      <c r="A2" s="18" t="s">
        <v>48</v>
      </c>
    </row>
    <row r="3" spans="1:6">
      <c r="F3" s="13" t="s">
        <v>373</v>
      </c>
    </row>
    <row r="4" spans="1:6">
      <c r="B4" t="s">
        <v>45</v>
      </c>
      <c r="C4" t="s">
        <v>46</v>
      </c>
      <c r="F4" s="12" t="s">
        <v>372</v>
      </c>
    </row>
    <row r="5" spans="1:6">
      <c r="A5" t="s">
        <v>52</v>
      </c>
      <c r="B5" s="105">
        <v>7482</v>
      </c>
      <c r="C5" s="105">
        <v>7782</v>
      </c>
      <c r="F5" s="35" t="s">
        <v>24</v>
      </c>
    </row>
    <row r="6" spans="1:6">
      <c r="A6" t="s">
        <v>53</v>
      </c>
      <c r="B6" s="105">
        <v>4</v>
      </c>
      <c r="C6" s="105">
        <v>8</v>
      </c>
      <c r="F6" s="193" t="s">
        <v>830</v>
      </c>
    </row>
    <row r="7" spans="1:6">
      <c r="A7" t="s">
        <v>54</v>
      </c>
      <c r="B7" s="105">
        <v>10</v>
      </c>
      <c r="C7" s="105">
        <v>35</v>
      </c>
    </row>
    <row r="8" spans="1:6">
      <c r="A8" s="29"/>
      <c r="B8" s="10"/>
      <c r="C8" s="10"/>
    </row>
    <row r="9" spans="1:6">
      <c r="A9" s="10" t="s">
        <v>49</v>
      </c>
      <c r="B9" s="61">
        <f>(C5-B5)*SIN((PI()/180)*(B6+C6)/2)*COS((PI()/180)*(B7+C7)/2)</f>
        <v>28.971512333352869</v>
      </c>
      <c r="C9" s="27" t="s">
        <v>366</v>
      </c>
      <c r="F9" s="58" t="s">
        <v>513</v>
      </c>
    </row>
    <row r="10" spans="1:6">
      <c r="A10" s="10" t="s">
        <v>50</v>
      </c>
      <c r="B10" s="61">
        <f>(C5-B5)*SIN((PI()/180)*(B6+C6)/2)*SIN((PI()/180)*(B7+C7)/2)</f>
        <v>12.000393330934152</v>
      </c>
      <c r="C10" s="27" t="s">
        <v>366</v>
      </c>
      <c r="F10" s="35" t="s">
        <v>576</v>
      </c>
    </row>
    <row r="11" spans="1:6">
      <c r="A11" s="10" t="s">
        <v>51</v>
      </c>
      <c r="B11" s="61">
        <f>(C5-B5)*COS((PI()/180)*(B6+C6)/2)</f>
        <v>298.35656861048199</v>
      </c>
      <c r="C11" s="27" t="s">
        <v>366</v>
      </c>
      <c r="F11" s="58" t="s">
        <v>516</v>
      </c>
    </row>
    <row r="12" spans="1:6">
      <c r="F12" s="35" t="s">
        <v>517</v>
      </c>
    </row>
  </sheetData>
  <sheetProtection password="EFD6" sheet="1" objects="1" scenarios="1" selectLockedCells="1"/>
  <phoneticPr fontId="0" type="noConversion"/>
  <hyperlinks>
    <hyperlink ref="F5" location="'Index Page'!A1" display="Back to the first page"/>
    <hyperlink ref="F12" r:id="rId1"/>
    <hyperlink ref="F10" r:id="rId2"/>
    <hyperlink ref="F6" r:id="rId3"/>
  </hyperlinks>
  <pageMargins left="0.75" right="0.75" top="1" bottom="1" header="0.5" footer="0.5"/>
  <pageSetup orientation="portrait" r:id="rId4"/>
  <headerFooter alignWithMargins="0"/>
</worksheet>
</file>

<file path=xl/worksheets/sheet101.xml><?xml version="1.0" encoding="utf-8"?>
<worksheet xmlns="http://schemas.openxmlformats.org/spreadsheetml/2006/main" xmlns:r="http://schemas.openxmlformats.org/officeDocument/2006/relationships">
  <dimension ref="A1:F11"/>
  <sheetViews>
    <sheetView showGridLines="0" workbookViewId="0">
      <selection activeCell="F6" sqref="F6"/>
    </sheetView>
  </sheetViews>
  <sheetFormatPr defaultRowHeight="12.75"/>
  <cols>
    <col min="1" max="1" width="16.7109375" customWidth="1"/>
    <col min="2" max="2" width="8.7109375" customWidth="1"/>
    <col min="6" max="6" width="53.7109375" customWidth="1"/>
  </cols>
  <sheetData>
    <row r="1" spans="1:6">
      <c r="A1" s="58" t="s">
        <v>56</v>
      </c>
    </row>
    <row r="2" spans="1:6">
      <c r="A2" s="18" t="s">
        <v>55</v>
      </c>
    </row>
    <row r="3" spans="1:6">
      <c r="F3" s="13" t="s">
        <v>373</v>
      </c>
    </row>
    <row r="4" spans="1:6">
      <c r="B4" t="s">
        <v>45</v>
      </c>
      <c r="C4" t="s">
        <v>46</v>
      </c>
      <c r="F4" s="12" t="s">
        <v>372</v>
      </c>
    </row>
    <row r="5" spans="1:6">
      <c r="A5" t="s">
        <v>52</v>
      </c>
      <c r="B5" s="105">
        <v>7482</v>
      </c>
      <c r="C5" s="105">
        <v>7782</v>
      </c>
      <c r="F5" s="35" t="s">
        <v>24</v>
      </c>
    </row>
    <row r="6" spans="1:6">
      <c r="A6" t="s">
        <v>53</v>
      </c>
      <c r="B6" s="105">
        <v>4</v>
      </c>
      <c r="C6" s="105">
        <v>8</v>
      </c>
      <c r="F6" s="193" t="s">
        <v>830</v>
      </c>
    </row>
    <row r="7" spans="1:6">
      <c r="A7" t="s">
        <v>54</v>
      </c>
      <c r="B7" s="105">
        <v>10</v>
      </c>
      <c r="C7" s="105">
        <v>35</v>
      </c>
    </row>
    <row r="8" spans="1:6">
      <c r="A8" s="29"/>
      <c r="B8" s="10"/>
      <c r="C8" s="10"/>
      <c r="F8" s="58" t="s">
        <v>513</v>
      </c>
    </row>
    <row r="9" spans="1:6">
      <c r="A9" s="10" t="s">
        <v>49</v>
      </c>
      <c r="B9" s="16">
        <f>(C5-B5)*(COS(B6*(PI()/180))-COS(C6*(PI()/180)))*(SIN(C7*(PI()/180))-SIN(B7*(PI()/180)))/((C6-B6)*(C7-B7)*((PI()/180)^2))</f>
        <v>28.736398457085844</v>
      </c>
      <c r="C9" s="27" t="s">
        <v>366</v>
      </c>
      <c r="F9" s="35" t="s">
        <v>578</v>
      </c>
    </row>
    <row r="10" spans="1:6">
      <c r="A10" s="10" t="s">
        <v>50</v>
      </c>
      <c r="B10" s="16">
        <f>(C5-B5)*(COS(B6*(PI()/180))-COS(C6*(PI()/180)))*(COS(B7*(PI()/180))-COS(C7*(PI()/180)))/((C6-B6)*(C7-B7)*((PI()/180)^2))</f>
        <v>11.903005974682237</v>
      </c>
      <c r="C10" s="27" t="s">
        <v>366</v>
      </c>
      <c r="F10" s="58" t="s">
        <v>516</v>
      </c>
    </row>
    <row r="11" spans="1:6">
      <c r="A11" s="10" t="s">
        <v>51</v>
      </c>
      <c r="B11" s="16">
        <f>(C5-B5)*(SIN(C6*(PI()/180))-SIN(B6*(PI()/180)))/((C6-B6)*(PI()/180))</f>
        <v>298.29598256297515</v>
      </c>
      <c r="C11" s="27" t="s">
        <v>366</v>
      </c>
      <c r="F11" s="35" t="s">
        <v>517</v>
      </c>
    </row>
  </sheetData>
  <sheetProtection password="EFD6" sheet="1" objects="1" scenarios="1" selectLockedCells="1"/>
  <phoneticPr fontId="0" type="noConversion"/>
  <hyperlinks>
    <hyperlink ref="F5" location="'Index Page'!A1" display="Back to the first page"/>
    <hyperlink ref="F11" r:id="rId1"/>
    <hyperlink ref="F9" r:id="rId2"/>
    <hyperlink ref="F6" r:id="rId3"/>
  </hyperlinks>
  <pageMargins left="0.75" right="0.75" top="1" bottom="1" header="0.5" footer="0.5"/>
  <pageSetup orientation="portrait" r:id="rId4"/>
  <headerFooter alignWithMargins="0"/>
</worksheet>
</file>

<file path=xl/worksheets/sheet102.xml><?xml version="1.0" encoding="utf-8"?>
<worksheet xmlns="http://schemas.openxmlformats.org/spreadsheetml/2006/main" xmlns:r="http://schemas.openxmlformats.org/officeDocument/2006/relationships">
  <dimension ref="A1:F11"/>
  <sheetViews>
    <sheetView showGridLines="0" workbookViewId="0">
      <selection activeCell="F6" sqref="F6"/>
    </sheetView>
  </sheetViews>
  <sheetFormatPr defaultRowHeight="12.75"/>
  <cols>
    <col min="1" max="1" width="16.7109375" customWidth="1"/>
    <col min="2" max="2" width="8.7109375" customWidth="1"/>
    <col min="6" max="6" width="54" customWidth="1"/>
  </cols>
  <sheetData>
    <row r="1" spans="1:6">
      <c r="A1" s="58" t="s">
        <v>56</v>
      </c>
    </row>
    <row r="2" spans="1:6">
      <c r="A2" s="18" t="s">
        <v>356</v>
      </c>
    </row>
    <row r="3" spans="1:6">
      <c r="F3" s="13" t="s">
        <v>373</v>
      </c>
    </row>
    <row r="4" spans="1:6">
      <c r="B4" t="s">
        <v>45</v>
      </c>
      <c r="C4" t="s">
        <v>46</v>
      </c>
      <c r="F4" s="12" t="s">
        <v>372</v>
      </c>
    </row>
    <row r="5" spans="1:6">
      <c r="A5" t="s">
        <v>52</v>
      </c>
      <c r="B5" s="105">
        <v>3500</v>
      </c>
      <c r="C5" s="105">
        <v>3600</v>
      </c>
      <c r="F5" s="35" t="s">
        <v>24</v>
      </c>
    </row>
    <row r="6" spans="1:6">
      <c r="A6" t="s">
        <v>53</v>
      </c>
      <c r="B6" s="105">
        <v>15</v>
      </c>
      <c r="C6" s="105">
        <v>25</v>
      </c>
      <c r="F6" s="193" t="s">
        <v>830</v>
      </c>
    </row>
    <row r="7" spans="1:6">
      <c r="A7" t="s">
        <v>54</v>
      </c>
      <c r="B7" s="105">
        <v>20</v>
      </c>
      <c r="C7" s="105">
        <v>45</v>
      </c>
    </row>
    <row r="8" spans="1:6">
      <c r="A8" s="29"/>
      <c r="B8" s="10"/>
      <c r="C8" s="10"/>
      <c r="F8" s="58" t="s">
        <v>513</v>
      </c>
    </row>
    <row r="9" spans="1:6">
      <c r="A9" s="10" t="s">
        <v>49</v>
      </c>
      <c r="B9" s="61">
        <f>(C5-B5)/2*((SIN(B6*(PI()/180))*COS(B7*(PI()/180)))+(SIN(C6*(PI()/180))*COS(C7*(PI()/180))))</f>
        <v>27.102329276590687</v>
      </c>
      <c r="C9" s="27" t="s">
        <v>366</v>
      </c>
      <c r="F9" s="35" t="s">
        <v>580</v>
      </c>
    </row>
    <row r="10" spans="1:6">
      <c r="A10" s="10" t="s">
        <v>50</v>
      </c>
      <c r="B10" s="61">
        <f>(C5-B5)/2*((SIN(B6*(PI()/180))*SIN(B7*(PI()/180)))+(SIN(C6*(PI()/180))*SIN(C7*(PI()/180))))</f>
        <v>19.367878281574836</v>
      </c>
      <c r="C10" s="27" t="s">
        <v>366</v>
      </c>
      <c r="F10" s="58" t="s">
        <v>516</v>
      </c>
    </row>
    <row r="11" spans="1:6">
      <c r="A11" s="10" t="s">
        <v>51</v>
      </c>
      <c r="B11" s="61">
        <f>(C5-B5)/2*(COS(B6*(PI()/180))+COS(C6*(PI()/180)))</f>
        <v>93.611680666285906</v>
      </c>
      <c r="C11" s="27" t="s">
        <v>366</v>
      </c>
      <c r="F11" s="35" t="s">
        <v>517</v>
      </c>
    </row>
  </sheetData>
  <sheetProtection password="EFD6" sheet="1" objects="1" scenarios="1" selectLockedCells="1"/>
  <phoneticPr fontId="0" type="noConversion"/>
  <hyperlinks>
    <hyperlink ref="F5" location="'Index Page'!A1" display="Back to the first page"/>
    <hyperlink ref="F11" r:id="rId1"/>
    <hyperlink ref="F9" r:id="rId2"/>
    <hyperlink ref="F6" r:id="rId3"/>
  </hyperlinks>
  <pageMargins left="0.75" right="0.75" top="1" bottom="1" header="0.5" footer="0.5"/>
  <pageSetup orientation="portrait" r:id="rId4"/>
  <headerFooter alignWithMargins="0"/>
</worksheet>
</file>

<file path=xl/worksheets/sheet103.xml><?xml version="1.0" encoding="utf-8"?>
<worksheet xmlns="http://schemas.openxmlformats.org/spreadsheetml/2006/main" xmlns:r="http://schemas.openxmlformats.org/officeDocument/2006/relationships">
  <dimension ref="A1:F13"/>
  <sheetViews>
    <sheetView showGridLines="0" workbookViewId="0">
      <selection activeCell="F5" sqref="F5"/>
    </sheetView>
  </sheetViews>
  <sheetFormatPr defaultRowHeight="12.75"/>
  <cols>
    <col min="1" max="1" width="16.7109375" customWidth="1"/>
    <col min="2" max="2" width="8.7109375" customWidth="1"/>
    <col min="6" max="6" width="53.28515625" customWidth="1"/>
  </cols>
  <sheetData>
    <row r="1" spans="1:6">
      <c r="A1" s="58" t="s">
        <v>56</v>
      </c>
    </row>
    <row r="2" spans="1:6">
      <c r="A2" s="18" t="s">
        <v>357</v>
      </c>
      <c r="F2" s="13" t="s">
        <v>373</v>
      </c>
    </row>
    <row r="3" spans="1:6">
      <c r="F3" s="12" t="s">
        <v>372</v>
      </c>
    </row>
    <row r="4" spans="1:6">
      <c r="B4" t="s">
        <v>45</v>
      </c>
      <c r="C4" t="s">
        <v>46</v>
      </c>
      <c r="F4" s="35" t="s">
        <v>24</v>
      </c>
    </row>
    <row r="5" spans="1:6">
      <c r="A5" t="s">
        <v>52</v>
      </c>
      <c r="B5" s="105">
        <v>3500</v>
      </c>
      <c r="C5" s="105">
        <v>3600</v>
      </c>
      <c r="F5" s="193" t="s">
        <v>830</v>
      </c>
    </row>
    <row r="6" spans="1:6">
      <c r="A6" t="s">
        <v>53</v>
      </c>
      <c r="B6" s="125">
        <v>15</v>
      </c>
      <c r="C6" s="125">
        <v>25</v>
      </c>
    </row>
    <row r="7" spans="1:6">
      <c r="A7" t="s">
        <v>54</v>
      </c>
      <c r="B7" s="125">
        <v>20</v>
      </c>
      <c r="C7" s="125">
        <v>45</v>
      </c>
    </row>
    <row r="8" spans="1:6">
      <c r="A8" s="29"/>
      <c r="B8" s="10"/>
      <c r="C8" s="10"/>
    </row>
    <row r="9" spans="1:6">
      <c r="A9" s="80" t="s">
        <v>358</v>
      </c>
      <c r="B9" s="39">
        <f>ACOS(COS((C6-B6)*(PI()/180))-(SIN(B6*(PI()/180))*SIN(C6*(PI()/180))*(1-COS((C7-B7)*(PI()/180)))))</f>
        <v>0.22604894870434511</v>
      </c>
      <c r="C9" s="27" t="s">
        <v>359</v>
      </c>
      <c r="E9" s="82"/>
      <c r="F9" s="58" t="s">
        <v>513</v>
      </c>
    </row>
    <row r="10" spans="1:6">
      <c r="A10" s="81" t="s">
        <v>360</v>
      </c>
      <c r="B10" s="39">
        <f>(2/B9)*TAN(B9/2)</f>
        <v>1.0042800488467192</v>
      </c>
      <c r="F10" s="35" t="s">
        <v>582</v>
      </c>
    </row>
    <row r="11" spans="1:6">
      <c r="A11" s="10" t="s">
        <v>49</v>
      </c>
      <c r="B11" s="16">
        <f>(C5-B5)/2*((SIN(B6*(PI()/180))*COS(B7*(PI()/180)))+(SIN(C6*(PI()/180))*COS(C7*(PI()/180))))*B10</f>
        <v>27.218328569754362</v>
      </c>
      <c r="C11" s="27" t="s">
        <v>366</v>
      </c>
      <c r="F11" s="58" t="s">
        <v>516</v>
      </c>
    </row>
    <row r="12" spans="1:6">
      <c r="A12" s="10" t="s">
        <v>50</v>
      </c>
      <c r="B12" s="16">
        <f>(C5-B5)/2*((SIN(B6*(PI()/180))*SIN(B7*(PI()/180)))+(SIN(C6*(PI()/180))*SIN(C7*(PI()/180))))*B10</f>
        <v>19.450773746677289</v>
      </c>
      <c r="C12" s="27" t="s">
        <v>366</v>
      </c>
      <c r="F12" s="35" t="s">
        <v>517</v>
      </c>
    </row>
    <row r="13" spans="1:6">
      <c r="A13" s="10" t="s">
        <v>51</v>
      </c>
      <c r="B13" s="16">
        <f>(C5-B5)/2*(COS(B6*(PI()/180))+COS(C6*(PI()/180)))*B10</f>
        <v>94.012343232161086</v>
      </c>
      <c r="C13" s="27" t="s">
        <v>366</v>
      </c>
    </row>
  </sheetData>
  <sheetProtection password="EFD6" sheet="1" objects="1" scenarios="1" selectLockedCells="1"/>
  <phoneticPr fontId="0" type="noConversion"/>
  <hyperlinks>
    <hyperlink ref="F4" location="'Index Page'!A1" display="Back to the first page"/>
    <hyperlink ref="F12" r:id="rId1"/>
    <hyperlink ref="F10" r:id="rId2"/>
    <hyperlink ref="F5" r:id="rId3"/>
  </hyperlinks>
  <pageMargins left="0.75" right="0.75" top="1" bottom="1" header="0.5" footer="0.5"/>
  <pageSetup orientation="portrait" r:id="rId4"/>
  <headerFooter alignWithMargins="0"/>
</worksheet>
</file>

<file path=xl/worksheets/sheet104.xml><?xml version="1.0" encoding="utf-8"?>
<worksheet xmlns="http://schemas.openxmlformats.org/spreadsheetml/2006/main" xmlns:r="http://schemas.openxmlformats.org/officeDocument/2006/relationships">
  <dimension ref="A1:F11"/>
  <sheetViews>
    <sheetView showGridLines="0" workbookViewId="0">
      <selection activeCell="F6" sqref="F6"/>
    </sheetView>
  </sheetViews>
  <sheetFormatPr defaultRowHeight="12.75"/>
  <cols>
    <col min="1" max="1" width="16.7109375" customWidth="1"/>
    <col min="2" max="2" width="8.7109375" customWidth="1"/>
    <col min="6" max="6" width="54.85546875" customWidth="1"/>
  </cols>
  <sheetData>
    <row r="1" spans="1:6">
      <c r="A1" s="58" t="s">
        <v>56</v>
      </c>
    </row>
    <row r="2" spans="1:6">
      <c r="A2" s="18" t="s">
        <v>355</v>
      </c>
    </row>
    <row r="3" spans="1:6">
      <c r="F3" s="13" t="s">
        <v>373</v>
      </c>
    </row>
    <row r="4" spans="1:6">
      <c r="B4" t="s">
        <v>45</v>
      </c>
      <c r="C4" t="s">
        <v>46</v>
      </c>
      <c r="F4" s="12" t="s">
        <v>372</v>
      </c>
    </row>
    <row r="5" spans="1:6">
      <c r="A5" t="s">
        <v>52</v>
      </c>
      <c r="B5" s="105">
        <v>3500</v>
      </c>
      <c r="C5" s="105">
        <v>3600</v>
      </c>
      <c r="F5" s="35" t="s">
        <v>24</v>
      </c>
    </row>
    <row r="6" spans="1:6">
      <c r="A6" t="s">
        <v>53</v>
      </c>
      <c r="B6" s="125">
        <v>15</v>
      </c>
      <c r="C6" s="125">
        <v>25</v>
      </c>
      <c r="F6" s="193" t="s">
        <v>830</v>
      </c>
    </row>
    <row r="7" spans="1:6">
      <c r="A7" t="s">
        <v>54</v>
      </c>
      <c r="B7" s="125">
        <v>20</v>
      </c>
      <c r="C7" s="125">
        <v>45</v>
      </c>
    </row>
    <row r="8" spans="1:6">
      <c r="A8" s="29"/>
      <c r="B8" s="10"/>
      <c r="C8" s="10"/>
      <c r="F8" s="58" t="s">
        <v>513</v>
      </c>
    </row>
    <row r="9" spans="1:6">
      <c r="A9" s="10" t="s">
        <v>49</v>
      </c>
      <c r="B9" s="61">
        <f>(C5-B5)*((SIN(C6*(PI()/180))*COS(C7*(PI()/180))))</f>
        <v>29.883623873011985</v>
      </c>
      <c r="C9" s="27" t="s">
        <v>366</v>
      </c>
      <c r="F9" s="35" t="s">
        <v>584</v>
      </c>
    </row>
    <row r="10" spans="1:6">
      <c r="A10" s="10" t="s">
        <v>50</v>
      </c>
      <c r="B10" s="61">
        <f>(C5-B5)*((SIN(C6*(PI()/180))*SIN(C7*(PI()/180))))</f>
        <v>29.883623873011985</v>
      </c>
      <c r="C10" s="27" t="s">
        <v>366</v>
      </c>
      <c r="F10" s="58" t="s">
        <v>516</v>
      </c>
    </row>
    <row r="11" spans="1:6">
      <c r="A11" s="10" t="s">
        <v>51</v>
      </c>
      <c r="B11" s="61">
        <f>(C5-B5)*(COS(C6*(PI()/180)))</f>
        <v>90.630778703664987</v>
      </c>
      <c r="C11" s="27" t="s">
        <v>366</v>
      </c>
      <c r="F11" s="35" t="s">
        <v>517</v>
      </c>
    </row>
  </sheetData>
  <sheetProtection password="EFD6" sheet="1" selectLockedCells="1"/>
  <phoneticPr fontId="2" type="noConversion"/>
  <hyperlinks>
    <hyperlink ref="F5" location="'Index Page'!A1" display="Back to the first page"/>
    <hyperlink ref="F11" r:id="rId1"/>
    <hyperlink ref="F6" r:id="rId2"/>
  </hyperlinks>
  <pageMargins left="0.75" right="0.75" top="1" bottom="1" header="0.5" footer="0.5"/>
  <pageSetup orientation="portrait" r:id="rId3"/>
  <headerFooter alignWithMargins="0"/>
</worksheet>
</file>

<file path=xl/worksheets/sheet105.xml><?xml version="1.0" encoding="utf-8"?>
<worksheet xmlns="http://schemas.openxmlformats.org/spreadsheetml/2006/main" xmlns:r="http://schemas.openxmlformats.org/officeDocument/2006/relationships">
  <dimension ref="A1:F10"/>
  <sheetViews>
    <sheetView showGridLines="0" workbookViewId="0">
      <selection activeCell="F6" sqref="F6"/>
    </sheetView>
  </sheetViews>
  <sheetFormatPr defaultRowHeight="12.75"/>
  <cols>
    <col min="1" max="1" width="16.5703125" customWidth="1"/>
    <col min="5" max="5" width="12.42578125" bestFit="1" customWidth="1"/>
    <col min="6" max="6" width="53.7109375" customWidth="1"/>
  </cols>
  <sheetData>
    <row r="1" spans="1:6" ht="15.75">
      <c r="A1" s="47" t="s">
        <v>573</v>
      </c>
    </row>
    <row r="2" spans="1:6">
      <c r="B2" t="s">
        <v>45</v>
      </c>
      <c r="C2" t="s">
        <v>46</v>
      </c>
    </row>
    <row r="3" spans="1:6">
      <c r="A3" t="s">
        <v>52</v>
      </c>
      <c r="B3" s="105">
        <v>4231</v>
      </c>
      <c r="C3" s="105">
        <v>4262</v>
      </c>
      <c r="F3" s="54" t="s">
        <v>373</v>
      </c>
    </row>
    <row r="4" spans="1:6">
      <c r="A4" t="s">
        <v>53</v>
      </c>
      <c r="B4" s="105">
        <v>13.5</v>
      </c>
      <c r="C4" s="105">
        <v>14.7</v>
      </c>
      <c r="F4" s="55" t="s">
        <v>372</v>
      </c>
    </row>
    <row r="5" spans="1:6">
      <c r="A5" t="s">
        <v>54</v>
      </c>
      <c r="B5" s="105">
        <v>10</v>
      </c>
      <c r="C5" s="105">
        <v>19</v>
      </c>
      <c r="F5" s="35" t="s">
        <v>24</v>
      </c>
    </row>
    <row r="6" spans="1:6">
      <c r="F6" s="193" t="s">
        <v>830</v>
      </c>
    </row>
    <row r="7" spans="1:6">
      <c r="A7" t="s">
        <v>47</v>
      </c>
      <c r="B7" s="71">
        <f>(100/(C3-B3))*ACOS((COS(B4*PI()/180)*COS(C4*PI()/180))+(SIN(B4*PI()/180)*SIN(C4*PI()/180)*COS((C5-B5)*PI()/180)))*(180/PI())</f>
        <v>8.0512162494787294</v>
      </c>
      <c r="C7" t="s">
        <v>57</v>
      </c>
      <c r="E7" s="1"/>
      <c r="F7" s="58" t="s">
        <v>513</v>
      </c>
    </row>
    <row r="8" spans="1:6">
      <c r="F8" s="35" t="s">
        <v>574</v>
      </c>
    </row>
    <row r="9" spans="1:6">
      <c r="F9" s="58" t="s">
        <v>516</v>
      </c>
    </row>
    <row r="10" spans="1:6">
      <c r="F10" s="35" t="s">
        <v>517</v>
      </c>
    </row>
  </sheetData>
  <sheetProtection password="EFD6" sheet="1" objects="1" scenarios="1" selectLockedCells="1"/>
  <phoneticPr fontId="0" type="noConversion"/>
  <hyperlinks>
    <hyperlink ref="F5" location="'Index Page'!A1" display="Back to the first page"/>
    <hyperlink ref="F10" r:id="rId1"/>
    <hyperlink ref="F8" r:id="rId2"/>
    <hyperlink ref="F6" r:id="rId3"/>
  </hyperlinks>
  <pageMargins left="0.75" right="0.75" top="1" bottom="1" header="0.5" footer="0.5"/>
  <headerFooter alignWithMargins="0"/>
</worksheet>
</file>

<file path=xl/worksheets/sheet106.xml><?xml version="1.0" encoding="utf-8"?>
<worksheet xmlns="http://schemas.openxmlformats.org/spreadsheetml/2006/main" xmlns:r="http://schemas.openxmlformats.org/officeDocument/2006/relationships">
  <dimension ref="A1:F9"/>
  <sheetViews>
    <sheetView showGridLines="0" workbookViewId="0">
      <selection activeCell="F5" sqref="F5"/>
    </sheetView>
  </sheetViews>
  <sheetFormatPr defaultRowHeight="12.75"/>
  <cols>
    <col min="1" max="1" width="16.5703125" customWidth="1"/>
    <col min="5" max="5" width="12.42578125" bestFit="1" customWidth="1"/>
    <col min="6" max="6" width="54" customWidth="1"/>
  </cols>
  <sheetData>
    <row r="1" spans="1:6" ht="15.75">
      <c r="A1" s="47" t="s">
        <v>572</v>
      </c>
    </row>
    <row r="2" spans="1:6">
      <c r="B2" t="s">
        <v>45</v>
      </c>
      <c r="C2" t="s">
        <v>46</v>
      </c>
      <c r="F2" s="13" t="s">
        <v>373</v>
      </c>
    </row>
    <row r="3" spans="1:6">
      <c r="A3" t="s">
        <v>52</v>
      </c>
      <c r="B3" s="105">
        <v>4231</v>
      </c>
      <c r="C3" s="105">
        <v>4262</v>
      </c>
      <c r="F3" s="12" t="s">
        <v>372</v>
      </c>
    </row>
    <row r="4" spans="1:6">
      <c r="A4" t="s">
        <v>53</v>
      </c>
      <c r="B4" s="105">
        <v>13.5</v>
      </c>
      <c r="C4" s="105">
        <v>14.7</v>
      </c>
      <c r="F4" s="35" t="s">
        <v>24</v>
      </c>
    </row>
    <row r="5" spans="1:6">
      <c r="A5" t="s">
        <v>54</v>
      </c>
      <c r="B5" s="105">
        <v>10</v>
      </c>
      <c r="C5" s="105">
        <v>19</v>
      </c>
      <c r="F5" s="193" t="s">
        <v>830</v>
      </c>
    </row>
    <row r="6" spans="1:6">
      <c r="F6" s="58" t="s">
        <v>513</v>
      </c>
    </row>
    <row r="7" spans="1:6">
      <c r="A7" t="s">
        <v>47</v>
      </c>
      <c r="B7" s="32">
        <f>100/((C3-B3)*((SIN(B4*PI()/180)*SIN(C4*PI()/180))*((SIN(B5*PI()/180)*SIN(C5*PI()/180))+(COS(B5*PI()/180)*COS(C5*PI()/180)))+(COS(B4*PI()/180)*COS(C4*PI()/180))))</f>
        <v>3.2288694934252886</v>
      </c>
      <c r="C7" t="s">
        <v>57</v>
      </c>
      <c r="F7" s="35" t="s">
        <v>575</v>
      </c>
    </row>
    <row r="8" spans="1:6">
      <c r="F8" s="58" t="s">
        <v>516</v>
      </c>
    </row>
    <row r="9" spans="1:6">
      <c r="F9" s="35" t="s">
        <v>517</v>
      </c>
    </row>
  </sheetData>
  <sheetProtection password="EFD6" sheet="1" selectLockedCells="1"/>
  <phoneticPr fontId="2" type="noConversion"/>
  <hyperlinks>
    <hyperlink ref="F4" location="'Index Page'!A1" display="Back to the first page"/>
    <hyperlink ref="F9" r:id="rId1"/>
    <hyperlink ref="F7" r:id="rId2"/>
    <hyperlink ref="F5" r:id="rId3"/>
  </hyperlinks>
  <pageMargins left="0.75" right="0.75" top="1" bottom="1" header="0.5" footer="0.5"/>
  <headerFooter alignWithMargins="0"/>
</worksheet>
</file>

<file path=xl/worksheets/sheet107.xml><?xml version="1.0" encoding="utf-8"?>
<worksheet xmlns="http://schemas.openxmlformats.org/spreadsheetml/2006/main" xmlns:r="http://schemas.openxmlformats.org/officeDocument/2006/relationships">
  <dimension ref="A1:IV10"/>
  <sheetViews>
    <sheetView showGridLines="0" workbookViewId="0">
      <selection activeCell="G5" sqref="G5"/>
    </sheetView>
  </sheetViews>
  <sheetFormatPr defaultRowHeight="12.75"/>
  <cols>
    <col min="7" max="7" width="53.5703125" customWidth="1"/>
  </cols>
  <sheetData>
    <row r="1" spans="1:256" ht="13.5" thickBot="1">
      <c r="A1" s="18" t="s">
        <v>511</v>
      </c>
    </row>
    <row r="2" spans="1:256">
      <c r="A2" s="3" t="s">
        <v>38</v>
      </c>
      <c r="B2" s="117">
        <v>500</v>
      </c>
      <c r="C2" s="4" t="s">
        <v>367</v>
      </c>
      <c r="G2" s="13" t="s">
        <v>373</v>
      </c>
    </row>
    <row r="3" spans="1:256" ht="14.25">
      <c r="A3" s="5" t="s">
        <v>40</v>
      </c>
      <c r="B3" s="118">
        <v>3</v>
      </c>
      <c r="C3" s="7" t="s">
        <v>39</v>
      </c>
      <c r="G3" s="12" t="s">
        <v>372</v>
      </c>
    </row>
    <row r="4" spans="1:256" ht="13.5" thickBot="1">
      <c r="A4" s="8" t="s">
        <v>41</v>
      </c>
      <c r="B4" s="31">
        <f>B3*B2</f>
        <v>1500</v>
      </c>
      <c r="C4" s="9" t="s">
        <v>42</v>
      </c>
      <c r="G4" s="35" t="s">
        <v>24</v>
      </c>
    </row>
    <row r="5" spans="1:256">
      <c r="G5" s="193" t="s">
        <v>830</v>
      </c>
    </row>
    <row r="6" spans="1:256">
      <c r="A6" t="s">
        <v>44</v>
      </c>
    </row>
    <row r="7" spans="1:256" ht="13.5" thickBot="1">
      <c r="A7" s="18" t="s">
        <v>512</v>
      </c>
      <c r="B7" s="18"/>
      <c r="C7" s="18"/>
      <c r="D7" s="18"/>
      <c r="E7" s="18"/>
      <c r="F7" s="18"/>
      <c r="G7" s="58" t="s">
        <v>513</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row>
    <row r="8" spans="1:256">
      <c r="A8" s="3" t="s">
        <v>38</v>
      </c>
      <c r="B8" s="117">
        <v>500</v>
      </c>
      <c r="C8" s="4" t="s">
        <v>367</v>
      </c>
      <c r="G8" s="35" t="s">
        <v>557</v>
      </c>
    </row>
    <row r="9" spans="1:256">
      <c r="A9" s="5" t="s">
        <v>43</v>
      </c>
      <c r="B9" s="118">
        <v>3</v>
      </c>
      <c r="C9" s="7" t="s">
        <v>365</v>
      </c>
      <c r="G9" s="58" t="s">
        <v>516</v>
      </c>
    </row>
    <row r="10" spans="1:256" ht="13.5" thickBot="1">
      <c r="A10" s="8" t="s">
        <v>41</v>
      </c>
      <c r="B10" s="31">
        <f>B8*(B9^2*0.7854)</f>
        <v>3534.3</v>
      </c>
      <c r="C10" s="9" t="s">
        <v>42</v>
      </c>
      <c r="G10" s="35" t="s">
        <v>517</v>
      </c>
    </row>
  </sheetData>
  <sheetProtection password="EFD6" sheet="1" selectLockedCells="1"/>
  <phoneticPr fontId="2" type="noConversion"/>
  <hyperlinks>
    <hyperlink ref="G4" location="'Index Page'!A1" display="Back to the first page"/>
    <hyperlink ref="G10" r:id="rId1"/>
    <hyperlink ref="G8" r:id="rId2"/>
    <hyperlink ref="G5" r:id="rId3"/>
  </hyperlinks>
  <pageMargins left="0.75" right="0.75" top="1" bottom="1" header="0.5" footer="0.5"/>
  <pageSetup orientation="portrait" horizontalDpi="200" verticalDpi="200" r:id="rId4"/>
  <headerFooter alignWithMargins="0"/>
</worksheet>
</file>

<file path=xl/worksheets/sheet108.xml><?xml version="1.0" encoding="utf-8"?>
<worksheet xmlns="http://schemas.openxmlformats.org/spreadsheetml/2006/main" xmlns:r="http://schemas.openxmlformats.org/officeDocument/2006/relationships">
  <dimension ref="A1:E10"/>
  <sheetViews>
    <sheetView showGridLines="0" workbookViewId="0">
      <selection activeCell="E6" sqref="E6"/>
    </sheetView>
  </sheetViews>
  <sheetFormatPr defaultRowHeight="12.75"/>
  <cols>
    <col min="1" max="1" width="23.28515625" customWidth="1"/>
    <col min="5" max="5" width="54.140625" customWidth="1"/>
  </cols>
  <sheetData>
    <row r="1" spans="1:5" ht="15.75">
      <c r="A1" s="15" t="s">
        <v>509</v>
      </c>
    </row>
    <row r="2" spans="1:5" ht="15.75">
      <c r="A2" s="15"/>
    </row>
    <row r="3" spans="1:5">
      <c r="A3" t="s">
        <v>410</v>
      </c>
      <c r="B3" s="33">
        <v>1600</v>
      </c>
      <c r="C3" t="s">
        <v>367</v>
      </c>
      <c r="E3" s="54" t="s">
        <v>373</v>
      </c>
    </row>
    <row r="4" spans="1:5">
      <c r="A4" t="s">
        <v>411</v>
      </c>
      <c r="B4" s="33">
        <v>9.1999999999999993</v>
      </c>
      <c r="C4" t="s">
        <v>386</v>
      </c>
      <c r="E4" s="55" t="s">
        <v>372</v>
      </c>
    </row>
    <row r="5" spans="1:5">
      <c r="A5" t="s">
        <v>408</v>
      </c>
      <c r="B5" s="33">
        <v>4000</v>
      </c>
      <c r="C5" t="s">
        <v>366</v>
      </c>
      <c r="E5" s="35" t="s">
        <v>24</v>
      </c>
    </row>
    <row r="6" spans="1:5">
      <c r="A6" t="s">
        <v>413</v>
      </c>
      <c r="B6" s="17">
        <f>B4+B3/(0.052*B5)</f>
        <v>16.892307692307693</v>
      </c>
      <c r="C6" t="s">
        <v>386</v>
      </c>
      <c r="E6" s="193" t="s">
        <v>830</v>
      </c>
    </row>
    <row r="7" spans="1:5">
      <c r="E7" s="58" t="s">
        <v>513</v>
      </c>
    </row>
    <row r="8" spans="1:5">
      <c r="E8" s="35" t="s">
        <v>547</v>
      </c>
    </row>
    <row r="9" spans="1:5">
      <c r="E9" s="58" t="s">
        <v>516</v>
      </c>
    </row>
    <row r="10" spans="1:5">
      <c r="E10" s="35" t="s">
        <v>517</v>
      </c>
    </row>
  </sheetData>
  <sheetProtection password="EFD6" sheet="1" objects="1" scenarios="1" selectLockedCells="1"/>
  <phoneticPr fontId="0" type="noConversion"/>
  <hyperlinks>
    <hyperlink ref="E5" location="'Index Page'!A1" display="Back to the first page"/>
    <hyperlink ref="E10" r:id="rId1"/>
    <hyperlink ref="E8" r:id="rId2"/>
    <hyperlink ref="E6" r:id="rId3"/>
  </hyperlinks>
  <pageMargins left="0.75" right="0.75" top="1" bottom="1" header="0.5" footer="0.5"/>
  <pageSetup orientation="portrait" horizontalDpi="300" verticalDpi="300" r:id="rId4"/>
  <headerFooter alignWithMargins="0"/>
</worksheet>
</file>

<file path=xl/worksheets/sheet109.xml><?xml version="1.0" encoding="utf-8"?>
<worksheet xmlns="http://schemas.openxmlformats.org/spreadsheetml/2006/main" xmlns:r="http://schemas.openxmlformats.org/officeDocument/2006/relationships">
  <dimension ref="A1:E12"/>
  <sheetViews>
    <sheetView showGridLines="0" workbookViewId="0">
      <selection activeCell="E5" sqref="E5"/>
    </sheetView>
  </sheetViews>
  <sheetFormatPr defaultRowHeight="12.75"/>
  <cols>
    <col min="1" max="1" width="23.28515625" customWidth="1"/>
    <col min="5" max="5" width="53.5703125" customWidth="1"/>
  </cols>
  <sheetData>
    <row r="1" spans="1:5" ht="15.75">
      <c r="A1" s="15" t="s">
        <v>508</v>
      </c>
    </row>
    <row r="2" spans="1:5">
      <c r="A2" t="s">
        <v>412</v>
      </c>
      <c r="B2" s="33">
        <v>14.5</v>
      </c>
      <c r="C2" t="s">
        <v>386</v>
      </c>
      <c r="E2" s="54" t="s">
        <v>373</v>
      </c>
    </row>
    <row r="3" spans="1:5">
      <c r="A3" t="s">
        <v>411</v>
      </c>
      <c r="B3" s="33">
        <v>9.1999999999999993</v>
      </c>
      <c r="C3" t="s">
        <v>386</v>
      </c>
      <c r="E3" s="55" t="s">
        <v>372</v>
      </c>
    </row>
    <row r="4" spans="1:5">
      <c r="A4" t="s">
        <v>408</v>
      </c>
      <c r="B4" s="33">
        <v>4000</v>
      </c>
      <c r="C4" t="s">
        <v>366</v>
      </c>
      <c r="E4" s="35" t="s">
        <v>24</v>
      </c>
    </row>
    <row r="5" spans="1:5">
      <c r="A5" t="s">
        <v>409</v>
      </c>
      <c r="B5" s="12">
        <f>(B2-B3)*0.052*B4</f>
        <v>1102.4000000000001</v>
      </c>
      <c r="E5" s="193" t="s">
        <v>830</v>
      </c>
    </row>
    <row r="6" spans="1:5">
      <c r="E6" s="58" t="s">
        <v>513</v>
      </c>
    </row>
    <row r="7" spans="1:5" ht="15.75">
      <c r="A7" s="109"/>
      <c r="B7" s="29"/>
      <c r="C7" s="29"/>
      <c r="D7" s="29"/>
      <c r="E7" s="35" t="s">
        <v>548</v>
      </c>
    </row>
    <row r="8" spans="1:5">
      <c r="A8" s="29"/>
      <c r="B8" s="29"/>
      <c r="C8" s="29"/>
      <c r="D8" s="29"/>
      <c r="E8" s="58" t="s">
        <v>516</v>
      </c>
    </row>
    <row r="9" spans="1:5">
      <c r="A9" s="29"/>
      <c r="B9" s="29"/>
      <c r="C9" s="29"/>
      <c r="D9" s="29"/>
      <c r="E9" s="35" t="s">
        <v>517</v>
      </c>
    </row>
    <row r="10" spans="1:5">
      <c r="A10" s="29"/>
      <c r="B10" s="29"/>
      <c r="C10" s="29"/>
      <c r="D10" s="29"/>
    </row>
    <row r="11" spans="1:5">
      <c r="A11" s="29"/>
      <c r="B11" s="110"/>
      <c r="C11" s="29"/>
      <c r="D11" s="29"/>
    </row>
    <row r="12" spans="1:5">
      <c r="A12" s="29"/>
      <c r="B12" s="29"/>
      <c r="C12" s="29"/>
      <c r="D12" s="29"/>
    </row>
  </sheetData>
  <sheetProtection password="EFD6" sheet="1" objects="1" scenarios="1" selectLockedCells="1"/>
  <phoneticPr fontId="0" type="noConversion"/>
  <hyperlinks>
    <hyperlink ref="E9" r:id="rId1"/>
    <hyperlink ref="E4" location="'Index Page'!A1" display="Back to the first page"/>
    <hyperlink ref="E7" r:id="rId2"/>
    <hyperlink ref="E5" r:id="rId3"/>
  </hyperlinks>
  <pageMargins left="0.75" right="0.75" top="1" bottom="1" header="0.5" footer="0.5"/>
  <pageSetup orientation="portrait" horizontalDpi="300" verticalDpi="300" r:id="rId4"/>
  <headerFooter alignWithMargins="0"/>
</worksheet>
</file>

<file path=xl/worksheets/sheet11.xml><?xml version="1.0" encoding="utf-8"?>
<worksheet xmlns="http://schemas.openxmlformats.org/spreadsheetml/2006/main" xmlns:r="http://schemas.openxmlformats.org/officeDocument/2006/relationships">
  <sheetPr>
    <tabColor rgb="FFFFFF00"/>
  </sheetPr>
  <dimension ref="A1:F13"/>
  <sheetViews>
    <sheetView showGridLines="0" workbookViewId="0">
      <selection activeCell="F4" sqref="F4"/>
    </sheetView>
  </sheetViews>
  <sheetFormatPr defaultRowHeight="12.75"/>
  <cols>
    <col min="1" max="1" width="30.85546875" customWidth="1"/>
    <col min="5" max="5" width="17.85546875" customWidth="1"/>
    <col min="6" max="6" width="55.42578125" bestFit="1" customWidth="1"/>
  </cols>
  <sheetData>
    <row r="1" spans="1:6">
      <c r="A1" s="18" t="s">
        <v>1002</v>
      </c>
    </row>
    <row r="2" spans="1:6">
      <c r="A2" s="27"/>
      <c r="F2" s="13" t="s">
        <v>373</v>
      </c>
    </row>
    <row r="3" spans="1:6">
      <c r="C3" s="27"/>
      <c r="F3" s="12" t="s">
        <v>372</v>
      </c>
    </row>
    <row r="4" spans="1:6">
      <c r="A4" s="27" t="s">
        <v>1003</v>
      </c>
      <c r="B4" s="222">
        <v>500</v>
      </c>
      <c r="C4" s="27"/>
      <c r="F4" s="35" t="s">
        <v>24</v>
      </c>
    </row>
    <row r="5" spans="1:6">
      <c r="A5" s="27" t="s">
        <v>988</v>
      </c>
      <c r="B5" s="172">
        <v>800</v>
      </c>
      <c r="C5" s="27"/>
      <c r="F5" s="194"/>
    </row>
    <row r="6" spans="1:6">
      <c r="A6" s="18" t="s">
        <v>1002</v>
      </c>
      <c r="B6" s="255">
        <f>(B4*B5)/1714</f>
        <v>233.37222870478413</v>
      </c>
    </row>
    <row r="8" spans="1:6">
      <c r="A8" s="122"/>
      <c r="B8" s="29"/>
    </row>
    <row r="9" spans="1:6">
      <c r="A9" s="29"/>
      <c r="B9" s="29"/>
    </row>
    <row r="10" spans="1:6">
      <c r="A10" s="122"/>
      <c r="B10" s="232"/>
    </row>
    <row r="11" spans="1:6">
      <c r="A11" s="122"/>
      <c r="B11" s="232"/>
    </row>
    <row r="12" spans="1:6">
      <c r="A12" s="122"/>
      <c r="B12" s="110"/>
    </row>
    <row r="13" spans="1:6">
      <c r="A13" s="29"/>
      <c r="B13" s="29"/>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110.xml><?xml version="1.0" encoding="utf-8"?>
<worksheet xmlns="http://schemas.openxmlformats.org/spreadsheetml/2006/main" xmlns:r="http://schemas.openxmlformats.org/officeDocument/2006/relationships">
  <dimension ref="A1:E9"/>
  <sheetViews>
    <sheetView showGridLines="0" workbookViewId="0">
      <selection activeCell="E5" sqref="E5"/>
    </sheetView>
  </sheetViews>
  <sheetFormatPr defaultRowHeight="12.75"/>
  <cols>
    <col min="1" max="1" width="23.28515625" customWidth="1"/>
    <col min="5" max="5" width="53.7109375" customWidth="1"/>
  </cols>
  <sheetData>
    <row r="1" spans="1:5" ht="15.75">
      <c r="A1" s="15" t="s">
        <v>405</v>
      </c>
    </row>
    <row r="2" spans="1:5">
      <c r="A2" t="s">
        <v>406</v>
      </c>
      <c r="B2" s="33">
        <v>400</v>
      </c>
      <c r="C2" t="s">
        <v>367</v>
      </c>
      <c r="E2" s="54" t="s">
        <v>373</v>
      </c>
    </row>
    <row r="3" spans="1:5">
      <c r="A3" t="s">
        <v>400</v>
      </c>
      <c r="B3" s="33">
        <v>10</v>
      </c>
      <c r="C3" t="s">
        <v>386</v>
      </c>
      <c r="E3" s="55" t="s">
        <v>372</v>
      </c>
    </row>
    <row r="4" spans="1:5">
      <c r="A4" t="s">
        <v>385</v>
      </c>
      <c r="B4" s="33">
        <v>8000</v>
      </c>
      <c r="C4" t="s">
        <v>366</v>
      </c>
      <c r="E4" s="35" t="s">
        <v>24</v>
      </c>
    </row>
    <row r="5" spans="1:5">
      <c r="A5" t="s">
        <v>407</v>
      </c>
      <c r="B5" s="17">
        <f>B2/(0.052*B4)+B3</f>
        <v>10.961538461538462</v>
      </c>
      <c r="C5" t="s">
        <v>370</v>
      </c>
      <c r="E5" s="193" t="s">
        <v>830</v>
      </c>
    </row>
    <row r="6" spans="1:5">
      <c r="E6" s="58" t="s">
        <v>513</v>
      </c>
    </row>
    <row r="7" spans="1:5">
      <c r="E7" s="35" t="s">
        <v>549</v>
      </c>
    </row>
    <row r="8" spans="1:5">
      <c r="E8" s="58" t="s">
        <v>516</v>
      </c>
    </row>
    <row r="9" spans="1:5">
      <c r="E9" s="35" t="s">
        <v>517</v>
      </c>
    </row>
  </sheetData>
  <sheetProtection password="EFD6" sheet="1" objects="1" selectLockedCells="1"/>
  <phoneticPr fontId="2" type="noConversion"/>
  <hyperlinks>
    <hyperlink ref="E9" r:id="rId1"/>
    <hyperlink ref="E4" location="'Index Page'!A1" display="Back to the first page"/>
    <hyperlink ref="E7" r:id="rId2"/>
    <hyperlink ref="E5" r:id="rId3"/>
  </hyperlinks>
  <pageMargins left="0.75" right="0.75" top="1" bottom="1" header="0.5" footer="0.5"/>
  <pageSetup orientation="portrait" horizontalDpi="300" verticalDpi="300" r:id="rId4"/>
  <headerFooter alignWithMargins="0"/>
</worksheet>
</file>

<file path=xl/worksheets/sheet111.xml><?xml version="1.0" encoding="utf-8"?>
<worksheet xmlns="http://schemas.openxmlformats.org/spreadsheetml/2006/main" xmlns:r="http://schemas.openxmlformats.org/officeDocument/2006/relationships">
  <dimension ref="A1:H19"/>
  <sheetViews>
    <sheetView showGridLines="0" workbookViewId="0">
      <selection activeCell="F5" sqref="F5"/>
    </sheetView>
  </sheetViews>
  <sheetFormatPr defaultRowHeight="12.75"/>
  <cols>
    <col min="1" max="1" width="26.85546875" style="27" customWidth="1"/>
    <col min="2" max="5" width="9.140625" style="27"/>
    <col min="6" max="6" width="53.7109375" style="27" customWidth="1"/>
    <col min="7" max="16384" width="9.140625" style="27"/>
  </cols>
  <sheetData>
    <row r="1" spans="1:8" ht="23.25">
      <c r="A1" s="113" t="s">
        <v>397</v>
      </c>
    </row>
    <row r="2" spans="1:8" ht="15.75">
      <c r="A2" s="114" t="s">
        <v>398</v>
      </c>
      <c r="F2" s="45" t="s">
        <v>373</v>
      </c>
      <c r="H2" s="122"/>
    </row>
    <row r="3" spans="1:8">
      <c r="A3" s="27" t="s">
        <v>400</v>
      </c>
      <c r="B3" s="107">
        <v>13</v>
      </c>
      <c r="C3" s="27" t="s">
        <v>386</v>
      </c>
      <c r="F3" s="46" t="s">
        <v>372</v>
      </c>
      <c r="H3" s="122"/>
    </row>
    <row r="4" spans="1:8">
      <c r="A4" s="27" t="s">
        <v>399</v>
      </c>
      <c r="B4" s="120">
        <f>B3/8.33</f>
        <v>1.5606242496998799</v>
      </c>
      <c r="F4" s="116" t="s">
        <v>24</v>
      </c>
    </row>
    <row r="5" spans="1:8" ht="15.75">
      <c r="A5" s="114" t="s">
        <v>401</v>
      </c>
      <c r="F5" s="193" t="s">
        <v>830</v>
      </c>
    </row>
    <row r="6" spans="1:8">
      <c r="A6" s="27" t="s">
        <v>369</v>
      </c>
      <c r="B6" s="123">
        <v>0.5</v>
      </c>
      <c r="C6" s="27" t="s">
        <v>371</v>
      </c>
      <c r="F6" s="58" t="s">
        <v>516</v>
      </c>
    </row>
    <row r="7" spans="1:8">
      <c r="A7" s="27" t="s">
        <v>399</v>
      </c>
      <c r="B7" s="120">
        <f>B6/0.433</f>
        <v>1.1547344110854503</v>
      </c>
      <c r="F7" s="116" t="s">
        <v>517</v>
      </c>
    </row>
    <row r="8" spans="1:8" ht="15.75">
      <c r="A8" s="114" t="s">
        <v>565</v>
      </c>
      <c r="F8" s="58" t="s">
        <v>513</v>
      </c>
    </row>
    <row r="9" spans="1:8">
      <c r="A9" s="27" t="s">
        <v>390</v>
      </c>
      <c r="B9" s="123">
        <v>90</v>
      </c>
      <c r="C9" s="27" t="s">
        <v>375</v>
      </c>
      <c r="F9" s="35" t="s">
        <v>567</v>
      </c>
    </row>
    <row r="10" spans="1:8">
      <c r="A10" s="27" t="s">
        <v>399</v>
      </c>
      <c r="B10" s="120">
        <f>B9/62.4</f>
        <v>1.4423076923076923</v>
      </c>
    </row>
    <row r="11" spans="1:8" ht="15.75">
      <c r="A11" s="114" t="s">
        <v>402</v>
      </c>
    </row>
    <row r="12" spans="1:8">
      <c r="A12" s="27" t="s">
        <v>399</v>
      </c>
      <c r="B12" s="123">
        <v>1.5</v>
      </c>
      <c r="F12" s="58" t="s">
        <v>513</v>
      </c>
    </row>
    <row r="13" spans="1:8">
      <c r="A13" s="27" t="s">
        <v>379</v>
      </c>
      <c r="B13" s="120">
        <f>B12*8.33</f>
        <v>12.495000000000001</v>
      </c>
      <c r="C13" s="27" t="s">
        <v>386</v>
      </c>
      <c r="F13" s="35" t="s">
        <v>568</v>
      </c>
    </row>
    <row r="14" spans="1:8" ht="15.75">
      <c r="A14" s="114" t="s">
        <v>403</v>
      </c>
    </row>
    <row r="15" spans="1:8">
      <c r="A15" s="27" t="s">
        <v>399</v>
      </c>
      <c r="B15" s="123">
        <v>1.5</v>
      </c>
    </row>
    <row r="16" spans="1:8">
      <c r="A16" s="27" t="s">
        <v>404</v>
      </c>
      <c r="B16" s="119">
        <f>B15*0.433</f>
        <v>0.64949999999999997</v>
      </c>
      <c r="C16" s="27" t="s">
        <v>371</v>
      </c>
    </row>
    <row r="17" spans="1:3" ht="15.75">
      <c r="A17" s="114" t="s">
        <v>566</v>
      </c>
    </row>
    <row r="18" spans="1:3">
      <c r="A18" s="27" t="s">
        <v>399</v>
      </c>
      <c r="B18" s="123">
        <v>1.5</v>
      </c>
    </row>
    <row r="19" spans="1:3">
      <c r="A19" s="27" t="s">
        <v>390</v>
      </c>
      <c r="B19" s="119">
        <f>B18*62.4</f>
        <v>93.6</v>
      </c>
      <c r="C19" s="27" t="s">
        <v>375</v>
      </c>
    </row>
  </sheetData>
  <sheetProtection password="EFD6" sheet="1" selectLockedCells="1"/>
  <phoneticPr fontId="2" type="noConversion"/>
  <hyperlinks>
    <hyperlink ref="F4" location="'Index Page'!A1" display="Back to the first page"/>
    <hyperlink ref="F7" r:id="rId1"/>
    <hyperlink ref="F9" r:id="rId2"/>
    <hyperlink ref="F13" r:id="rId3"/>
    <hyperlink ref="F5" r:id="rId4"/>
  </hyperlinks>
  <pageMargins left="0.75" right="0.75" top="1" bottom="1" header="0.5" footer="0.5"/>
  <headerFooter alignWithMargins="0"/>
</worksheet>
</file>

<file path=xl/worksheets/sheet112.xml><?xml version="1.0" encoding="utf-8"?>
<worksheet xmlns="http://schemas.openxmlformats.org/spreadsheetml/2006/main" xmlns:r="http://schemas.openxmlformats.org/officeDocument/2006/relationships">
  <dimension ref="A1:J9"/>
  <sheetViews>
    <sheetView showGridLines="0" workbookViewId="0">
      <selection activeCell="J5" sqref="J5"/>
    </sheetView>
  </sheetViews>
  <sheetFormatPr defaultRowHeight="12.75"/>
  <cols>
    <col min="1" max="1" width="14.28515625" style="27" customWidth="1"/>
    <col min="2" max="9" width="9.140625" style="27"/>
    <col min="10" max="10" width="54.140625" style="27" customWidth="1"/>
    <col min="11" max="16384" width="9.140625" style="27"/>
  </cols>
  <sheetData>
    <row r="1" spans="1:10" ht="23.25">
      <c r="A1" s="113" t="s">
        <v>394</v>
      </c>
    </row>
    <row r="2" spans="1:10" ht="15">
      <c r="A2" s="124" t="s">
        <v>395</v>
      </c>
      <c r="J2" s="111" t="s">
        <v>373</v>
      </c>
    </row>
    <row r="3" spans="1:10">
      <c r="A3" s="27" t="s">
        <v>387</v>
      </c>
      <c r="B3" s="107">
        <v>5000</v>
      </c>
      <c r="C3" s="27" t="s">
        <v>367</v>
      </c>
      <c r="J3" s="112" t="s">
        <v>372</v>
      </c>
    </row>
    <row r="4" spans="1:10">
      <c r="A4" s="27" t="s">
        <v>385</v>
      </c>
      <c r="B4" s="107">
        <v>8000</v>
      </c>
      <c r="C4" s="27" t="s">
        <v>366</v>
      </c>
      <c r="J4" s="116" t="s">
        <v>24</v>
      </c>
    </row>
    <row r="5" spans="1:10">
      <c r="A5" s="27" t="s">
        <v>379</v>
      </c>
      <c r="B5" s="121">
        <f>B3/(0.052*B4)</f>
        <v>12.01923076923077</v>
      </c>
      <c r="C5" s="27" t="s">
        <v>370</v>
      </c>
      <c r="J5" s="193" t="s">
        <v>830</v>
      </c>
    </row>
    <row r="6" spans="1:10" ht="15">
      <c r="A6" s="124" t="s">
        <v>396</v>
      </c>
      <c r="J6" s="58" t="s">
        <v>513</v>
      </c>
    </row>
    <row r="7" spans="1:10">
      <c r="A7" s="27" t="s">
        <v>387</v>
      </c>
      <c r="B7" s="107">
        <v>5000</v>
      </c>
      <c r="C7" s="27" t="s">
        <v>367</v>
      </c>
      <c r="J7" s="116" t="s">
        <v>569</v>
      </c>
    </row>
    <row r="8" spans="1:10">
      <c r="A8" s="27" t="s">
        <v>392</v>
      </c>
      <c r="B8" s="107">
        <v>2500</v>
      </c>
      <c r="C8" s="27" t="s">
        <v>393</v>
      </c>
      <c r="J8" s="58" t="s">
        <v>516</v>
      </c>
    </row>
    <row r="9" spans="1:10">
      <c r="A9" s="27" t="s">
        <v>379</v>
      </c>
      <c r="B9" s="121">
        <f>B7/(0.052*B8*3.281)</f>
        <v>11.722504864839518</v>
      </c>
      <c r="C9" s="27" t="s">
        <v>370</v>
      </c>
      <c r="J9" s="116" t="s">
        <v>517</v>
      </c>
    </row>
  </sheetData>
  <sheetProtection password="EFD6" sheet="1" selectLockedCells="1"/>
  <phoneticPr fontId="2" type="noConversion"/>
  <hyperlinks>
    <hyperlink ref="J4" location="'Index Page'!A1" display="Back to the first page"/>
    <hyperlink ref="J9" r:id="rId1"/>
    <hyperlink ref="J7" r:id="rId2"/>
    <hyperlink ref="J5" r:id="rId3"/>
  </hyperlinks>
  <pageMargins left="0.75" right="0.75" top="1" bottom="1" header="0.5" footer="0.5"/>
  <pageSetup orientation="portrait" horizontalDpi="300" verticalDpi="300" r:id="rId4"/>
  <headerFooter alignWithMargins="0"/>
</worksheet>
</file>

<file path=xl/worksheets/sheet113.xml><?xml version="1.0" encoding="utf-8"?>
<worksheet xmlns="http://schemas.openxmlformats.org/spreadsheetml/2006/main" xmlns:r="http://schemas.openxmlformats.org/officeDocument/2006/relationships">
  <dimension ref="A1:E24"/>
  <sheetViews>
    <sheetView showGridLines="0" workbookViewId="0">
      <selection activeCell="E6" sqref="E6"/>
    </sheetView>
  </sheetViews>
  <sheetFormatPr defaultRowHeight="12.75"/>
  <cols>
    <col min="1" max="1" width="58" customWidth="1"/>
    <col min="5" max="5" width="54" customWidth="1"/>
  </cols>
  <sheetData>
    <row r="1" spans="1:5">
      <c r="A1" s="18" t="s">
        <v>483</v>
      </c>
    </row>
    <row r="3" spans="1:5">
      <c r="A3" t="s">
        <v>484</v>
      </c>
      <c r="B3" s="33">
        <v>400</v>
      </c>
      <c r="C3" t="s">
        <v>366</v>
      </c>
      <c r="E3" s="13" t="s">
        <v>373</v>
      </c>
    </row>
    <row r="4" spans="1:5">
      <c r="A4" t="s">
        <v>485</v>
      </c>
      <c r="B4" s="33">
        <v>1.4999999999999999E-2</v>
      </c>
      <c r="C4" t="s">
        <v>361</v>
      </c>
      <c r="E4" s="12" t="s">
        <v>372</v>
      </c>
    </row>
    <row r="5" spans="1:5">
      <c r="A5" t="s">
        <v>487</v>
      </c>
      <c r="B5" s="33">
        <v>11.5</v>
      </c>
      <c r="C5" t="s">
        <v>386</v>
      </c>
      <c r="E5" s="35" t="s">
        <v>24</v>
      </c>
    </row>
    <row r="6" spans="1:5">
      <c r="A6" t="s">
        <v>486</v>
      </c>
      <c r="B6" s="33">
        <v>12.5</v>
      </c>
      <c r="C6" t="s">
        <v>386</v>
      </c>
      <c r="E6" s="193" t="s">
        <v>830</v>
      </c>
    </row>
    <row r="8" spans="1:5">
      <c r="A8" t="s">
        <v>488</v>
      </c>
      <c r="B8" s="17">
        <f>0.052*B3*B5</f>
        <v>239.20000000000002</v>
      </c>
      <c r="C8" t="s">
        <v>367</v>
      </c>
      <c r="E8" s="58" t="s">
        <v>516</v>
      </c>
    </row>
    <row r="9" spans="1:5">
      <c r="A9" t="s">
        <v>489</v>
      </c>
      <c r="B9" s="12">
        <f>(B6-B5)*0.052</f>
        <v>5.1999999999999998E-2</v>
      </c>
      <c r="C9" t="s">
        <v>371</v>
      </c>
      <c r="E9" s="35" t="s">
        <v>517</v>
      </c>
    </row>
    <row r="10" spans="1:5">
      <c r="A10" t="s">
        <v>490</v>
      </c>
      <c r="B10" s="12">
        <f>B8/B9</f>
        <v>4600.0000000000009</v>
      </c>
      <c r="C10" t="s">
        <v>366</v>
      </c>
      <c r="E10" s="58" t="s">
        <v>513</v>
      </c>
    </row>
    <row r="11" spans="1:5">
      <c r="A11" s="23" t="s">
        <v>491</v>
      </c>
      <c r="B11" s="22">
        <f>B10*B4</f>
        <v>69.000000000000014</v>
      </c>
      <c r="C11" s="23" t="s">
        <v>364</v>
      </c>
      <c r="E11" s="35" t="s">
        <v>563</v>
      </c>
    </row>
    <row r="13" spans="1:5">
      <c r="A13" s="311" t="s">
        <v>492</v>
      </c>
      <c r="B13" s="311"/>
      <c r="C13" s="311"/>
    </row>
    <row r="15" spans="1:5">
      <c r="A15" t="s">
        <v>484</v>
      </c>
      <c r="B15" s="33">
        <v>400</v>
      </c>
      <c r="C15" t="s">
        <v>366</v>
      </c>
    </row>
    <row r="16" spans="1:5">
      <c r="A16" t="s">
        <v>493</v>
      </c>
      <c r="B16" s="33">
        <v>30</v>
      </c>
      <c r="C16" t="s">
        <v>364</v>
      </c>
    </row>
    <row r="17" spans="1:5">
      <c r="A17" t="s">
        <v>485</v>
      </c>
      <c r="B17" s="33">
        <v>1.4999999999999999E-2</v>
      </c>
      <c r="C17" t="s">
        <v>361</v>
      </c>
    </row>
    <row r="18" spans="1:5">
      <c r="A18" t="s">
        <v>487</v>
      </c>
      <c r="B18" s="33">
        <v>11.5</v>
      </c>
      <c r="C18" t="s">
        <v>386</v>
      </c>
    </row>
    <row r="20" spans="1:5">
      <c r="A20" t="s">
        <v>494</v>
      </c>
      <c r="B20" s="24">
        <f>B16/B17</f>
        <v>2000</v>
      </c>
      <c r="C20" t="s">
        <v>366</v>
      </c>
    </row>
    <row r="21" spans="1:5">
      <c r="A21" t="s">
        <v>495</v>
      </c>
      <c r="B21" s="24">
        <f>0.052*B15*B18</f>
        <v>239.20000000000002</v>
      </c>
      <c r="C21" t="s">
        <v>367</v>
      </c>
      <c r="E21" s="58" t="s">
        <v>513</v>
      </c>
    </row>
    <row r="22" spans="1:5">
      <c r="A22" t="s">
        <v>496</v>
      </c>
      <c r="B22" s="25">
        <f>B21/(0.052*B20)+B18</f>
        <v>13.8</v>
      </c>
      <c r="C22" s="18" t="s">
        <v>386</v>
      </c>
      <c r="E22" s="35" t="s">
        <v>564</v>
      </c>
    </row>
    <row r="24" spans="1:5">
      <c r="A24" s="18"/>
    </row>
  </sheetData>
  <sheetProtection password="EFD6" sheet="1" selectLockedCells="1"/>
  <mergeCells count="1">
    <mergeCell ref="A13:C13"/>
  </mergeCells>
  <phoneticPr fontId="2" type="noConversion"/>
  <hyperlinks>
    <hyperlink ref="E5" location="'Index Page'!A1" display="Back to the first page"/>
    <hyperlink ref="E9" r:id="rId1"/>
    <hyperlink ref="E22" r:id="rId2"/>
    <hyperlink ref="E6" r:id="rId3"/>
  </hyperlinks>
  <pageMargins left="0.75" right="0.75" top="1" bottom="1" header="0.5" footer="0.5"/>
  <pageSetup orientation="portrait" r:id="rId4"/>
  <headerFooter alignWithMargins="0"/>
</worksheet>
</file>

<file path=xl/worksheets/sheet114.xml><?xml version="1.0" encoding="utf-8"?>
<worksheet xmlns="http://schemas.openxmlformats.org/spreadsheetml/2006/main" xmlns:r="http://schemas.openxmlformats.org/officeDocument/2006/relationships">
  <dimension ref="A1:F17"/>
  <sheetViews>
    <sheetView showGridLines="0" workbookViewId="0">
      <selection activeCell="F5" sqref="F5"/>
    </sheetView>
  </sheetViews>
  <sheetFormatPr defaultRowHeight="12.75"/>
  <cols>
    <col min="1" max="1" width="25.28515625" style="27" customWidth="1"/>
    <col min="2" max="5" width="9.140625" style="27"/>
    <col min="6" max="6" width="53.5703125" style="27" customWidth="1"/>
    <col min="7" max="16384" width="9.140625" style="27"/>
  </cols>
  <sheetData>
    <row r="1" spans="1:6" ht="23.25">
      <c r="A1" s="113" t="s">
        <v>382</v>
      </c>
    </row>
    <row r="2" spans="1:6" ht="15.75">
      <c r="A2" s="114" t="s">
        <v>383</v>
      </c>
    </row>
    <row r="3" spans="1:6">
      <c r="A3" s="27" t="s">
        <v>384</v>
      </c>
      <c r="B3" s="107">
        <v>12</v>
      </c>
      <c r="C3" s="27" t="s">
        <v>386</v>
      </c>
      <c r="F3" s="45" t="s">
        <v>373</v>
      </c>
    </row>
    <row r="4" spans="1:6">
      <c r="A4" s="27" t="s">
        <v>385</v>
      </c>
      <c r="B4" s="107">
        <v>10000</v>
      </c>
      <c r="C4" s="27" t="s">
        <v>366</v>
      </c>
      <c r="F4" s="46" t="s">
        <v>372</v>
      </c>
    </row>
    <row r="5" spans="1:6">
      <c r="A5" s="27" t="s">
        <v>389</v>
      </c>
      <c r="B5" s="115">
        <f>0.052*B4*B3</f>
        <v>6240</v>
      </c>
      <c r="C5" s="27" t="s">
        <v>367</v>
      </c>
      <c r="F5" s="116" t="s">
        <v>24</v>
      </c>
    </row>
    <row r="6" spans="1:6" ht="15.75">
      <c r="A6" s="114" t="s">
        <v>388</v>
      </c>
      <c r="F6" s="193" t="s">
        <v>830</v>
      </c>
    </row>
    <row r="7" spans="1:6">
      <c r="A7" s="27" t="s">
        <v>369</v>
      </c>
      <c r="B7" s="107">
        <v>0.5</v>
      </c>
      <c r="C7" s="27" t="s">
        <v>371</v>
      </c>
      <c r="F7" s="58" t="s">
        <v>513</v>
      </c>
    </row>
    <row r="8" spans="1:6">
      <c r="A8" s="27" t="s">
        <v>385</v>
      </c>
      <c r="B8" s="107">
        <v>10000</v>
      </c>
      <c r="C8" s="27" t="s">
        <v>366</v>
      </c>
      <c r="F8" s="116" t="s">
        <v>552</v>
      </c>
    </row>
    <row r="9" spans="1:6">
      <c r="A9" s="27" t="s">
        <v>389</v>
      </c>
      <c r="B9" s="115">
        <f>B8*B7</f>
        <v>5000</v>
      </c>
      <c r="C9" s="27" t="s">
        <v>367</v>
      </c>
      <c r="F9" s="58" t="s">
        <v>516</v>
      </c>
    </row>
    <row r="10" spans="1:6" ht="15.75">
      <c r="A10" s="114" t="s">
        <v>553</v>
      </c>
      <c r="F10" s="116" t="s">
        <v>517</v>
      </c>
    </row>
    <row r="11" spans="1:6">
      <c r="A11" s="27" t="s">
        <v>390</v>
      </c>
      <c r="B11" s="107">
        <v>80</v>
      </c>
      <c r="C11" s="27" t="s">
        <v>375</v>
      </c>
    </row>
    <row r="12" spans="1:6">
      <c r="A12" s="27" t="s">
        <v>385</v>
      </c>
      <c r="B12" s="107">
        <v>10000</v>
      </c>
      <c r="C12" s="27" t="s">
        <v>366</v>
      </c>
    </row>
    <row r="13" spans="1:6">
      <c r="A13" s="27" t="s">
        <v>389</v>
      </c>
      <c r="B13" s="115">
        <f>B12*B11*0.006944</f>
        <v>5555.2</v>
      </c>
      <c r="C13" s="27" t="s">
        <v>367</v>
      </c>
    </row>
    <row r="14" spans="1:6" ht="15.75">
      <c r="A14" s="114" t="s">
        <v>391</v>
      </c>
    </row>
    <row r="15" spans="1:6">
      <c r="A15" s="27" t="s">
        <v>384</v>
      </c>
      <c r="B15" s="107">
        <v>12</v>
      </c>
      <c r="C15" s="27" t="s">
        <v>386</v>
      </c>
    </row>
    <row r="16" spans="1:6">
      <c r="A16" s="27" t="s">
        <v>392</v>
      </c>
      <c r="B16" s="107">
        <v>5000</v>
      </c>
      <c r="C16" s="27" t="s">
        <v>393</v>
      </c>
    </row>
    <row r="17" spans="1:3">
      <c r="A17" s="27" t="s">
        <v>389</v>
      </c>
      <c r="B17" s="115">
        <f>0.052*B16*B15*3.281</f>
        <v>10236.720000000001</v>
      </c>
      <c r="C17" s="27" t="s">
        <v>367</v>
      </c>
    </row>
  </sheetData>
  <sheetProtection password="EFD6" sheet="1" selectLockedCells="1"/>
  <phoneticPr fontId="2" type="noConversion"/>
  <hyperlinks>
    <hyperlink ref="F5" location="'Index Page'!A1" display="Back to the first page"/>
    <hyperlink ref="F10" r:id="rId1"/>
    <hyperlink ref="F6" r:id="rId2"/>
  </hyperlinks>
  <pageMargins left="0.75" right="0.75" top="1" bottom="1" header="0.5" footer="0.5"/>
  <pageSetup orientation="portrait" r:id="rId3"/>
  <headerFooter alignWithMargins="0"/>
</worksheet>
</file>

<file path=xl/worksheets/sheet115.xml><?xml version="1.0" encoding="utf-8"?>
<worksheet xmlns="http://schemas.openxmlformats.org/spreadsheetml/2006/main" xmlns:r="http://schemas.openxmlformats.org/officeDocument/2006/relationships">
  <dimension ref="A1:H33"/>
  <sheetViews>
    <sheetView showGridLines="0" workbookViewId="0">
      <pane xSplit="1" ySplit="1" topLeftCell="B2" activePane="bottomRight" state="frozen"/>
      <selection pane="topRight" activeCell="B1" sqref="B1"/>
      <selection pane="bottomLeft" activeCell="A2" sqref="A2"/>
      <selection pane="bottomRight" activeCell="H6" sqref="H6"/>
    </sheetView>
  </sheetViews>
  <sheetFormatPr defaultRowHeight="12.75"/>
  <cols>
    <col min="1" max="1" width="22.5703125" customWidth="1"/>
    <col min="2" max="2" width="10.5703125" bestFit="1" customWidth="1"/>
    <col min="8" max="8" width="53.28515625" customWidth="1"/>
  </cols>
  <sheetData>
    <row r="1" spans="1:8" ht="22.5">
      <c r="A1" s="11" t="s">
        <v>435</v>
      </c>
    </row>
    <row r="2" spans="1:8">
      <c r="A2" s="18" t="s">
        <v>423</v>
      </c>
    </row>
    <row r="3" spans="1:8">
      <c r="A3" t="s">
        <v>424</v>
      </c>
      <c r="B3" s="33">
        <v>10</v>
      </c>
      <c r="C3" t="s">
        <v>426</v>
      </c>
      <c r="G3" s="29"/>
      <c r="H3" s="13" t="s">
        <v>373</v>
      </c>
    </row>
    <row r="4" spans="1:8">
      <c r="A4" t="s">
        <v>425</v>
      </c>
      <c r="B4" s="33">
        <v>0.13</v>
      </c>
      <c r="C4" t="s">
        <v>361</v>
      </c>
      <c r="G4" s="29"/>
      <c r="H4" s="12" t="s">
        <v>372</v>
      </c>
    </row>
    <row r="5" spans="1:8">
      <c r="A5" t="s">
        <v>422</v>
      </c>
      <c r="B5" s="16">
        <f>B3/B4</f>
        <v>76.92307692307692</v>
      </c>
      <c r="C5" t="s">
        <v>427</v>
      </c>
      <c r="H5" s="35" t="s">
        <v>24</v>
      </c>
    </row>
    <row r="6" spans="1:8">
      <c r="A6" s="18" t="s">
        <v>438</v>
      </c>
      <c r="H6" s="193" t="s">
        <v>830</v>
      </c>
    </row>
    <row r="7" spans="1:8">
      <c r="A7" t="s">
        <v>428</v>
      </c>
      <c r="B7" s="33">
        <v>800</v>
      </c>
      <c r="C7" t="s">
        <v>429</v>
      </c>
    </row>
    <row r="8" spans="1:8">
      <c r="A8" t="s">
        <v>430</v>
      </c>
      <c r="B8" s="33">
        <v>10</v>
      </c>
      <c r="C8" t="s">
        <v>365</v>
      </c>
      <c r="D8" t="s">
        <v>431</v>
      </c>
      <c r="H8" s="58" t="s">
        <v>513</v>
      </c>
    </row>
    <row r="9" spans="1:8">
      <c r="A9" t="s">
        <v>432</v>
      </c>
      <c r="B9" s="33">
        <v>5</v>
      </c>
      <c r="C9" t="s">
        <v>365</v>
      </c>
      <c r="D9" t="s">
        <v>433</v>
      </c>
      <c r="H9" s="35" t="s">
        <v>535</v>
      </c>
    </row>
    <row r="10" spans="1:8">
      <c r="A10" t="s">
        <v>422</v>
      </c>
      <c r="B10" s="16">
        <f>(24.5*B7)/(B8^2-B9^2)</f>
        <v>261.33333333333331</v>
      </c>
      <c r="C10" t="s">
        <v>427</v>
      </c>
      <c r="H10" s="58" t="s">
        <v>516</v>
      </c>
    </row>
    <row r="11" spans="1:8">
      <c r="A11" s="18" t="s">
        <v>434</v>
      </c>
      <c r="H11" s="35" t="s">
        <v>517</v>
      </c>
    </row>
    <row r="12" spans="1:8">
      <c r="A12" t="s">
        <v>439</v>
      </c>
      <c r="B12" s="33">
        <v>13</v>
      </c>
      <c r="C12" t="s">
        <v>426</v>
      </c>
    </row>
    <row r="13" spans="1:8">
      <c r="A13" t="s">
        <v>430</v>
      </c>
      <c r="B13" s="33">
        <v>10</v>
      </c>
      <c r="C13" t="s">
        <v>365</v>
      </c>
      <c r="D13" t="s">
        <v>431</v>
      </c>
    </row>
    <row r="14" spans="1:8">
      <c r="A14" t="s">
        <v>432</v>
      </c>
      <c r="B14" s="33">
        <v>5</v>
      </c>
      <c r="C14" t="s">
        <v>365</v>
      </c>
      <c r="D14" t="s">
        <v>433</v>
      </c>
    </row>
    <row r="15" spans="1:8">
      <c r="A15" t="s">
        <v>422</v>
      </c>
      <c r="B15" s="19">
        <f>(1029.4*B12)/(B13^2-B14^2)</f>
        <v>178.42933333333335</v>
      </c>
      <c r="C15" t="s">
        <v>427</v>
      </c>
    </row>
    <row r="16" spans="1:8">
      <c r="B16" s="19"/>
    </row>
    <row r="17" spans="1:3" ht="22.5">
      <c r="A17" s="11" t="s">
        <v>436</v>
      </c>
    </row>
    <row r="18" spans="1:3">
      <c r="A18" s="18" t="s">
        <v>437</v>
      </c>
    </row>
    <row r="19" spans="1:3">
      <c r="A19" t="s">
        <v>439</v>
      </c>
      <c r="B19" s="33">
        <v>13</v>
      </c>
      <c r="C19" t="s">
        <v>426</v>
      </c>
    </row>
    <row r="20" spans="1:3">
      <c r="A20" t="s">
        <v>430</v>
      </c>
      <c r="B20" s="33">
        <v>10</v>
      </c>
      <c r="C20" t="s">
        <v>365</v>
      </c>
    </row>
    <row r="21" spans="1:3">
      <c r="A21" t="s">
        <v>432</v>
      </c>
      <c r="B21" s="33">
        <v>5</v>
      </c>
      <c r="C21" t="s">
        <v>365</v>
      </c>
    </row>
    <row r="22" spans="1:3">
      <c r="A22" t="s">
        <v>422</v>
      </c>
      <c r="B22" s="16">
        <f>(17.16 *B19)/(B20^2-B21^2)</f>
        <v>2.9744000000000002</v>
      </c>
      <c r="C22" t="s">
        <v>440</v>
      </c>
    </row>
    <row r="23" spans="1:3">
      <c r="A23" s="18" t="s">
        <v>444</v>
      </c>
    </row>
    <row r="24" spans="1:3">
      <c r="A24" t="s">
        <v>441</v>
      </c>
      <c r="B24" s="33">
        <v>120</v>
      </c>
      <c r="C24" t="s">
        <v>427</v>
      </c>
    </row>
    <row r="25" spans="1:3">
      <c r="A25" t="s">
        <v>430</v>
      </c>
      <c r="B25" s="33">
        <v>10</v>
      </c>
      <c r="C25" t="s">
        <v>365</v>
      </c>
    </row>
    <row r="26" spans="1:3">
      <c r="A26" t="s">
        <v>432</v>
      </c>
      <c r="B26" s="33">
        <v>5</v>
      </c>
      <c r="C26" t="s">
        <v>365</v>
      </c>
    </row>
    <row r="27" spans="1:3">
      <c r="A27" t="s">
        <v>442</v>
      </c>
      <c r="B27" s="19">
        <f>120*(B25^2-B26^2)/24.5</f>
        <v>367.34693877551018</v>
      </c>
      <c r="C27" t="s">
        <v>429</v>
      </c>
    </row>
    <row r="28" spans="1:3">
      <c r="A28" s="18" t="s">
        <v>443</v>
      </c>
    </row>
    <row r="29" spans="1:3">
      <c r="A29" t="s">
        <v>441</v>
      </c>
      <c r="B29" s="33">
        <v>150</v>
      </c>
      <c r="C29" t="s">
        <v>427</v>
      </c>
    </row>
    <row r="30" spans="1:3">
      <c r="A30" t="s">
        <v>430</v>
      </c>
      <c r="B30" s="33">
        <v>10</v>
      </c>
      <c r="C30" t="s">
        <v>365</v>
      </c>
    </row>
    <row r="31" spans="1:3">
      <c r="A31" t="s">
        <v>432</v>
      </c>
      <c r="B31" s="33">
        <v>5</v>
      </c>
      <c r="C31" t="s">
        <v>365</v>
      </c>
    </row>
    <row r="32" spans="1:3">
      <c r="A32" t="s">
        <v>445</v>
      </c>
      <c r="B32" s="33">
        <v>0.1</v>
      </c>
      <c r="C32" t="s">
        <v>362</v>
      </c>
    </row>
    <row r="33" spans="1:3">
      <c r="A33" t="s">
        <v>446</v>
      </c>
      <c r="B33" s="19">
        <f>(B29*((B30^2-B31^2)/1029.4)/B32)</f>
        <v>109.28696327958032</v>
      </c>
      <c r="C33" t="s">
        <v>447</v>
      </c>
    </row>
  </sheetData>
  <sheetProtection password="EFD6" sheet="1" selectLockedCells="1"/>
  <phoneticPr fontId="2" type="noConversion"/>
  <hyperlinks>
    <hyperlink ref="H5" location="'Index Page'!A1" display="Back to the first page"/>
    <hyperlink ref="H11" r:id="rId1"/>
    <hyperlink ref="H9" r:id="rId2"/>
    <hyperlink ref="H6" r:id="rId3"/>
  </hyperlinks>
  <pageMargins left="0.75" right="0.75" top="1" bottom="1" header="0.5" footer="0.5"/>
  <pageSetup orientation="portrait" horizontalDpi="300" verticalDpi="300" r:id="rId4"/>
  <headerFooter alignWithMargins="0"/>
</worksheet>
</file>

<file path=xl/worksheets/sheet116.xml><?xml version="1.0" encoding="utf-8"?>
<worksheet xmlns="http://schemas.openxmlformats.org/spreadsheetml/2006/main" xmlns:r="http://schemas.openxmlformats.org/officeDocument/2006/relationships">
  <dimension ref="A1:E13"/>
  <sheetViews>
    <sheetView showGridLines="0" workbookViewId="0">
      <selection activeCell="E4" sqref="E4"/>
    </sheetView>
  </sheetViews>
  <sheetFormatPr defaultRowHeight="12.75"/>
  <cols>
    <col min="1" max="1" width="16.85546875" customWidth="1"/>
    <col min="5" max="5" width="53.7109375" customWidth="1"/>
  </cols>
  <sheetData>
    <row r="1" spans="1:5" ht="22.5">
      <c r="A1" s="11" t="s">
        <v>414</v>
      </c>
    </row>
    <row r="2" spans="1:5" ht="18.75">
      <c r="A2" s="104" t="s">
        <v>419</v>
      </c>
      <c r="E2" s="13" t="s">
        <v>373</v>
      </c>
    </row>
    <row r="3" spans="1:5">
      <c r="A3" t="s">
        <v>415</v>
      </c>
      <c r="B3" s="33">
        <v>97</v>
      </c>
      <c r="E3" s="12" t="s">
        <v>372</v>
      </c>
    </row>
    <row r="4" spans="1:5">
      <c r="A4" t="s">
        <v>416</v>
      </c>
      <c r="B4" s="33">
        <v>6</v>
      </c>
      <c r="C4" t="s">
        <v>365</v>
      </c>
      <c r="E4" s="35" t="s">
        <v>24</v>
      </c>
    </row>
    <row r="5" spans="1:5">
      <c r="A5" t="s">
        <v>417</v>
      </c>
      <c r="B5" s="33">
        <v>12</v>
      </c>
      <c r="C5" t="s">
        <v>365</v>
      </c>
      <c r="E5" s="193" t="s">
        <v>830</v>
      </c>
    </row>
    <row r="6" spans="1:5">
      <c r="A6" t="s">
        <v>418</v>
      </c>
      <c r="B6" s="39">
        <f>0.000243 *B4^2*B5*(B3/100)</f>
        <v>0.10182672000000001</v>
      </c>
      <c r="C6" t="s">
        <v>362</v>
      </c>
    </row>
    <row r="8" spans="1:5" ht="18.75">
      <c r="A8" s="104" t="s">
        <v>420</v>
      </c>
    </row>
    <row r="9" spans="1:5">
      <c r="A9" t="s">
        <v>415</v>
      </c>
      <c r="B9" s="33">
        <v>85</v>
      </c>
    </row>
    <row r="10" spans="1:5">
      <c r="A10" t="s">
        <v>416</v>
      </c>
      <c r="B10" s="33">
        <v>6</v>
      </c>
      <c r="C10" t="s">
        <v>365</v>
      </c>
      <c r="E10" s="58" t="s">
        <v>513</v>
      </c>
    </row>
    <row r="11" spans="1:5">
      <c r="A11" t="s">
        <v>421</v>
      </c>
      <c r="B11" s="33">
        <v>2</v>
      </c>
      <c r="C11" t="s">
        <v>365</v>
      </c>
      <c r="E11" s="35" t="s">
        <v>522</v>
      </c>
    </row>
    <row r="12" spans="1:5">
      <c r="A12" t="s">
        <v>417</v>
      </c>
      <c r="B12" s="33">
        <v>12</v>
      </c>
      <c r="C12" t="s">
        <v>365</v>
      </c>
      <c r="E12" s="58" t="s">
        <v>516</v>
      </c>
    </row>
    <row r="13" spans="1:5">
      <c r="A13" t="s">
        <v>418</v>
      </c>
      <c r="B13" s="39">
        <f>0.000162 *B12*((2*B10^2)-B11^2)*B9/100</f>
        <v>0.11236320000000001</v>
      </c>
      <c r="C13" t="s">
        <v>362</v>
      </c>
      <c r="E13" s="35" t="s">
        <v>517</v>
      </c>
    </row>
  </sheetData>
  <sheetProtection password="EFD6" sheet="1" selectLockedCells="1"/>
  <phoneticPr fontId="2" type="noConversion"/>
  <hyperlinks>
    <hyperlink ref="E4" location="'Index Page'!A1" display="Back to the first page"/>
    <hyperlink ref="E13" r:id="rId1"/>
    <hyperlink ref="E11" r:id="rId2"/>
    <hyperlink ref="E5" r:id="rId3"/>
  </hyperlinks>
  <pageMargins left="0.75" right="0.75" top="1" bottom="1" header="0.5" footer="0.5"/>
  <pageSetup orientation="portrait" horizontalDpi="300" verticalDpi="300" r:id="rId4"/>
  <headerFooter alignWithMargins="0"/>
</worksheet>
</file>

<file path=xl/worksheets/sheet117.xml><?xml version="1.0" encoding="utf-8"?>
<worksheet xmlns="http://schemas.openxmlformats.org/spreadsheetml/2006/main" xmlns:r="http://schemas.openxmlformats.org/officeDocument/2006/relationships">
  <dimension ref="A1:G10"/>
  <sheetViews>
    <sheetView showGridLines="0" workbookViewId="0">
      <selection activeCell="G6" sqref="G6"/>
    </sheetView>
  </sheetViews>
  <sheetFormatPr defaultRowHeight="12.75"/>
  <cols>
    <col min="1" max="1" width="12.28515625" customWidth="1"/>
    <col min="7" max="7" width="53.7109375" customWidth="1"/>
  </cols>
  <sheetData>
    <row r="1" spans="1:7" ht="15.75">
      <c r="A1" s="43" t="s">
        <v>23</v>
      </c>
    </row>
    <row r="3" spans="1:7" ht="15.75">
      <c r="A3" s="43" t="s">
        <v>134</v>
      </c>
      <c r="G3" s="13" t="s">
        <v>373</v>
      </c>
    </row>
    <row r="4" spans="1:7">
      <c r="A4" t="s">
        <v>462</v>
      </c>
      <c r="B4" s="33">
        <v>13</v>
      </c>
      <c r="G4" s="12" t="s">
        <v>372</v>
      </c>
    </row>
    <row r="5" spans="1:7">
      <c r="A5" t="s">
        <v>463</v>
      </c>
      <c r="B5" s="14">
        <f>(65.5-B4)/65.5</f>
        <v>0.80152671755725191</v>
      </c>
      <c r="G5" s="35" t="s">
        <v>24</v>
      </c>
    </row>
    <row r="6" spans="1:7">
      <c r="G6" s="193" t="s">
        <v>830</v>
      </c>
    </row>
    <row r="7" spans="1:7" ht="18.75">
      <c r="A7" s="43" t="s">
        <v>135</v>
      </c>
      <c r="G7" s="58" t="s">
        <v>513</v>
      </c>
    </row>
    <row r="8" spans="1:7">
      <c r="A8" t="s">
        <v>380</v>
      </c>
      <c r="B8" s="33">
        <v>100</v>
      </c>
      <c r="G8" s="35" t="s">
        <v>536</v>
      </c>
    </row>
    <row r="9" spans="1:7">
      <c r="A9" t="s">
        <v>463</v>
      </c>
      <c r="B9" s="14">
        <f>(489-B8)/489</f>
        <v>0.79550102249488752</v>
      </c>
      <c r="G9" s="58" t="s">
        <v>516</v>
      </c>
    </row>
    <row r="10" spans="1:7">
      <c r="G10" s="35" t="s">
        <v>517</v>
      </c>
    </row>
  </sheetData>
  <sheetProtection password="EFD6" sheet="1" selectLockedCells="1"/>
  <phoneticPr fontId="2" type="noConversion"/>
  <hyperlinks>
    <hyperlink ref="G5" location="'Index Page'!A1" display="Back to the first page"/>
    <hyperlink ref="G10" r:id="rId1"/>
    <hyperlink ref="G8" r:id="rId2"/>
    <hyperlink ref="G6" r:id="rId3"/>
  </hyperlinks>
  <pageMargins left="0.75" right="0.75" top="1" bottom="1" header="0.5" footer="0.5"/>
  <pageSetup paperSize="9" orientation="portrait" horizontalDpi="1200" verticalDpi="1200" r:id="rId4"/>
  <headerFooter alignWithMargins="0"/>
</worksheet>
</file>

<file path=xl/worksheets/sheet118.xml><?xml version="1.0" encoding="utf-8"?>
<worksheet xmlns="http://schemas.openxmlformats.org/spreadsheetml/2006/main" xmlns:r="http://schemas.openxmlformats.org/officeDocument/2006/relationships">
  <dimension ref="A1:G17"/>
  <sheetViews>
    <sheetView showGridLines="0" workbookViewId="0">
      <selection activeCell="G7" sqref="G7"/>
    </sheetView>
  </sheetViews>
  <sheetFormatPr defaultRowHeight="12.75"/>
  <cols>
    <col min="1" max="1" width="22" style="27" customWidth="1"/>
    <col min="2" max="6" width="9.140625" style="27"/>
    <col min="7" max="7" width="54" style="27" customWidth="1"/>
    <col min="8" max="16384" width="9.140625" style="27"/>
  </cols>
  <sheetData>
    <row r="1" spans="1:7" ht="18">
      <c r="A1" s="42" t="s">
        <v>448</v>
      </c>
    </row>
    <row r="3" spans="1:7" ht="15.75">
      <c r="A3" s="43" t="s">
        <v>449</v>
      </c>
    </row>
    <row r="4" spans="1:7">
      <c r="A4" s="27" t="s">
        <v>450</v>
      </c>
      <c r="B4" s="107">
        <v>25</v>
      </c>
      <c r="G4" s="45" t="s">
        <v>373</v>
      </c>
    </row>
    <row r="5" spans="1:7">
      <c r="A5" s="27" t="s">
        <v>451</v>
      </c>
      <c r="B5" s="107">
        <v>6.125</v>
      </c>
      <c r="G5" s="46" t="s">
        <v>372</v>
      </c>
    </row>
    <row r="6" spans="1:7" ht="15">
      <c r="A6" s="27" t="s">
        <v>452</v>
      </c>
      <c r="B6" s="46">
        <f>B5^2*(1-(B4/100))/1029.4</f>
        <v>2.733312487857004E-2</v>
      </c>
      <c r="C6" s="47" t="s">
        <v>456</v>
      </c>
      <c r="G6" s="108" t="s">
        <v>24</v>
      </c>
    </row>
    <row r="7" spans="1:7" ht="15.75">
      <c r="A7" s="43" t="s">
        <v>453</v>
      </c>
      <c r="G7" s="193" t="s">
        <v>830</v>
      </c>
    </row>
    <row r="8" spans="1:7">
      <c r="A8" s="27" t="s">
        <v>450</v>
      </c>
      <c r="B8" s="107">
        <v>25</v>
      </c>
    </row>
    <row r="9" spans="1:7">
      <c r="A9" s="27" t="s">
        <v>451</v>
      </c>
      <c r="B9" s="107">
        <v>6.125</v>
      </c>
    </row>
    <row r="10" spans="1:7" ht="15">
      <c r="A10" s="27" t="s">
        <v>454</v>
      </c>
      <c r="B10" s="46">
        <f>B9^2*0.7854*(1-(B8/100))/144</f>
        <v>0.15346235351562501</v>
      </c>
      <c r="C10" s="47" t="s">
        <v>455</v>
      </c>
      <c r="G10" s="58" t="s">
        <v>513</v>
      </c>
    </row>
    <row r="11" spans="1:7" ht="15.75">
      <c r="A11" s="43" t="s">
        <v>457</v>
      </c>
      <c r="G11" s="35" t="s">
        <v>532</v>
      </c>
    </row>
    <row r="12" spans="1:7">
      <c r="A12" s="27" t="s">
        <v>451</v>
      </c>
      <c r="B12" s="107">
        <v>6.125</v>
      </c>
      <c r="G12" s="58" t="s">
        <v>516</v>
      </c>
    </row>
    <row r="13" spans="1:7">
      <c r="A13" s="27" t="s">
        <v>459</v>
      </c>
      <c r="B13" s="46">
        <f>B12^2/1029.4</f>
        <v>3.6444166504760053E-2</v>
      </c>
      <c r="G13" s="35" t="s">
        <v>517</v>
      </c>
    </row>
    <row r="14" spans="1:7">
      <c r="A14" s="27" t="s">
        <v>458</v>
      </c>
      <c r="B14" s="107">
        <v>100</v>
      </c>
    </row>
    <row r="15" spans="1:7">
      <c r="A15" s="27" t="s">
        <v>450</v>
      </c>
      <c r="B15" s="107">
        <v>25</v>
      </c>
    </row>
    <row r="16" spans="1:7">
      <c r="A16" s="27" t="s">
        <v>461</v>
      </c>
      <c r="B16" s="107">
        <v>2.2000000000000002</v>
      </c>
    </row>
    <row r="17" spans="1:3">
      <c r="A17" s="27" t="s">
        <v>460</v>
      </c>
      <c r="B17" s="46">
        <f>350*B13*B14*(1-(B15/100))*B16</f>
        <v>2104.6506156498931</v>
      </c>
      <c r="C17" s="27" t="s">
        <v>482</v>
      </c>
    </row>
  </sheetData>
  <sheetProtection password="EFD6" sheet="1" selectLockedCells="1"/>
  <phoneticPr fontId="2" type="noConversion"/>
  <hyperlinks>
    <hyperlink ref="G6" location="'Index Page'!A1" display="Back to the first page"/>
    <hyperlink ref="G13" r:id="rId1"/>
    <hyperlink ref="G11" r:id="rId2"/>
    <hyperlink ref="G7" r:id="rId3"/>
  </hyperlinks>
  <pageMargins left="0.75" right="0.75" top="1" bottom="1" header="0.5" footer="0.5"/>
  <pageSetup orientation="portrait" r:id="rId4"/>
  <headerFooter alignWithMargins="0"/>
</worksheet>
</file>

<file path=xl/worksheets/sheet119.xml><?xml version="1.0" encoding="utf-8"?>
<worksheet xmlns="http://schemas.openxmlformats.org/spreadsheetml/2006/main" xmlns:r="http://schemas.openxmlformats.org/officeDocument/2006/relationships">
  <dimension ref="A1:G19"/>
  <sheetViews>
    <sheetView showGridLines="0" workbookViewId="0">
      <selection activeCell="G6" sqref="G6"/>
    </sheetView>
  </sheetViews>
  <sheetFormatPr defaultRowHeight="12.75"/>
  <cols>
    <col min="1" max="1" width="28.85546875" style="27" bestFit="1" customWidth="1"/>
    <col min="2" max="6" width="9.140625" style="27"/>
    <col min="7" max="7" width="53.85546875" style="27" customWidth="1"/>
    <col min="8" max="16384" width="9.140625" style="27"/>
  </cols>
  <sheetData>
    <row r="1" spans="1:7" ht="23.25">
      <c r="A1" s="113" t="s">
        <v>561</v>
      </c>
    </row>
    <row r="2" spans="1:7" ht="15.75">
      <c r="A2" s="114" t="s">
        <v>374</v>
      </c>
    </row>
    <row r="3" spans="1:7">
      <c r="A3" s="27" t="s">
        <v>379</v>
      </c>
      <c r="B3" s="107">
        <v>9</v>
      </c>
      <c r="C3" s="27" t="s">
        <v>370</v>
      </c>
      <c r="G3" s="45" t="s">
        <v>373</v>
      </c>
    </row>
    <row r="4" spans="1:7">
      <c r="A4" s="27" t="s">
        <v>369</v>
      </c>
      <c r="B4" s="46">
        <f>B3*0.052</f>
        <v>0.46799999999999997</v>
      </c>
      <c r="C4" s="27" t="s">
        <v>371</v>
      </c>
      <c r="G4" s="46" t="s">
        <v>372</v>
      </c>
    </row>
    <row r="5" spans="1:7" ht="15.75">
      <c r="A5" s="114" t="s">
        <v>558</v>
      </c>
      <c r="G5" s="116" t="s">
        <v>24</v>
      </c>
    </row>
    <row r="6" spans="1:7">
      <c r="A6" s="27" t="s">
        <v>380</v>
      </c>
      <c r="B6" s="107">
        <v>80</v>
      </c>
      <c r="C6" s="27" t="s">
        <v>375</v>
      </c>
      <c r="G6" s="193" t="s">
        <v>830</v>
      </c>
    </row>
    <row r="7" spans="1:7">
      <c r="A7" s="27" t="s">
        <v>369</v>
      </c>
      <c r="B7" s="119">
        <f>B6/144</f>
        <v>0.55555555555555558</v>
      </c>
      <c r="C7" s="27" t="s">
        <v>371</v>
      </c>
    </row>
    <row r="8" spans="1:7" ht="15.75">
      <c r="A8" s="114" t="s">
        <v>376</v>
      </c>
      <c r="G8" s="58" t="s">
        <v>513</v>
      </c>
    </row>
    <row r="9" spans="1:7">
      <c r="A9" s="27" t="s">
        <v>377</v>
      </c>
      <c r="B9" s="107">
        <v>2</v>
      </c>
      <c r="G9" s="35" t="s">
        <v>562</v>
      </c>
    </row>
    <row r="10" spans="1:7">
      <c r="A10" s="27" t="s">
        <v>369</v>
      </c>
      <c r="B10" s="46">
        <f>B9*0.433</f>
        <v>0.86599999999999999</v>
      </c>
      <c r="C10" s="27" t="s">
        <v>371</v>
      </c>
      <c r="G10" s="58" t="s">
        <v>516</v>
      </c>
    </row>
    <row r="11" spans="1:7" ht="15.75">
      <c r="A11" s="114" t="s">
        <v>378</v>
      </c>
      <c r="G11" s="35" t="s">
        <v>517</v>
      </c>
    </row>
    <row r="12" spans="1:7">
      <c r="A12" s="27" t="s">
        <v>369</v>
      </c>
      <c r="B12" s="107">
        <v>0.5</v>
      </c>
      <c r="C12" s="27" t="s">
        <v>371</v>
      </c>
    </row>
    <row r="13" spans="1:7">
      <c r="A13" s="27" t="s">
        <v>379</v>
      </c>
      <c r="B13" s="120">
        <f>B12/0.052</f>
        <v>9.615384615384615</v>
      </c>
      <c r="C13" s="27" t="s">
        <v>370</v>
      </c>
    </row>
    <row r="14" spans="1:7" ht="15.75">
      <c r="A14" s="114" t="s">
        <v>560</v>
      </c>
    </row>
    <row r="15" spans="1:7">
      <c r="A15" s="27" t="s">
        <v>369</v>
      </c>
      <c r="B15" s="107">
        <v>0.5</v>
      </c>
      <c r="C15" s="27" t="s">
        <v>371</v>
      </c>
    </row>
    <row r="16" spans="1:7">
      <c r="A16" s="27" t="s">
        <v>379</v>
      </c>
      <c r="B16" s="120">
        <f>B15/0.006944</f>
        <v>72.004608294930875</v>
      </c>
      <c r="C16" s="27" t="s">
        <v>375</v>
      </c>
    </row>
    <row r="17" spans="1:3" ht="15.75">
      <c r="A17" s="114" t="s">
        <v>559</v>
      </c>
    </row>
    <row r="18" spans="1:3">
      <c r="A18" s="27" t="s">
        <v>369</v>
      </c>
      <c r="B18" s="107">
        <v>0.5</v>
      </c>
      <c r="C18" s="27" t="s">
        <v>371</v>
      </c>
    </row>
    <row r="19" spans="1:3">
      <c r="A19" s="27" t="s">
        <v>381</v>
      </c>
      <c r="B19" s="119">
        <f>B18/0.433</f>
        <v>1.1547344110854503</v>
      </c>
    </row>
  </sheetData>
  <sheetProtection password="EFD6" sheet="1" selectLockedCells="1"/>
  <phoneticPr fontId="2" type="noConversion"/>
  <hyperlinks>
    <hyperlink ref="G5" location="'Index Page'!A1" display="Back to the first page"/>
    <hyperlink ref="G11" r:id="rId1"/>
    <hyperlink ref="G9" r:id="rId2"/>
    <hyperlink ref="G6" r:id="rId3"/>
  </hyperlinks>
  <pageMargins left="0.75" right="0.75" top="1" bottom="1" header="0.5" footer="0.5"/>
  <pageSetup orientation="portrait" horizontalDpi="300" verticalDpi="300" r:id="rId4"/>
  <headerFooter alignWithMargins="0"/>
</worksheet>
</file>

<file path=xl/worksheets/sheet12.xml><?xml version="1.0" encoding="utf-8"?>
<worksheet xmlns="http://schemas.openxmlformats.org/spreadsheetml/2006/main" xmlns:r="http://schemas.openxmlformats.org/officeDocument/2006/relationships">
  <sheetPr>
    <tabColor rgb="FFFFFF00"/>
  </sheetPr>
  <dimension ref="A1:F12"/>
  <sheetViews>
    <sheetView showGridLines="0" workbookViewId="0">
      <selection activeCell="F4" sqref="F4"/>
    </sheetView>
  </sheetViews>
  <sheetFormatPr defaultRowHeight="12.75"/>
  <cols>
    <col min="1" max="1" width="30.85546875" customWidth="1"/>
    <col min="5" max="5" width="17.85546875" customWidth="1"/>
    <col min="6" max="6" width="55.42578125" bestFit="1" customWidth="1"/>
  </cols>
  <sheetData>
    <row r="1" spans="1:6">
      <c r="A1" s="18" t="s">
        <v>997</v>
      </c>
    </row>
    <row r="2" spans="1:6">
      <c r="F2" s="13" t="s">
        <v>373</v>
      </c>
    </row>
    <row r="3" spans="1:6">
      <c r="A3" s="18" t="s">
        <v>998</v>
      </c>
      <c r="C3" s="27"/>
      <c r="F3" s="12" t="s">
        <v>372</v>
      </c>
    </row>
    <row r="4" spans="1:6">
      <c r="A4" s="27" t="s">
        <v>988</v>
      </c>
      <c r="B4" s="222">
        <v>800</v>
      </c>
      <c r="C4" s="27"/>
      <c r="F4" s="35" t="s">
        <v>24</v>
      </c>
    </row>
    <row r="5" spans="1:6">
      <c r="A5" s="27" t="s">
        <v>989</v>
      </c>
      <c r="B5" s="156">
        <v>1</v>
      </c>
      <c r="C5" s="27"/>
      <c r="F5" s="194"/>
    </row>
    <row r="6" spans="1:6">
      <c r="A6" s="18" t="s">
        <v>1000</v>
      </c>
      <c r="B6" s="255">
        <f>0.321*B4/B5</f>
        <v>256.8</v>
      </c>
    </row>
    <row r="9" spans="1:6">
      <c r="A9" s="18" t="s">
        <v>999</v>
      </c>
    </row>
    <row r="10" spans="1:6">
      <c r="A10" s="27" t="s">
        <v>411</v>
      </c>
      <c r="B10" s="222">
        <v>12</v>
      </c>
    </row>
    <row r="11" spans="1:6">
      <c r="A11" s="27" t="s">
        <v>990</v>
      </c>
      <c r="B11" s="222">
        <v>450</v>
      </c>
    </row>
    <row r="12" spans="1:6">
      <c r="A12" s="18" t="s">
        <v>1000</v>
      </c>
      <c r="B12" s="270">
        <f>((1239*B11)/B10)^0.5</f>
        <v>215.55161794799872</v>
      </c>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120.xml><?xml version="1.0" encoding="utf-8"?>
<worksheet xmlns="http://schemas.openxmlformats.org/spreadsheetml/2006/main" xmlns:r="http://schemas.openxmlformats.org/officeDocument/2006/relationships">
  <dimension ref="A1:I15"/>
  <sheetViews>
    <sheetView showGridLines="0" workbookViewId="0">
      <selection activeCell="I5" sqref="I5"/>
    </sheetView>
  </sheetViews>
  <sheetFormatPr defaultRowHeight="12.75"/>
  <cols>
    <col min="1" max="1" width="4.7109375" customWidth="1"/>
    <col min="9" max="9" width="54" customWidth="1"/>
  </cols>
  <sheetData>
    <row r="1" spans="1:9" ht="15.75">
      <c r="A1" s="15" t="s">
        <v>0</v>
      </c>
    </row>
    <row r="2" spans="1:9">
      <c r="A2" t="s">
        <v>1</v>
      </c>
      <c r="B2" s="33">
        <v>347</v>
      </c>
      <c r="I2" s="54" t="s">
        <v>373</v>
      </c>
    </row>
    <row r="3" spans="1:9">
      <c r="A3" t="s">
        <v>2</v>
      </c>
      <c r="B3" s="17">
        <f>(B2-32)*5/9</f>
        <v>175</v>
      </c>
      <c r="I3" s="55" t="s">
        <v>372</v>
      </c>
    </row>
    <row r="4" spans="1:9">
      <c r="I4" s="35" t="s">
        <v>24</v>
      </c>
    </row>
    <row r="5" spans="1:9" ht="15.75">
      <c r="A5" s="15" t="s">
        <v>3</v>
      </c>
      <c r="I5" s="193" t="s">
        <v>830</v>
      </c>
    </row>
    <row r="6" spans="1:9">
      <c r="A6" t="s">
        <v>2</v>
      </c>
      <c r="B6" s="33">
        <v>26.667000000000002</v>
      </c>
    </row>
    <row r="7" spans="1:9">
      <c r="A7" t="s">
        <v>1</v>
      </c>
      <c r="B7" s="17">
        <f>(B6*9/5)+32</f>
        <v>80.000600000000006</v>
      </c>
      <c r="I7" s="58" t="s">
        <v>513</v>
      </c>
    </row>
    <row r="8" spans="1:9">
      <c r="I8" s="35" t="s">
        <v>537</v>
      </c>
    </row>
    <row r="9" spans="1:9" ht="15.75">
      <c r="A9" s="15" t="s">
        <v>4</v>
      </c>
      <c r="I9" s="58" t="s">
        <v>516</v>
      </c>
    </row>
    <row r="10" spans="1:9">
      <c r="A10" t="s">
        <v>2</v>
      </c>
      <c r="B10" s="33">
        <v>23</v>
      </c>
      <c r="I10" s="35" t="s">
        <v>517</v>
      </c>
    </row>
    <row r="11" spans="1:9">
      <c r="A11" t="s">
        <v>6</v>
      </c>
      <c r="B11" s="17">
        <f>B10+273.16</f>
        <v>296.16000000000003</v>
      </c>
    </row>
    <row r="13" spans="1:9" ht="15.75">
      <c r="A13" s="15" t="s">
        <v>5</v>
      </c>
    </row>
    <row r="14" spans="1:9">
      <c r="A14" t="s">
        <v>1</v>
      </c>
      <c r="B14" s="33">
        <v>150</v>
      </c>
    </row>
    <row r="15" spans="1:9">
      <c r="A15" t="s">
        <v>7</v>
      </c>
      <c r="B15" s="17">
        <f>B14+459.69</f>
        <v>609.69000000000005</v>
      </c>
    </row>
  </sheetData>
  <sheetProtection password="EFD6" sheet="1" selectLockedCells="1"/>
  <phoneticPr fontId="2" type="noConversion"/>
  <hyperlinks>
    <hyperlink ref="I4" location="'Index Page'!A1" display="Back to the first page"/>
    <hyperlink ref="I10" r:id="rId1"/>
    <hyperlink ref="I8" r:id="rId2"/>
    <hyperlink ref="I5" r:id="rId3"/>
  </hyperlinks>
  <pageMargins left="0.75" right="0.75" top="1" bottom="1" header="0.5" footer="0.5"/>
  <headerFooter alignWithMargins="0"/>
</worksheet>
</file>

<file path=xl/worksheets/sheet121.xml><?xml version="1.0" encoding="utf-8"?>
<worksheet xmlns="http://schemas.openxmlformats.org/spreadsheetml/2006/main" xmlns:r="http://schemas.openxmlformats.org/officeDocument/2006/relationships">
  <dimension ref="A1:D7"/>
  <sheetViews>
    <sheetView showGridLines="0" workbookViewId="0">
      <selection activeCell="D5" sqref="D5"/>
    </sheetView>
  </sheetViews>
  <sheetFormatPr defaultRowHeight="12.75"/>
  <cols>
    <col min="1" max="1" width="29.7109375" bestFit="1" customWidth="1"/>
    <col min="4" max="4" width="55.42578125" bestFit="1" customWidth="1"/>
  </cols>
  <sheetData>
    <row r="1" spans="1:4">
      <c r="A1" s="18" t="s">
        <v>8</v>
      </c>
    </row>
    <row r="3" spans="1:4">
      <c r="A3" t="s">
        <v>9</v>
      </c>
      <c r="B3" s="13">
        <v>3000</v>
      </c>
      <c r="D3" s="13" t="s">
        <v>373</v>
      </c>
    </row>
    <row r="4" spans="1:4">
      <c r="A4" t="s">
        <v>10</v>
      </c>
      <c r="B4" s="13">
        <v>2000</v>
      </c>
      <c r="D4" s="12" t="s">
        <v>372</v>
      </c>
    </row>
    <row r="5" spans="1:4">
      <c r="A5" t="s">
        <v>11</v>
      </c>
      <c r="B5" s="13">
        <v>25</v>
      </c>
      <c r="D5" s="35" t="s">
        <v>24</v>
      </c>
    </row>
    <row r="6" spans="1:4">
      <c r="A6" t="s">
        <v>12</v>
      </c>
      <c r="B6" s="13">
        <v>200</v>
      </c>
      <c r="D6" s="193" t="s">
        <v>830</v>
      </c>
    </row>
    <row r="7" spans="1:4">
      <c r="A7" t="s">
        <v>13</v>
      </c>
      <c r="B7" s="28">
        <f>(B5/B6)*((B4*B3)/(B3-B4))</f>
        <v>750</v>
      </c>
    </row>
  </sheetData>
  <sheetProtection password="EFD6" sheet="1" selectLockedCells="1"/>
  <phoneticPr fontId="2" type="noConversion"/>
  <hyperlinks>
    <hyperlink ref="D5" location="'Index Page'!A1" display="Back to the first page"/>
    <hyperlink ref="D6" r:id="rId1"/>
  </hyperlinks>
  <pageMargins left="0.75" right="0.75" top="1" bottom="1" header="0.5" footer="0.5"/>
  <pageSetup orientation="portrait" horizontalDpi="200" verticalDpi="200" r:id="rId2"/>
  <headerFooter alignWithMargins="0"/>
</worksheet>
</file>

<file path=xl/worksheets/sheet122.xml><?xml version="1.0" encoding="utf-8"?>
<worksheet xmlns="http://schemas.openxmlformats.org/spreadsheetml/2006/main" xmlns:r="http://schemas.openxmlformats.org/officeDocument/2006/relationships">
  <dimension ref="A1:L20"/>
  <sheetViews>
    <sheetView showGridLines="0" workbookViewId="0">
      <selection activeCell="L4" sqref="L4"/>
    </sheetView>
  </sheetViews>
  <sheetFormatPr defaultRowHeight="12.75"/>
  <cols>
    <col min="12" max="12" width="63" bestFit="1" customWidth="1"/>
  </cols>
  <sheetData>
    <row r="1" spans="1:12">
      <c r="A1" s="18" t="s">
        <v>14</v>
      </c>
    </row>
    <row r="2" spans="1:12">
      <c r="A2" s="18" t="s">
        <v>15</v>
      </c>
      <c r="L2" s="13" t="s">
        <v>373</v>
      </c>
    </row>
    <row r="3" spans="1:12">
      <c r="A3" s="27" t="s">
        <v>16</v>
      </c>
      <c r="L3" s="12" t="s">
        <v>372</v>
      </c>
    </row>
    <row r="4" spans="1:12">
      <c r="A4" t="s">
        <v>17</v>
      </c>
      <c r="L4" s="35" t="s">
        <v>24</v>
      </c>
    </row>
    <row r="5" spans="1:12">
      <c r="A5" t="s">
        <v>18</v>
      </c>
      <c r="L5" s="193" t="s">
        <v>830</v>
      </c>
    </row>
    <row r="6" spans="1:12">
      <c r="A6" t="s">
        <v>19</v>
      </c>
      <c r="L6" s="58" t="s">
        <v>513</v>
      </c>
    </row>
    <row r="7" spans="1:12">
      <c r="A7" s="27" t="s">
        <v>587</v>
      </c>
      <c r="L7" s="35" t="s">
        <v>586</v>
      </c>
    </row>
    <row r="8" spans="1:12">
      <c r="L8" s="58" t="s">
        <v>516</v>
      </c>
    </row>
    <row r="9" spans="1:12">
      <c r="A9" s="18" t="s">
        <v>20</v>
      </c>
      <c r="B9" s="33">
        <v>14</v>
      </c>
      <c r="L9" s="35" t="s">
        <v>517</v>
      </c>
    </row>
    <row r="10" spans="1:12">
      <c r="A10" s="18" t="s">
        <v>399</v>
      </c>
      <c r="B10" s="16">
        <f>1/(2-(0.12*B9))</f>
        <v>3.1249999999999996</v>
      </c>
    </row>
    <row r="20" ht="12" customHeight="1"/>
  </sheetData>
  <sheetProtection password="EFD6" sheet="1" selectLockedCells="1"/>
  <phoneticPr fontId="2" type="noConversion"/>
  <hyperlinks>
    <hyperlink ref="L4" location="'Index Page'!A1" display="Back to the first page"/>
    <hyperlink ref="L9" r:id="rId1"/>
    <hyperlink ref="L7" r:id="rId2"/>
    <hyperlink ref="L5" r:id="rId3"/>
  </hyperlinks>
  <pageMargins left="0.75" right="0.75" top="1" bottom="1" header="0.5" footer="0.5"/>
  <headerFooter alignWithMargins="0"/>
</worksheet>
</file>

<file path=xl/worksheets/sheet123.xml><?xml version="1.0" encoding="utf-8"?>
<worksheet xmlns="http://schemas.openxmlformats.org/spreadsheetml/2006/main" xmlns:r="http://schemas.openxmlformats.org/officeDocument/2006/relationships">
  <dimension ref="A1:F15"/>
  <sheetViews>
    <sheetView showGridLines="0" workbookViewId="0">
      <selection activeCell="E6" sqref="E6"/>
    </sheetView>
  </sheetViews>
  <sheetFormatPr defaultRowHeight="12.75"/>
  <cols>
    <col min="1" max="1" width="30.28515625" style="27" customWidth="1"/>
    <col min="2" max="4" width="9.140625" style="27"/>
    <col min="5" max="5" width="54.140625" style="27" customWidth="1"/>
    <col min="6" max="6" width="9.140625" style="27"/>
  </cols>
  <sheetData>
    <row r="1" spans="1:5" ht="15.75">
      <c r="A1" s="52" t="s">
        <v>196</v>
      </c>
    </row>
    <row r="2" spans="1:5">
      <c r="A2" s="27" t="s">
        <v>137</v>
      </c>
      <c r="B2" s="107">
        <v>200</v>
      </c>
      <c r="C2" s="27" t="s">
        <v>367</v>
      </c>
    </row>
    <row r="3" spans="1:5">
      <c r="A3" s="27" t="s">
        <v>478</v>
      </c>
      <c r="B3" s="107">
        <v>8.7300000000000003E-2</v>
      </c>
      <c r="C3" s="27" t="s">
        <v>361</v>
      </c>
      <c r="E3" s="111" t="s">
        <v>373</v>
      </c>
    </row>
    <row r="4" spans="1:5">
      <c r="A4" s="27" t="s">
        <v>479</v>
      </c>
      <c r="B4" s="107">
        <v>1.8759999999999999E-2</v>
      </c>
      <c r="C4" s="27" t="s">
        <v>361</v>
      </c>
      <c r="E4" s="112" t="s">
        <v>372</v>
      </c>
    </row>
    <row r="5" spans="1:5">
      <c r="A5" s="27" t="s">
        <v>480</v>
      </c>
      <c r="B5" s="107">
        <v>12</v>
      </c>
      <c r="C5" s="27" t="s">
        <v>370</v>
      </c>
      <c r="E5" s="108" t="s">
        <v>24</v>
      </c>
    </row>
    <row r="6" spans="1:5">
      <c r="A6" s="27" t="s">
        <v>481</v>
      </c>
      <c r="B6" s="53">
        <f>B2*(B3-B4)/(B5*0.052*B4)</f>
        <v>1170.9993986113388</v>
      </c>
      <c r="C6" s="27" t="s">
        <v>366</v>
      </c>
      <c r="E6" s="193" t="s">
        <v>830</v>
      </c>
    </row>
    <row r="8" spans="1:5" ht="15.75">
      <c r="A8" s="43" t="s">
        <v>195</v>
      </c>
    </row>
    <row r="9" spans="1:5">
      <c r="A9" s="27" t="s">
        <v>474</v>
      </c>
      <c r="B9" s="107">
        <v>100</v>
      </c>
      <c r="C9" s="27" t="s">
        <v>169</v>
      </c>
    </row>
    <row r="10" spans="1:5">
      <c r="A10" s="27" t="s">
        <v>137</v>
      </c>
      <c r="B10" s="107">
        <v>200</v>
      </c>
      <c r="C10" s="27" t="s">
        <v>367</v>
      </c>
    </row>
    <row r="11" spans="1:5">
      <c r="A11" s="27" t="s">
        <v>467</v>
      </c>
      <c r="B11" s="107">
        <v>5.4999999999999997E-3</v>
      </c>
      <c r="C11" s="27" t="s">
        <v>361</v>
      </c>
      <c r="E11" s="58" t="s">
        <v>513</v>
      </c>
    </row>
    <row r="12" spans="1:5">
      <c r="A12" s="27" t="s">
        <v>475</v>
      </c>
      <c r="B12" s="107">
        <v>1.8759999999999999E-2</v>
      </c>
      <c r="C12" s="27" t="s">
        <v>361</v>
      </c>
      <c r="E12" s="35" t="s">
        <v>551</v>
      </c>
    </row>
    <row r="13" spans="1:5">
      <c r="A13" s="27" t="s">
        <v>468</v>
      </c>
      <c r="B13" s="107">
        <v>8.7300000000000003E-2</v>
      </c>
      <c r="C13" s="27" t="s">
        <v>361</v>
      </c>
      <c r="E13" s="58" t="s">
        <v>516</v>
      </c>
    </row>
    <row r="14" spans="1:5">
      <c r="A14" s="27" t="s">
        <v>470</v>
      </c>
      <c r="B14" s="107">
        <v>12</v>
      </c>
      <c r="C14" s="27" t="s">
        <v>370</v>
      </c>
      <c r="E14" s="35" t="s">
        <v>517</v>
      </c>
    </row>
    <row r="15" spans="1:5">
      <c r="A15" s="27" t="s">
        <v>481</v>
      </c>
      <c r="B15" s="53">
        <f>B10*(B13-(B12+B11))/(0.052*B14*(B11+(B9/100)*B12))</f>
        <v>832.85771661699141</v>
      </c>
      <c r="C15" s="27" t="s">
        <v>366</v>
      </c>
    </row>
  </sheetData>
  <sheetProtection password="EFD6" sheet="1" selectLockedCells="1"/>
  <phoneticPr fontId="2" type="noConversion"/>
  <hyperlinks>
    <hyperlink ref="E5" location="'Index Page'!A1" display="Back to the first page"/>
    <hyperlink ref="E14" r:id="rId1"/>
    <hyperlink ref="E6" r:id="rId2"/>
  </hyperlinks>
  <pageMargins left="0.75" right="0.75" top="1" bottom="1" header="0.5" footer="0.5"/>
  <pageSetup paperSize="9" orientation="portrait" horizontalDpi="300" verticalDpi="300" r:id="rId3"/>
  <headerFooter alignWithMargins="0"/>
</worksheet>
</file>

<file path=xl/worksheets/sheet124.xml><?xml version="1.0" encoding="utf-8"?>
<worksheet xmlns="http://schemas.openxmlformats.org/spreadsheetml/2006/main" xmlns:r="http://schemas.openxmlformats.org/officeDocument/2006/relationships">
  <dimension ref="A1:G21"/>
  <sheetViews>
    <sheetView showGridLines="0" workbookViewId="0">
      <selection activeCell="G5" sqref="G5"/>
    </sheetView>
  </sheetViews>
  <sheetFormatPr defaultRowHeight="12.75"/>
  <cols>
    <col min="1" max="1" width="23.5703125" customWidth="1"/>
    <col min="7" max="7" width="56.28515625" customWidth="1"/>
  </cols>
  <sheetData>
    <row r="1" spans="1:7" ht="18">
      <c r="A1" s="42" t="s">
        <v>477</v>
      </c>
    </row>
    <row r="2" spans="1:7" ht="15.75">
      <c r="A2" s="43" t="s">
        <v>464</v>
      </c>
      <c r="G2" s="13" t="s">
        <v>373</v>
      </c>
    </row>
    <row r="3" spans="1:7">
      <c r="A3" t="s">
        <v>465</v>
      </c>
      <c r="B3" s="33">
        <v>10</v>
      </c>
      <c r="C3" t="s">
        <v>469</v>
      </c>
      <c r="G3" s="12" t="s">
        <v>372</v>
      </c>
    </row>
    <row r="4" spans="1:7">
      <c r="A4" t="s">
        <v>466</v>
      </c>
      <c r="B4" s="33">
        <v>91</v>
      </c>
      <c r="C4" t="s">
        <v>366</v>
      </c>
      <c r="G4" s="35" t="s">
        <v>24</v>
      </c>
    </row>
    <row r="5" spans="1:7">
      <c r="A5" t="s">
        <v>467</v>
      </c>
      <c r="B5" s="33">
        <v>5.4999999999999997E-3</v>
      </c>
      <c r="C5" t="s">
        <v>361</v>
      </c>
      <c r="G5" s="193" t="s">
        <v>830</v>
      </c>
    </row>
    <row r="6" spans="1:7">
      <c r="A6" t="s">
        <v>468</v>
      </c>
      <c r="B6" s="33">
        <v>8.7300000000000003E-2</v>
      </c>
      <c r="C6" t="s">
        <v>361</v>
      </c>
    </row>
    <row r="7" spans="1:7">
      <c r="A7" t="s">
        <v>470</v>
      </c>
      <c r="B7" s="33">
        <v>12</v>
      </c>
      <c r="C7" t="s">
        <v>370</v>
      </c>
      <c r="G7" s="58" t="s">
        <v>513</v>
      </c>
    </row>
    <row r="8" spans="1:7">
      <c r="A8" t="s">
        <v>471</v>
      </c>
      <c r="B8" s="16">
        <f>B3*B4*B5</f>
        <v>5.0049999999999999</v>
      </c>
      <c r="C8" t="s">
        <v>364</v>
      </c>
      <c r="G8" s="35" t="s">
        <v>554</v>
      </c>
    </row>
    <row r="9" spans="1:7">
      <c r="A9" t="s">
        <v>472</v>
      </c>
      <c r="B9" s="16">
        <f>B8*0.052*B7/(B6-B5)</f>
        <v>38.179951100244502</v>
      </c>
      <c r="C9" t="s">
        <v>367</v>
      </c>
      <c r="G9" s="58" t="s">
        <v>516</v>
      </c>
    </row>
    <row r="10" spans="1:7">
      <c r="G10" s="35" t="s">
        <v>517</v>
      </c>
    </row>
    <row r="11" spans="1:7" ht="15.75">
      <c r="A11" s="43" t="s">
        <v>473</v>
      </c>
    </row>
    <row r="13" spans="1:7" ht="25.5">
      <c r="A13" s="20" t="s">
        <v>474</v>
      </c>
      <c r="B13" s="33">
        <v>100</v>
      </c>
    </row>
    <row r="14" spans="1:7">
      <c r="A14" t="s">
        <v>465</v>
      </c>
      <c r="B14" s="33">
        <v>10</v>
      </c>
      <c r="C14" t="s">
        <v>469</v>
      </c>
    </row>
    <row r="15" spans="1:7">
      <c r="A15" t="s">
        <v>466</v>
      </c>
      <c r="B15" s="33">
        <v>91</v>
      </c>
      <c r="C15" t="s">
        <v>366</v>
      </c>
    </row>
    <row r="16" spans="1:7">
      <c r="A16" t="s">
        <v>467</v>
      </c>
      <c r="B16" s="33">
        <v>5.4999999999999997E-3</v>
      </c>
      <c r="C16" t="s">
        <v>361</v>
      </c>
    </row>
    <row r="17" spans="1:3">
      <c r="A17" t="s">
        <v>475</v>
      </c>
      <c r="B17" s="33">
        <v>1.8759999999999999E-2</v>
      </c>
      <c r="C17" t="s">
        <v>361</v>
      </c>
    </row>
    <row r="18" spans="1:3">
      <c r="A18" t="s">
        <v>468</v>
      </c>
      <c r="B18" s="33">
        <v>8.7300000000000003E-2</v>
      </c>
      <c r="C18" t="s">
        <v>361</v>
      </c>
    </row>
    <row r="19" spans="1:3">
      <c r="A19" t="s">
        <v>470</v>
      </c>
      <c r="B19" s="56">
        <v>12</v>
      </c>
      <c r="C19" t="s">
        <v>370</v>
      </c>
    </row>
    <row r="20" spans="1:3">
      <c r="A20" t="s">
        <v>471</v>
      </c>
      <c r="B20" s="16">
        <f>B14*B15*(B16+(B17*B13/100))</f>
        <v>22.076599999999996</v>
      </c>
      <c r="C20" t="s">
        <v>364</v>
      </c>
    </row>
    <row r="21" spans="1:3">
      <c r="A21" t="s">
        <v>472</v>
      </c>
      <c r="B21" s="16">
        <f>B20*0.052*B19/(B18-(B17+B16))</f>
        <v>218.52472081218264</v>
      </c>
      <c r="C21" t="s">
        <v>476</v>
      </c>
    </row>
  </sheetData>
  <sheetProtection password="EFD6" sheet="1" selectLockedCells="1"/>
  <phoneticPr fontId="2" type="noConversion"/>
  <hyperlinks>
    <hyperlink ref="G4" location="'Index Page'!A1" display="Back to the first page"/>
    <hyperlink ref="G10" r:id="rId1"/>
    <hyperlink ref="G5" r:id="rId2"/>
  </hyperlinks>
  <pageMargins left="0.75" right="0.75" top="1" bottom="1" header="0.5" footer="0.5"/>
  <pageSetup orientation="portrait" r:id="rId3"/>
  <headerFooter alignWithMargins="0"/>
</worksheet>
</file>

<file path=xl/worksheets/sheet125.xml><?xml version="1.0" encoding="utf-8"?>
<worksheet xmlns="http://schemas.openxmlformats.org/spreadsheetml/2006/main" xmlns:r="http://schemas.openxmlformats.org/officeDocument/2006/relationships">
  <dimension ref="A1:J17"/>
  <sheetViews>
    <sheetView showGridLines="0" workbookViewId="0">
      <selection activeCell="E8" sqref="E8"/>
    </sheetView>
  </sheetViews>
  <sheetFormatPr defaultRowHeight="12.75"/>
  <cols>
    <col min="1" max="1" width="37" customWidth="1"/>
    <col min="5" max="5" width="53.7109375" customWidth="1"/>
  </cols>
  <sheetData>
    <row r="1" spans="1:10">
      <c r="A1" s="18" t="s">
        <v>27</v>
      </c>
    </row>
    <row r="3" spans="1:10" ht="24" customHeight="1">
      <c r="A3" s="18" t="s">
        <v>28</v>
      </c>
      <c r="B3" s="313" t="s">
        <v>29</v>
      </c>
      <c r="C3" s="313"/>
      <c r="D3" s="313"/>
      <c r="E3" s="313"/>
      <c r="F3" s="313"/>
      <c r="G3" s="313"/>
      <c r="H3" s="313"/>
      <c r="I3" s="313"/>
      <c r="J3" s="313"/>
    </row>
    <row r="5" spans="1:10">
      <c r="A5" t="s">
        <v>30</v>
      </c>
      <c r="B5" s="33">
        <v>400</v>
      </c>
      <c r="C5" t="s">
        <v>363</v>
      </c>
      <c r="E5" s="13" t="s">
        <v>373</v>
      </c>
    </row>
    <row r="6" spans="1:10">
      <c r="A6" t="s">
        <v>31</v>
      </c>
      <c r="B6" s="33">
        <v>7.4200000000000004E-3</v>
      </c>
      <c r="C6" t="s">
        <v>361</v>
      </c>
      <c r="E6" s="12" t="s">
        <v>372</v>
      </c>
    </row>
    <row r="7" spans="1:10">
      <c r="A7" t="s">
        <v>32</v>
      </c>
      <c r="B7" s="33">
        <v>8.5500000000000007E-2</v>
      </c>
      <c r="C7" t="s">
        <v>362</v>
      </c>
      <c r="E7" s="35" t="s">
        <v>24</v>
      </c>
    </row>
    <row r="8" spans="1:10">
      <c r="A8" t="s">
        <v>27</v>
      </c>
      <c r="B8" s="28">
        <f>B7*B5/B6</f>
        <v>4609.1644204851755</v>
      </c>
      <c r="C8" t="s">
        <v>366</v>
      </c>
      <c r="E8" s="193" t="s">
        <v>830</v>
      </c>
    </row>
    <row r="9" spans="1:10">
      <c r="B9" s="29"/>
    </row>
    <row r="10" spans="1:10" ht="45.75" customHeight="1">
      <c r="A10" s="18" t="s">
        <v>33</v>
      </c>
      <c r="B10" s="313" t="s">
        <v>34</v>
      </c>
      <c r="C10" s="313"/>
      <c r="D10" s="313"/>
      <c r="E10" s="313"/>
      <c r="F10" s="313"/>
      <c r="G10" s="313"/>
      <c r="H10" s="313"/>
      <c r="I10" s="313"/>
      <c r="J10" s="313"/>
    </row>
    <row r="12" spans="1:10">
      <c r="A12" t="s">
        <v>35</v>
      </c>
      <c r="B12" s="33">
        <v>2500</v>
      </c>
      <c r="C12" t="s">
        <v>363</v>
      </c>
    </row>
    <row r="13" spans="1:10">
      <c r="A13" t="s">
        <v>31</v>
      </c>
      <c r="B13" s="33">
        <v>7.4200000000000004E-3</v>
      </c>
      <c r="C13" t="s">
        <v>361</v>
      </c>
    </row>
    <row r="14" spans="1:10">
      <c r="A14" t="s">
        <v>36</v>
      </c>
      <c r="B14" s="33">
        <v>4.5499999999999999E-2</v>
      </c>
      <c r="C14" t="s">
        <v>361</v>
      </c>
      <c r="E14" s="58" t="s">
        <v>513</v>
      </c>
    </row>
    <row r="15" spans="1:10">
      <c r="A15" t="s">
        <v>32</v>
      </c>
      <c r="B15" s="33">
        <v>8.5500000000000007E-2</v>
      </c>
      <c r="C15" t="s">
        <v>362</v>
      </c>
      <c r="E15" s="35" t="s">
        <v>542</v>
      </c>
    </row>
    <row r="16" spans="1:10">
      <c r="A16" t="s">
        <v>37</v>
      </c>
      <c r="B16" s="33">
        <v>10</v>
      </c>
      <c r="C16" t="s">
        <v>364</v>
      </c>
      <c r="E16" s="58" t="s">
        <v>516</v>
      </c>
    </row>
    <row r="17" spans="1:5">
      <c r="A17" t="s">
        <v>27</v>
      </c>
      <c r="B17" s="28">
        <f>(B15*B12-B16)/(B13+B14)</f>
        <v>3850.1511715797433</v>
      </c>
      <c r="C17" t="s">
        <v>366</v>
      </c>
      <c r="E17" s="35" t="s">
        <v>517</v>
      </c>
    </row>
  </sheetData>
  <sheetProtection password="EFD6" sheet="1" selectLockedCells="1"/>
  <mergeCells count="2">
    <mergeCell ref="B3:J3"/>
    <mergeCell ref="B10:J10"/>
  </mergeCells>
  <phoneticPr fontId="2" type="noConversion"/>
  <hyperlinks>
    <hyperlink ref="E7" location="'Index Page'!A1" display="Back to the first page"/>
    <hyperlink ref="E17" r:id="rId1"/>
    <hyperlink ref="E8" r:id="rId2"/>
  </hyperlinks>
  <pageMargins left="0.75" right="0.75" top="1" bottom="1" header="0.5" footer="0.5"/>
  <pageSetup paperSize="9" orientation="portrait" horizontalDpi="1200" verticalDpi="1200" r:id="rId3"/>
  <headerFooter alignWithMargins="0"/>
</worksheet>
</file>

<file path=xl/worksheets/sheet13.xml><?xml version="1.0" encoding="utf-8"?>
<worksheet xmlns="http://schemas.openxmlformats.org/spreadsheetml/2006/main" xmlns:r="http://schemas.openxmlformats.org/officeDocument/2006/relationships">
  <sheetPr>
    <tabColor rgb="FFFFFF00"/>
  </sheetPr>
  <dimension ref="A1:F13"/>
  <sheetViews>
    <sheetView showGridLines="0" workbookViewId="0">
      <selection activeCell="F4" sqref="F4"/>
    </sheetView>
  </sheetViews>
  <sheetFormatPr defaultRowHeight="12.75"/>
  <cols>
    <col min="1" max="1" width="39.7109375" bestFit="1" customWidth="1"/>
    <col min="5" max="5" width="17.85546875" customWidth="1"/>
    <col min="6" max="6" width="55.42578125" bestFit="1" customWidth="1"/>
  </cols>
  <sheetData>
    <row r="1" spans="1:6">
      <c r="A1" s="18" t="s">
        <v>990</v>
      </c>
    </row>
    <row r="2" spans="1:6">
      <c r="F2" s="13" t="s">
        <v>373</v>
      </c>
    </row>
    <row r="3" spans="1:6">
      <c r="A3" s="18" t="s">
        <v>1011</v>
      </c>
      <c r="C3" s="27"/>
      <c r="F3" s="12" t="s">
        <v>372</v>
      </c>
    </row>
    <row r="4" spans="1:6">
      <c r="A4" s="27" t="s">
        <v>411</v>
      </c>
      <c r="B4" s="222">
        <v>12</v>
      </c>
      <c r="C4" s="27"/>
      <c r="F4" s="35" t="s">
        <v>24</v>
      </c>
    </row>
    <row r="5" spans="1:6">
      <c r="A5" s="27" t="s">
        <v>988</v>
      </c>
      <c r="B5" s="222">
        <v>500</v>
      </c>
    </row>
    <row r="6" spans="1:6">
      <c r="A6" s="27" t="s">
        <v>989</v>
      </c>
      <c r="B6" s="156">
        <v>1</v>
      </c>
      <c r="C6" s="27"/>
      <c r="F6" s="194"/>
    </row>
    <row r="7" spans="1:6">
      <c r="A7" s="18" t="s">
        <v>990</v>
      </c>
      <c r="B7" s="255">
        <f>B4*B5^2/(12032*B6^2)</f>
        <v>249.33510638297872</v>
      </c>
    </row>
    <row r="10" spans="1:6">
      <c r="A10" s="18" t="s">
        <v>991</v>
      </c>
    </row>
    <row r="11" spans="1:6">
      <c r="A11" s="27" t="s">
        <v>411</v>
      </c>
      <c r="B11" s="222">
        <v>12</v>
      </c>
    </row>
    <row r="12" spans="1:6">
      <c r="A12" s="27" t="s">
        <v>992</v>
      </c>
      <c r="B12" s="222">
        <v>12</v>
      </c>
    </row>
    <row r="13" spans="1:6">
      <c r="A13" s="18" t="s">
        <v>990</v>
      </c>
      <c r="B13" s="270">
        <f>(B11*B12^2)/1239</f>
        <v>1.3946731234866827</v>
      </c>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FFFF00"/>
  </sheetPr>
  <dimension ref="A1:F8"/>
  <sheetViews>
    <sheetView showGridLines="0" workbookViewId="0">
      <selection activeCell="F4" sqref="F4"/>
    </sheetView>
  </sheetViews>
  <sheetFormatPr defaultRowHeight="12.75"/>
  <cols>
    <col min="1" max="1" width="29.42578125" bestFit="1" customWidth="1"/>
    <col min="5" max="5" width="5.7109375" customWidth="1"/>
    <col min="6" max="6" width="55.42578125" bestFit="1" customWidth="1"/>
  </cols>
  <sheetData>
    <row r="1" spans="1:6">
      <c r="A1" s="18" t="s">
        <v>982</v>
      </c>
    </row>
    <row r="2" spans="1:6">
      <c r="F2" s="13" t="s">
        <v>373</v>
      </c>
    </row>
    <row r="3" spans="1:6">
      <c r="A3" s="27" t="s">
        <v>983</v>
      </c>
      <c r="B3" s="222">
        <v>8974</v>
      </c>
      <c r="C3" s="27"/>
      <c r="F3" s="12" t="s">
        <v>372</v>
      </c>
    </row>
    <row r="4" spans="1:6">
      <c r="A4" s="27" t="s">
        <v>984</v>
      </c>
      <c r="B4" s="222">
        <v>6500</v>
      </c>
      <c r="C4" s="27"/>
      <c r="F4" s="35" t="s">
        <v>24</v>
      </c>
    </row>
    <row r="5" spans="1:6">
      <c r="A5" s="27" t="s">
        <v>985</v>
      </c>
      <c r="B5" s="172">
        <v>262</v>
      </c>
    </row>
    <row r="6" spans="1:6">
      <c r="A6" s="27" t="s">
        <v>986</v>
      </c>
      <c r="B6" s="222">
        <v>200</v>
      </c>
      <c r="C6" s="27"/>
      <c r="F6" s="194"/>
    </row>
    <row r="7" spans="1:6">
      <c r="A7" s="18" t="s">
        <v>987</v>
      </c>
      <c r="B7" s="255">
        <f>(B3-B4)/(B5+B6)</f>
        <v>5.3549783549783552</v>
      </c>
      <c r="C7" s="27"/>
      <c r="F7" s="29"/>
    </row>
    <row r="8" spans="1:6">
      <c r="B8" s="29"/>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F15"/>
  <sheetViews>
    <sheetView showGridLines="0" workbookViewId="0">
      <selection activeCell="F4" sqref="F4"/>
    </sheetView>
  </sheetViews>
  <sheetFormatPr defaultRowHeight="12.75"/>
  <cols>
    <col min="1" max="1" width="53.42578125" bestFit="1" customWidth="1"/>
    <col min="5" max="5" width="6.7109375" customWidth="1"/>
    <col min="6" max="6" width="55.42578125" bestFit="1" customWidth="1"/>
  </cols>
  <sheetData>
    <row r="1" spans="1:6">
      <c r="A1" s="18" t="s">
        <v>980</v>
      </c>
    </row>
    <row r="2" spans="1:6">
      <c r="A2" s="18" t="s">
        <v>981</v>
      </c>
      <c r="F2" s="13" t="s">
        <v>373</v>
      </c>
    </row>
    <row r="3" spans="1:6">
      <c r="A3" s="27" t="s">
        <v>969</v>
      </c>
      <c r="B3" s="222">
        <v>30</v>
      </c>
      <c r="C3" s="27"/>
      <c r="F3" s="12" t="s">
        <v>372</v>
      </c>
    </row>
    <row r="4" spans="1:6">
      <c r="A4" s="27" t="s">
        <v>977</v>
      </c>
      <c r="B4" s="222">
        <v>11</v>
      </c>
      <c r="C4" s="27"/>
      <c r="F4" s="35" t="s">
        <v>24</v>
      </c>
    </row>
    <row r="5" spans="1:6">
      <c r="A5" s="27" t="s">
        <v>978</v>
      </c>
      <c r="B5" s="222">
        <v>2</v>
      </c>
      <c r="C5" s="27"/>
    </row>
    <row r="6" spans="1:6">
      <c r="A6" s="27" t="s">
        <v>740</v>
      </c>
      <c r="B6" s="155">
        <v>12.25</v>
      </c>
      <c r="C6" s="27"/>
      <c r="F6" s="131" t="s">
        <v>1062</v>
      </c>
    </row>
    <row r="7" spans="1:6">
      <c r="A7" s="27" t="s">
        <v>970</v>
      </c>
      <c r="B7" s="155">
        <v>6.5</v>
      </c>
      <c r="F7" s="29"/>
    </row>
    <row r="8" spans="1:6">
      <c r="A8" s="27" t="s">
        <v>972</v>
      </c>
      <c r="B8" s="154">
        <v>800</v>
      </c>
      <c r="C8" s="27"/>
      <c r="D8" s="230"/>
      <c r="F8" s="29"/>
    </row>
    <row r="9" spans="1:6">
      <c r="A9" s="27" t="s">
        <v>971</v>
      </c>
      <c r="B9" s="254">
        <v>5</v>
      </c>
      <c r="C9" s="27"/>
      <c r="F9" s="29"/>
    </row>
    <row r="10" spans="1:6">
      <c r="A10" s="27" t="s">
        <v>459</v>
      </c>
      <c r="B10" s="174">
        <f>B6^2/1029.4</f>
        <v>0.14577666601904021</v>
      </c>
      <c r="F10" s="29"/>
    </row>
    <row r="11" spans="1:6">
      <c r="A11" s="27" t="s">
        <v>973</v>
      </c>
      <c r="B11" s="174">
        <f>(B6^2-B7^2)/1029.4</f>
        <v>0.10473333980959781</v>
      </c>
    </row>
    <row r="12" spans="1:6">
      <c r="A12" s="27" t="s">
        <v>975</v>
      </c>
      <c r="B12" s="174">
        <f>(B6^2-B9^2)/1029.4</f>
        <v>0.12149067417913346</v>
      </c>
    </row>
    <row r="13" spans="1:6">
      <c r="A13" s="27" t="s">
        <v>974</v>
      </c>
      <c r="B13" s="138">
        <f>B3/B10</f>
        <v>205.7942523948355</v>
      </c>
    </row>
    <row r="14" spans="1:6">
      <c r="A14" s="27" t="s">
        <v>976</v>
      </c>
      <c r="B14" s="138">
        <f>IF(B11*B8&gt;B3,B3/B11,B8+((B3-(B11*B8))/B12))</f>
        <v>286.44173913043483</v>
      </c>
    </row>
    <row r="15" spans="1:6">
      <c r="A15" s="18" t="s">
        <v>979</v>
      </c>
      <c r="B15" s="142">
        <f>(B14-B13)*0.052*(B4-B5)</f>
        <v>37.743023792260487</v>
      </c>
      <c r="D15" s="230"/>
    </row>
  </sheetData>
  <sheetProtection password="EFD6" sheet="1" selectLockedCells="1"/>
  <hyperlinks>
    <hyperlink ref="F4" location="'Index Page'!A1" display="Back to the first page"/>
    <hyperlink ref="F6" r:id="rId1"/>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sheetPr>
    <tabColor rgb="FFFFFF00"/>
  </sheetPr>
  <dimension ref="A1:F8"/>
  <sheetViews>
    <sheetView showGridLines="0" workbookViewId="0">
      <selection activeCell="F4" sqref="F4"/>
    </sheetView>
  </sheetViews>
  <sheetFormatPr defaultRowHeight="12.75"/>
  <cols>
    <col min="1" max="1" width="29.5703125" customWidth="1"/>
    <col min="2" max="2" width="10.5703125" style="29" bestFit="1" customWidth="1"/>
    <col min="5" max="5" width="8.7109375" customWidth="1"/>
    <col min="6" max="6" width="55.42578125" bestFit="1" customWidth="1"/>
  </cols>
  <sheetData>
    <row r="1" spans="1:6">
      <c r="A1" s="18" t="s">
        <v>1031</v>
      </c>
    </row>
    <row r="2" spans="1:6">
      <c r="F2" s="13" t="s">
        <v>373</v>
      </c>
    </row>
    <row r="3" spans="1:6">
      <c r="A3" s="27" t="s">
        <v>963</v>
      </c>
      <c r="B3" s="222">
        <v>100</v>
      </c>
      <c r="C3" s="27"/>
      <c r="F3" s="12" t="s">
        <v>372</v>
      </c>
    </row>
    <row r="4" spans="1:6">
      <c r="A4" s="27" t="s">
        <v>964</v>
      </c>
      <c r="B4" s="155">
        <v>12.5</v>
      </c>
      <c r="C4" s="27"/>
      <c r="F4" s="35" t="s">
        <v>24</v>
      </c>
    </row>
    <row r="5" spans="1:6">
      <c r="A5" s="27" t="s">
        <v>965</v>
      </c>
      <c r="B5" s="155">
        <v>5</v>
      </c>
      <c r="F5" s="29"/>
    </row>
    <row r="6" spans="1:6">
      <c r="A6" s="27" t="s">
        <v>411</v>
      </c>
      <c r="B6" s="222">
        <v>11</v>
      </c>
      <c r="C6" s="27"/>
      <c r="F6" s="131" t="s">
        <v>1063</v>
      </c>
    </row>
    <row r="7" spans="1:6">
      <c r="A7" s="27" t="s">
        <v>966</v>
      </c>
      <c r="B7" s="229">
        <f>(B4^2-B5^2)/1029.4</f>
        <v>0.12750145715951039</v>
      </c>
      <c r="C7" s="27"/>
    </row>
    <row r="8" spans="1:6">
      <c r="A8" s="27" t="s">
        <v>1032</v>
      </c>
      <c r="B8" s="138">
        <f>B3*B7/(0.052*B6)</f>
        <v>22.290464538375943</v>
      </c>
    </row>
  </sheetData>
  <sheetProtection password="EFD6" sheet="1" selectLockedCells="1"/>
  <hyperlinks>
    <hyperlink ref="F4" location="'Index Page'!A1" display="Back to the first page"/>
    <hyperlink ref="F6" r:id="rId1"/>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sheetPr>
    <tabColor rgb="FFFFFF00"/>
  </sheetPr>
  <dimension ref="A1:F8"/>
  <sheetViews>
    <sheetView showGridLines="0" workbookViewId="0">
      <selection activeCell="F4" sqref="F4"/>
    </sheetView>
  </sheetViews>
  <sheetFormatPr defaultRowHeight="12.75"/>
  <cols>
    <col min="1" max="1" width="29.5703125" customWidth="1"/>
    <col min="2" max="2" width="10.5703125" style="29" bestFit="1" customWidth="1"/>
    <col min="5" max="5" width="17.85546875" customWidth="1"/>
    <col min="6" max="6" width="55.42578125" bestFit="1" customWidth="1"/>
  </cols>
  <sheetData>
    <row r="1" spans="1:6">
      <c r="A1" s="18" t="s">
        <v>968</v>
      </c>
    </row>
    <row r="2" spans="1:6">
      <c r="F2" s="13" t="s">
        <v>373</v>
      </c>
    </row>
    <row r="3" spans="1:6">
      <c r="A3" s="27" t="s">
        <v>963</v>
      </c>
      <c r="B3" s="222">
        <v>100</v>
      </c>
      <c r="C3" s="27"/>
      <c r="F3" s="12" t="s">
        <v>372</v>
      </c>
    </row>
    <row r="4" spans="1:6">
      <c r="A4" s="27" t="s">
        <v>964</v>
      </c>
      <c r="B4" s="155">
        <v>12.5</v>
      </c>
      <c r="C4" s="27"/>
      <c r="F4" s="35" t="s">
        <v>24</v>
      </c>
    </row>
    <row r="5" spans="1:6">
      <c r="A5" s="27" t="s">
        <v>965</v>
      </c>
      <c r="B5" s="155">
        <v>5</v>
      </c>
      <c r="F5" s="29"/>
    </row>
    <row r="6" spans="1:6">
      <c r="A6" s="27" t="s">
        <v>411</v>
      </c>
      <c r="B6" s="222">
        <v>11</v>
      </c>
      <c r="C6" s="27"/>
      <c r="F6" s="131" t="s">
        <v>1064</v>
      </c>
    </row>
    <row r="7" spans="1:6">
      <c r="A7" s="27" t="s">
        <v>966</v>
      </c>
      <c r="B7" s="229">
        <f>(B4^2-B5^2)/1029.4</f>
        <v>0.12750145715951039</v>
      </c>
      <c r="C7" s="27"/>
    </row>
    <row r="8" spans="1:6">
      <c r="A8" s="27" t="s">
        <v>967</v>
      </c>
      <c r="B8" s="138">
        <f>B3*B7/(0.052*B6)</f>
        <v>22.290464538375943</v>
      </c>
    </row>
  </sheetData>
  <sheetProtection password="EFD6" sheet="1" selectLockedCells="1"/>
  <hyperlinks>
    <hyperlink ref="F4" location="'Index Page'!A1" display="Back to the first page"/>
    <hyperlink ref="F6" r:id="rId1"/>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dimension ref="A1:F9"/>
  <sheetViews>
    <sheetView showGridLines="0" workbookViewId="0">
      <selection activeCell="F4" sqref="F4"/>
    </sheetView>
  </sheetViews>
  <sheetFormatPr defaultRowHeight="12.75"/>
  <cols>
    <col min="1" max="1" width="20.42578125" customWidth="1"/>
    <col min="5" max="5" width="17.85546875" customWidth="1"/>
    <col min="6" max="6" width="55.42578125" bestFit="1" customWidth="1"/>
  </cols>
  <sheetData>
    <row r="1" spans="1:6">
      <c r="A1" s="18" t="s">
        <v>955</v>
      </c>
    </row>
    <row r="2" spans="1:6">
      <c r="F2" s="13" t="s">
        <v>373</v>
      </c>
    </row>
    <row r="3" spans="1:6">
      <c r="A3" s="27" t="s">
        <v>956</v>
      </c>
      <c r="B3" s="223">
        <v>2000</v>
      </c>
      <c r="C3" s="27" t="s">
        <v>957</v>
      </c>
      <c r="F3" s="12" t="s">
        <v>372</v>
      </c>
    </row>
    <row r="4" spans="1:6">
      <c r="A4" s="27" t="s">
        <v>856</v>
      </c>
      <c r="B4" s="154">
        <v>160</v>
      </c>
      <c r="C4" s="27" t="s">
        <v>1</v>
      </c>
      <c r="F4" s="35" t="s">
        <v>24</v>
      </c>
    </row>
    <row r="5" spans="1:6">
      <c r="A5" s="27" t="s">
        <v>958</v>
      </c>
      <c r="B5" s="154">
        <v>0.75</v>
      </c>
    </row>
    <row r="6" spans="1:6">
      <c r="A6" s="27" t="s">
        <v>959</v>
      </c>
      <c r="B6" s="223">
        <v>9000</v>
      </c>
      <c r="C6" s="27" t="s">
        <v>366</v>
      </c>
      <c r="F6" s="193" t="s">
        <v>830</v>
      </c>
    </row>
    <row r="7" spans="1:6">
      <c r="A7" s="27" t="s">
        <v>960</v>
      </c>
      <c r="B7" s="253">
        <f>(B3+14.7)*EXP(((B5/(53.36))*B6)/(B4+460))-14.7</f>
        <v>2455.9996013085629</v>
      </c>
      <c r="C7" s="27" t="s">
        <v>957</v>
      </c>
    </row>
    <row r="9" spans="1:6">
      <c r="F9" s="35" t="s">
        <v>1060</v>
      </c>
    </row>
  </sheetData>
  <sheetProtection password="EFD6" sheet="1" selectLockedCells="1"/>
  <hyperlinks>
    <hyperlink ref="F4" location="'Index Page'!A1" display="Back to the first page"/>
    <hyperlink ref="F6" r:id="rId1"/>
    <hyperlink ref="F9" r:id="rId2"/>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dimension ref="A1:G11"/>
  <sheetViews>
    <sheetView showGridLines="0" workbookViewId="0">
      <selection activeCell="G7" sqref="G3:G7"/>
    </sheetView>
  </sheetViews>
  <sheetFormatPr defaultRowHeight="12.75"/>
  <cols>
    <col min="1" max="1" width="31.28515625" customWidth="1"/>
    <col min="2" max="2" width="10.5703125" bestFit="1" customWidth="1"/>
    <col min="7" max="7" width="53.7109375" customWidth="1"/>
  </cols>
  <sheetData>
    <row r="1" spans="1:7" ht="15.75">
      <c r="A1" s="43" t="s">
        <v>947</v>
      </c>
    </row>
    <row r="3" spans="1:7">
      <c r="A3" s="27" t="s">
        <v>948</v>
      </c>
      <c r="B3" s="228">
        <v>12</v>
      </c>
      <c r="C3" s="27" t="s">
        <v>386</v>
      </c>
      <c r="D3" s="27"/>
      <c r="G3" s="13" t="s">
        <v>373</v>
      </c>
    </row>
    <row r="4" spans="1:7">
      <c r="A4" s="27" t="s">
        <v>949</v>
      </c>
      <c r="B4" s="228">
        <v>5</v>
      </c>
      <c r="C4" s="27" t="s">
        <v>169</v>
      </c>
      <c r="D4" s="27"/>
      <c r="G4" s="12" t="s">
        <v>372</v>
      </c>
    </row>
    <row r="5" spans="1:7">
      <c r="A5" s="27" t="s">
        <v>950</v>
      </c>
      <c r="B5" s="228">
        <v>8.6</v>
      </c>
      <c r="C5" s="27" t="s">
        <v>386</v>
      </c>
      <c r="D5" s="27"/>
      <c r="G5" s="35" t="s">
        <v>24</v>
      </c>
    </row>
    <row r="6" spans="1:7">
      <c r="A6" s="27" t="s">
        <v>951</v>
      </c>
      <c r="B6" s="228">
        <v>60</v>
      </c>
      <c r="C6" s="27" t="s">
        <v>169</v>
      </c>
      <c r="D6" s="27"/>
    </row>
    <row r="7" spans="1:7">
      <c r="A7" s="27" t="s">
        <v>952</v>
      </c>
      <c r="B7" s="226">
        <v>7</v>
      </c>
      <c r="C7" s="27" t="s">
        <v>386</v>
      </c>
      <c r="D7" s="27"/>
      <c r="G7" s="193" t="s">
        <v>830</v>
      </c>
    </row>
    <row r="8" spans="1:7">
      <c r="A8" s="122" t="s">
        <v>953</v>
      </c>
      <c r="B8" s="228">
        <v>35</v>
      </c>
      <c r="C8" s="27" t="s">
        <v>169</v>
      </c>
      <c r="D8" s="27"/>
      <c r="G8" s="35"/>
    </row>
    <row r="9" spans="1:7">
      <c r="A9" s="122" t="s">
        <v>954</v>
      </c>
      <c r="B9" s="16">
        <f>((100*B3)-(B4*B5+B6*B7))/B8</f>
        <v>21.057142857142857</v>
      </c>
      <c r="C9" s="27" t="s">
        <v>386</v>
      </c>
      <c r="D9" s="27"/>
    </row>
    <row r="10" spans="1:7">
      <c r="A10" s="122"/>
      <c r="B10" s="227"/>
      <c r="C10" s="122"/>
      <c r="D10" s="27"/>
    </row>
    <row r="11" spans="1:7">
      <c r="A11" s="122"/>
      <c r="B11" s="227"/>
      <c r="C11" s="122"/>
    </row>
  </sheetData>
  <sheetProtection selectLockedCells="1"/>
  <hyperlinks>
    <hyperlink ref="G5" location="'Index Page'!A1" display="Back to the first page"/>
    <hyperlink ref="G7" r:id="rId1"/>
  </hyperlinks>
  <pageMargins left="0.75" right="0.75" top="1" bottom="1" header="0.5" footer="0.5"/>
  <pageSetup paperSize="9" orientation="portrait" horizontalDpi="1200" verticalDpi="1200" r:id="rId2"/>
  <headerFooter alignWithMargins="0"/>
</worksheet>
</file>

<file path=xl/worksheets/sheet2.xml><?xml version="1.0" encoding="utf-8"?>
<worksheet xmlns="http://schemas.openxmlformats.org/spreadsheetml/2006/main" xmlns:r="http://schemas.openxmlformats.org/officeDocument/2006/relationships">
  <sheetPr>
    <tabColor rgb="FFFFFF00"/>
  </sheetPr>
  <dimension ref="A1:H18"/>
  <sheetViews>
    <sheetView showGridLines="0" workbookViewId="0">
      <selection activeCell="H6" sqref="H6"/>
    </sheetView>
  </sheetViews>
  <sheetFormatPr defaultRowHeight="12.75"/>
  <cols>
    <col min="1" max="1" width="37.5703125" style="241" bestFit="1" customWidth="1"/>
    <col min="2" max="7" width="9.140625" style="241"/>
    <col min="8" max="8" width="19" style="241" bestFit="1" customWidth="1"/>
    <col min="9" max="16384" width="9.140625" style="241"/>
  </cols>
  <sheetData>
    <row r="1" spans="1:8">
      <c r="A1" s="240" t="s">
        <v>1056</v>
      </c>
    </row>
    <row r="3" spans="1:8">
      <c r="A3" s="242" t="s">
        <v>964</v>
      </c>
      <c r="B3" s="264">
        <v>6.33</v>
      </c>
    </row>
    <row r="4" spans="1:8">
      <c r="A4" s="242" t="s">
        <v>1041</v>
      </c>
      <c r="B4" s="264">
        <v>4</v>
      </c>
      <c r="H4" s="54" t="s">
        <v>373</v>
      </c>
    </row>
    <row r="5" spans="1:8">
      <c r="A5" s="242" t="s">
        <v>1042</v>
      </c>
      <c r="B5" s="264">
        <v>3.34</v>
      </c>
      <c r="H5" s="55" t="s">
        <v>372</v>
      </c>
    </row>
    <row r="6" spans="1:8">
      <c r="A6" s="242" t="s">
        <v>1043</v>
      </c>
      <c r="B6" s="260">
        <v>7600</v>
      </c>
      <c r="H6" s="35" t="s">
        <v>24</v>
      </c>
    </row>
    <row r="7" spans="1:8">
      <c r="A7" s="242" t="s">
        <v>1045</v>
      </c>
      <c r="B7" s="265">
        <v>10</v>
      </c>
    </row>
    <row r="8" spans="1:8">
      <c r="A8" s="242" t="s">
        <v>1046</v>
      </c>
      <c r="B8" s="265">
        <v>0</v>
      </c>
    </row>
    <row r="9" spans="1:8">
      <c r="A9" s="243"/>
      <c r="B9" s="244"/>
    </row>
    <row r="10" spans="1:8">
      <c r="A10" s="242" t="s">
        <v>1047</v>
      </c>
      <c r="B10" s="268">
        <f>B6*B5^2/1029.4</f>
        <v>82.361142413056143</v>
      </c>
    </row>
    <row r="11" spans="1:8">
      <c r="A11" s="242" t="s">
        <v>1048</v>
      </c>
      <c r="B11" s="269">
        <f>B6-(B7*1029.4)/(B3^2-B4^2+B5^2)</f>
        <v>7307.7602237079309</v>
      </c>
    </row>
    <row r="12" spans="1:8">
      <c r="A12" s="242" t="s">
        <v>1049</v>
      </c>
      <c r="B12" s="269">
        <f>B6-(B7*1029.4)/(B3^2)</f>
        <v>7343.0925231289102</v>
      </c>
    </row>
    <row r="13" spans="1:8">
      <c r="A13" s="245" t="s">
        <v>1050</v>
      </c>
      <c r="B13" s="268">
        <f>B11*B5^2/1029.4</f>
        <v>79.194142171746833</v>
      </c>
    </row>
    <row r="14" spans="1:8">
      <c r="A14" s="267" t="s">
        <v>1051</v>
      </c>
    </row>
    <row r="15" spans="1:8">
      <c r="A15" s="266" t="s">
        <v>1052</v>
      </c>
      <c r="B15" s="268">
        <f>B7</f>
        <v>10</v>
      </c>
    </row>
    <row r="16" spans="1:8">
      <c r="A16" s="266" t="s">
        <v>1057</v>
      </c>
      <c r="B16" s="268">
        <f>B13+B8</f>
        <v>79.194142171746833</v>
      </c>
    </row>
    <row r="17" spans="1:5">
      <c r="A17" s="246"/>
      <c r="B17" s="247"/>
    </row>
    <row r="18" spans="1:5">
      <c r="A18" s="248"/>
      <c r="B18" s="249"/>
      <c r="E18" s="250"/>
    </row>
  </sheetData>
  <sheetProtection password="EFD6" sheet="1" selectLockedCells="1"/>
  <hyperlinks>
    <hyperlink ref="H6" location="'Index Page'!A1" display="Back to the first page"/>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G11"/>
  <sheetViews>
    <sheetView showGridLines="0" workbookViewId="0">
      <selection activeCell="G5" sqref="G5"/>
    </sheetView>
  </sheetViews>
  <sheetFormatPr defaultRowHeight="12.75"/>
  <cols>
    <col min="1" max="1" width="34.140625" customWidth="1"/>
    <col min="2" max="2" width="10.5703125" bestFit="1" customWidth="1"/>
    <col min="7" max="7" width="53.7109375" customWidth="1"/>
  </cols>
  <sheetData>
    <row r="1" spans="1:7" ht="15.75">
      <c r="A1" s="43" t="s">
        <v>935</v>
      </c>
    </row>
    <row r="3" spans="1:7">
      <c r="A3" t="s">
        <v>944</v>
      </c>
      <c r="B3" s="225">
        <v>500</v>
      </c>
      <c r="C3" s="27" t="s">
        <v>366</v>
      </c>
      <c r="G3" s="13" t="s">
        <v>373</v>
      </c>
    </row>
    <row r="4" spans="1:7">
      <c r="A4" s="27" t="s">
        <v>946</v>
      </c>
      <c r="B4" s="225">
        <v>90</v>
      </c>
      <c r="C4" s="27" t="s">
        <v>169</v>
      </c>
      <c r="G4" s="12" t="s">
        <v>372</v>
      </c>
    </row>
    <row r="5" spans="1:7">
      <c r="A5" t="s">
        <v>936</v>
      </c>
      <c r="B5" s="225">
        <v>20000</v>
      </c>
      <c r="C5" t="s">
        <v>937</v>
      </c>
      <c r="G5" s="35" t="s">
        <v>24</v>
      </c>
    </row>
    <row r="6" spans="1:7">
      <c r="A6" t="s">
        <v>938</v>
      </c>
      <c r="B6" s="225">
        <v>120000</v>
      </c>
      <c r="C6" t="s">
        <v>937</v>
      </c>
    </row>
    <row r="7" spans="1:7">
      <c r="A7" t="s">
        <v>939</v>
      </c>
      <c r="B7" s="225">
        <v>100000</v>
      </c>
      <c r="C7" t="s">
        <v>937</v>
      </c>
      <c r="G7" s="193" t="s">
        <v>830</v>
      </c>
    </row>
    <row r="8" spans="1:7">
      <c r="A8" s="27" t="s">
        <v>940</v>
      </c>
      <c r="B8" s="226">
        <v>24</v>
      </c>
      <c r="C8" t="s">
        <v>941</v>
      </c>
      <c r="G8" s="35"/>
    </row>
    <row r="9" spans="1:7">
      <c r="A9" s="122" t="s">
        <v>942</v>
      </c>
      <c r="B9" s="226">
        <v>12</v>
      </c>
      <c r="C9" t="s">
        <v>941</v>
      </c>
      <c r="G9" s="30" t="s">
        <v>1061</v>
      </c>
    </row>
    <row r="10" spans="1:7">
      <c r="A10" s="122" t="s">
        <v>943</v>
      </c>
      <c r="B10" s="226">
        <v>4</v>
      </c>
      <c r="C10" t="s">
        <v>941</v>
      </c>
    </row>
    <row r="11" spans="1:7">
      <c r="A11" s="86" t="s">
        <v>935</v>
      </c>
      <c r="B11" s="16">
        <f>(B5+B6+(B7/24)*(B8+B9+B10))/B3/(B4/100)</f>
        <v>681.48148148148152</v>
      </c>
      <c r="C11" s="27" t="s">
        <v>945</v>
      </c>
    </row>
  </sheetData>
  <sheetProtection password="EFD6" sheet="1" selectLockedCells="1"/>
  <hyperlinks>
    <hyperlink ref="G5" location="'Index Page'!A1" display="Back to the first page"/>
    <hyperlink ref="G7" r:id="rId1"/>
    <hyperlink ref="G9" r:id="rId2"/>
  </hyperlinks>
  <pageMargins left="0.75" right="0.75" top="1" bottom="1" header="0.5" footer="0.5"/>
  <pageSetup paperSize="9" orientation="portrait" horizontalDpi="1200" verticalDpi="1200" r:id="rId3"/>
  <headerFooter alignWithMargins="0"/>
</worksheet>
</file>

<file path=xl/worksheets/sheet21.xml><?xml version="1.0" encoding="utf-8"?>
<worksheet xmlns="http://schemas.openxmlformats.org/spreadsheetml/2006/main" xmlns:r="http://schemas.openxmlformats.org/officeDocument/2006/relationships">
  <dimension ref="A1:G9"/>
  <sheetViews>
    <sheetView showGridLines="0" workbookViewId="0">
      <selection activeCell="G5" sqref="G5"/>
    </sheetView>
  </sheetViews>
  <sheetFormatPr defaultRowHeight="12.75"/>
  <cols>
    <col min="1" max="1" width="20.5703125" customWidth="1"/>
    <col min="2" max="2" width="10.5703125" bestFit="1" customWidth="1"/>
    <col min="7" max="7" width="53.7109375" customWidth="1"/>
  </cols>
  <sheetData>
    <row r="1" spans="1:7" ht="15.75">
      <c r="A1" s="43" t="s">
        <v>929</v>
      </c>
    </row>
    <row r="3" spans="1:7" ht="15.75">
      <c r="A3" s="43"/>
      <c r="G3" s="13" t="s">
        <v>373</v>
      </c>
    </row>
    <row r="4" spans="1:7">
      <c r="A4" t="s">
        <v>930</v>
      </c>
      <c r="B4" s="33">
        <v>20</v>
      </c>
      <c r="C4" t="s">
        <v>169</v>
      </c>
      <c r="G4" s="12" t="s">
        <v>372</v>
      </c>
    </row>
    <row r="5" spans="1:7">
      <c r="A5" t="s">
        <v>931</v>
      </c>
      <c r="B5" s="33">
        <v>8.5</v>
      </c>
      <c r="C5" t="s">
        <v>159</v>
      </c>
      <c r="G5" s="35" t="s">
        <v>24</v>
      </c>
    </row>
    <row r="6" spans="1:7">
      <c r="A6" t="s">
        <v>923</v>
      </c>
      <c r="B6" s="33">
        <v>80</v>
      </c>
      <c r="C6" t="s">
        <v>924</v>
      </c>
    </row>
    <row r="7" spans="1:7">
      <c r="A7" s="18" t="s">
        <v>932</v>
      </c>
      <c r="B7" s="17">
        <f>(1-(B4/100))*B5^2*B6/1029.4</f>
        <v>4.4919370507091507</v>
      </c>
      <c r="G7" s="193" t="s">
        <v>830</v>
      </c>
    </row>
    <row r="8" spans="1:7">
      <c r="A8" s="18" t="s">
        <v>933</v>
      </c>
      <c r="B8" s="17">
        <f>(1-(B4/100))*B5^2*B6/24.49</f>
        <v>188.81175990200083</v>
      </c>
      <c r="G8" s="35"/>
    </row>
    <row r="9" spans="1:7">
      <c r="A9" s="18" t="s">
        <v>934</v>
      </c>
      <c r="B9" s="17">
        <f>(1-(B4/100))*B5^2*B6/1469.4</f>
        <v>3.1468626650333467</v>
      </c>
      <c r="G9" s="85" t="s">
        <v>1058</v>
      </c>
    </row>
  </sheetData>
  <sheetProtection password="EFD6" sheet="1" selectLockedCells="1"/>
  <hyperlinks>
    <hyperlink ref="G5" location="'Index Page'!A1" display="Back to the first page"/>
    <hyperlink ref="G7" r:id="rId1"/>
    <hyperlink ref="G9" r:id="rId2"/>
  </hyperlinks>
  <pageMargins left="0.75" right="0.75" top="1" bottom="1" header="0.5" footer="0.5"/>
  <pageSetup paperSize="9" orientation="portrait" horizontalDpi="1200" verticalDpi="1200" r:id="rId3"/>
  <headerFooter alignWithMargins="0"/>
</worksheet>
</file>

<file path=xl/worksheets/sheet22.xml><?xml version="1.0" encoding="utf-8"?>
<worksheet xmlns="http://schemas.openxmlformats.org/spreadsheetml/2006/main" xmlns:r="http://schemas.openxmlformats.org/officeDocument/2006/relationships">
  <dimension ref="A1:G10"/>
  <sheetViews>
    <sheetView showGridLines="0" workbookViewId="0">
      <selection activeCell="G5" sqref="G5"/>
    </sheetView>
  </sheetViews>
  <sheetFormatPr defaultRowHeight="12.75"/>
  <cols>
    <col min="1" max="1" width="20.5703125" customWidth="1"/>
    <col min="2" max="2" width="10.5703125" bestFit="1" customWidth="1"/>
    <col min="7" max="7" width="53.7109375" customWidth="1"/>
  </cols>
  <sheetData>
    <row r="1" spans="1:7" ht="15.75">
      <c r="A1" s="43" t="s">
        <v>925</v>
      </c>
    </row>
    <row r="3" spans="1:7" ht="15.75">
      <c r="A3" s="43"/>
      <c r="G3" s="13" t="s">
        <v>373</v>
      </c>
    </row>
    <row r="4" spans="1:7">
      <c r="A4" t="s">
        <v>470</v>
      </c>
      <c r="B4" s="33">
        <v>10.5</v>
      </c>
      <c r="C4" t="s">
        <v>386</v>
      </c>
      <c r="G4" s="12" t="s">
        <v>372</v>
      </c>
    </row>
    <row r="5" spans="1:7">
      <c r="A5" t="s">
        <v>926</v>
      </c>
      <c r="B5" s="33">
        <v>12.5</v>
      </c>
      <c r="C5" t="s">
        <v>386</v>
      </c>
      <c r="G5" s="35" t="s">
        <v>24</v>
      </c>
    </row>
    <row r="6" spans="1:7">
      <c r="A6" t="s">
        <v>58</v>
      </c>
      <c r="B6" s="33">
        <v>600</v>
      </c>
      <c r="C6" t="s">
        <v>367</v>
      </c>
    </row>
    <row r="7" spans="1:7">
      <c r="A7" t="s">
        <v>653</v>
      </c>
      <c r="B7" s="223">
        <v>800</v>
      </c>
      <c r="C7" t="s">
        <v>429</v>
      </c>
      <c r="G7" s="193" t="s">
        <v>830</v>
      </c>
    </row>
    <row r="8" spans="1:7">
      <c r="A8" t="s">
        <v>672</v>
      </c>
      <c r="B8" s="224">
        <v>9500</v>
      </c>
      <c r="C8" t="s">
        <v>928</v>
      </c>
      <c r="G8" s="35"/>
    </row>
    <row r="9" spans="1:7">
      <c r="A9" t="s">
        <v>740</v>
      </c>
      <c r="B9" s="33">
        <v>12.25</v>
      </c>
      <c r="C9" t="s">
        <v>159</v>
      </c>
    </row>
    <row r="10" spans="1:7">
      <c r="A10" s="18" t="s">
        <v>927</v>
      </c>
      <c r="B10" s="17">
        <f>B7*(B5-(B6/(0.052*B8))-B4)/(B9^2*(141.4296*10^-4-(6.7995*10^-4*(B5-(B6/(0.052*B8))))))</f>
        <v>647.22639302437858</v>
      </c>
      <c r="C10" t="s">
        <v>924</v>
      </c>
    </row>
  </sheetData>
  <sheetProtection selectLockedCells="1"/>
  <hyperlinks>
    <hyperlink ref="G5" location="'Index Page'!A1" display="Back to the first page"/>
    <hyperlink ref="G7" r:id="rId1"/>
  </hyperlinks>
  <pageMargins left="0.75" right="0.75" top="1" bottom="1" header="0.5" footer="0.5"/>
  <pageSetup paperSize="9" orientation="portrait" horizontalDpi="1200" verticalDpi="1200" r:id="rId2"/>
  <headerFooter alignWithMargins="0"/>
</worksheet>
</file>

<file path=xl/worksheets/sheet23.xml><?xml version="1.0" encoding="utf-8"?>
<worksheet xmlns="http://schemas.openxmlformats.org/spreadsheetml/2006/main" xmlns:r="http://schemas.openxmlformats.org/officeDocument/2006/relationships">
  <dimension ref="A1:G10"/>
  <sheetViews>
    <sheetView showGridLines="0" workbookViewId="0">
      <selection activeCell="G5" sqref="G5"/>
    </sheetView>
  </sheetViews>
  <sheetFormatPr defaultRowHeight="12.75"/>
  <cols>
    <col min="1" max="1" width="20.5703125" customWidth="1"/>
    <col min="2" max="2" width="10.5703125" bestFit="1" customWidth="1"/>
    <col min="7" max="7" width="53.7109375" customWidth="1"/>
  </cols>
  <sheetData>
    <row r="1" spans="1:7" ht="15.75">
      <c r="A1" s="43" t="s">
        <v>922</v>
      </c>
    </row>
    <row r="3" spans="1:7" ht="15.75">
      <c r="A3" s="43"/>
      <c r="G3" s="13" t="s">
        <v>373</v>
      </c>
    </row>
    <row r="4" spans="1:7">
      <c r="A4" t="s">
        <v>470</v>
      </c>
      <c r="B4" s="33">
        <v>9.1999999999999993</v>
      </c>
      <c r="C4" t="s">
        <v>386</v>
      </c>
      <c r="G4" s="12" t="s">
        <v>372</v>
      </c>
    </row>
    <row r="5" spans="1:7">
      <c r="A5" t="s">
        <v>653</v>
      </c>
      <c r="B5" s="33">
        <v>900</v>
      </c>
      <c r="C5" t="s">
        <v>429</v>
      </c>
      <c r="G5" s="35" t="s">
        <v>24</v>
      </c>
    </row>
    <row r="6" spans="1:7">
      <c r="A6" t="s">
        <v>740</v>
      </c>
      <c r="B6" s="33">
        <v>12.25</v>
      </c>
      <c r="C6" t="s">
        <v>159</v>
      </c>
    </row>
    <row r="7" spans="1:7">
      <c r="A7" t="s">
        <v>923</v>
      </c>
      <c r="B7" s="222">
        <v>150</v>
      </c>
      <c r="C7" t="s">
        <v>924</v>
      </c>
      <c r="G7" s="193" t="s">
        <v>830</v>
      </c>
    </row>
    <row r="8" spans="1:7" hidden="1">
      <c r="A8" t="s">
        <v>920</v>
      </c>
      <c r="B8" s="16">
        <f>PI()/4*B6^2</f>
        <v>117.85881189482959</v>
      </c>
      <c r="C8" t="s">
        <v>884</v>
      </c>
      <c r="G8" s="35"/>
    </row>
    <row r="9" spans="1:7" hidden="1">
      <c r="A9" t="s">
        <v>921</v>
      </c>
      <c r="B9" s="16">
        <f>PI()/4*B7^2</f>
        <v>17671.458676442588</v>
      </c>
      <c r="C9" t="s">
        <v>884</v>
      </c>
      <c r="G9" s="58"/>
    </row>
    <row r="10" spans="1:7">
      <c r="A10" s="18" t="s">
        <v>922</v>
      </c>
      <c r="B10" s="14">
        <f>((B4*B5)+(141.4296*10^-4*B7*B6^2))/(B5+(6.7995*10^-4*B7*B6^2))</f>
        <v>9.3939690552997721</v>
      </c>
      <c r="C10" t="s">
        <v>386</v>
      </c>
    </row>
  </sheetData>
  <sheetProtection password="EFD6" sheet="1" selectLockedCells="1"/>
  <hyperlinks>
    <hyperlink ref="G5" location="'Index Page'!A1" display="Back to the first page"/>
    <hyperlink ref="G7" r:id="rId1"/>
  </hyperlinks>
  <pageMargins left="0.75" right="0.75" top="1" bottom="1" header="0.5" footer="0.5"/>
  <pageSetup paperSize="9" orientation="portrait" horizontalDpi="1200" verticalDpi="1200" r:id="rId2"/>
  <headerFooter alignWithMargins="0"/>
</worksheet>
</file>

<file path=xl/worksheets/sheet24.xml><?xml version="1.0" encoding="utf-8"?>
<worksheet xmlns="http://schemas.openxmlformats.org/spreadsheetml/2006/main" xmlns:r="http://schemas.openxmlformats.org/officeDocument/2006/relationships">
  <dimension ref="A1:G12"/>
  <sheetViews>
    <sheetView showGridLines="0" workbookViewId="0">
      <selection activeCell="G5" sqref="G5"/>
    </sheetView>
  </sheetViews>
  <sheetFormatPr defaultRowHeight="12.75"/>
  <cols>
    <col min="1" max="1" width="20.5703125" customWidth="1"/>
    <col min="2" max="2" width="10.5703125" bestFit="1" customWidth="1"/>
    <col min="7" max="7" width="53.7109375" customWidth="1"/>
  </cols>
  <sheetData>
    <row r="1" spans="1:7" ht="15.75">
      <c r="A1" s="43" t="s">
        <v>914</v>
      </c>
    </row>
    <row r="3" spans="1:7" ht="15.75">
      <c r="A3" s="43"/>
      <c r="G3" s="13" t="s">
        <v>373</v>
      </c>
    </row>
    <row r="4" spans="1:7">
      <c r="A4" t="s">
        <v>916</v>
      </c>
      <c r="B4" s="33">
        <v>14.5</v>
      </c>
      <c r="C4" t="s">
        <v>386</v>
      </c>
      <c r="G4" s="12" t="s">
        <v>372</v>
      </c>
    </row>
    <row r="5" spans="1:7">
      <c r="A5" t="s">
        <v>915</v>
      </c>
      <c r="B5" s="33">
        <v>9.5</v>
      </c>
      <c r="C5" t="s">
        <v>386</v>
      </c>
      <c r="G5" s="35" t="s">
        <v>24</v>
      </c>
    </row>
    <row r="6" spans="1:7">
      <c r="A6" t="s">
        <v>918</v>
      </c>
      <c r="B6" s="33">
        <v>9.625</v>
      </c>
      <c r="C6" t="s">
        <v>159</v>
      </c>
    </row>
    <row r="7" spans="1:7">
      <c r="A7" t="s">
        <v>917</v>
      </c>
      <c r="B7" s="192">
        <v>8.8350000000000009</v>
      </c>
      <c r="C7" t="s">
        <v>159</v>
      </c>
      <c r="G7" s="193" t="s">
        <v>830</v>
      </c>
    </row>
    <row r="8" spans="1:7" hidden="1">
      <c r="A8" t="s">
        <v>920</v>
      </c>
      <c r="B8" s="16">
        <f>PI()/4*B6^2</f>
        <v>72.759776730991732</v>
      </c>
      <c r="C8" t="s">
        <v>884</v>
      </c>
      <c r="G8" s="35"/>
    </row>
    <row r="9" spans="1:7" hidden="1">
      <c r="A9" t="s">
        <v>921</v>
      </c>
      <c r="B9" s="16">
        <f>PI()/4*B7^2</f>
        <v>61.306001154901395</v>
      </c>
      <c r="C9" t="s">
        <v>884</v>
      </c>
      <c r="G9" s="58"/>
    </row>
    <row r="10" spans="1:7">
      <c r="A10" s="18" t="s">
        <v>919</v>
      </c>
      <c r="B10" s="14">
        <f>((B8*(1-(B4/65.4)))-(B9*(1-(B5/65.4))))/(B8-B9)</f>
        <v>0.3690771437207373</v>
      </c>
    </row>
    <row r="12" spans="1:7">
      <c r="G12" s="35" t="s">
        <v>1059</v>
      </c>
    </row>
  </sheetData>
  <sheetProtection password="EFD6" sheet="1" selectLockedCells="1"/>
  <hyperlinks>
    <hyperlink ref="G5" location="'Index Page'!A1" display="Back to the first page"/>
    <hyperlink ref="G7" r:id="rId1"/>
    <hyperlink ref="G12" r:id="rId2"/>
  </hyperlinks>
  <pageMargins left="0.75" right="0.75" top="1" bottom="1" header="0.5" footer="0.5"/>
  <pageSetup paperSize="9" orientation="portrait" horizontalDpi="1200" verticalDpi="1200" r:id="rId3"/>
  <headerFooter alignWithMargins="0"/>
</worksheet>
</file>

<file path=xl/worksheets/sheet25.xml><?xml version="1.0" encoding="utf-8"?>
<worksheet xmlns="http://schemas.openxmlformats.org/spreadsheetml/2006/main" xmlns:r="http://schemas.openxmlformats.org/officeDocument/2006/relationships">
  <dimension ref="A1:G8"/>
  <sheetViews>
    <sheetView showGridLines="0" workbookViewId="0">
      <selection activeCell="G5" sqref="G5"/>
    </sheetView>
  </sheetViews>
  <sheetFormatPr defaultRowHeight="13.5"/>
  <cols>
    <col min="1" max="1" width="20.42578125" style="203" customWidth="1"/>
    <col min="2" max="2" width="9.42578125" style="203" bestFit="1" customWidth="1"/>
    <col min="3" max="4" width="9.140625" style="203"/>
    <col min="5" max="6" width="2.42578125" style="203" customWidth="1"/>
    <col min="7" max="7" width="20.42578125" style="204" bestFit="1" customWidth="1"/>
    <col min="8" max="16384" width="9.140625" style="203"/>
  </cols>
  <sheetData>
    <row r="1" spans="1:7" ht="15">
      <c r="A1" s="308" t="s">
        <v>892</v>
      </c>
      <c r="B1" s="308"/>
    </row>
    <row r="3" spans="1:7">
      <c r="A3" s="205" t="s">
        <v>897</v>
      </c>
      <c r="B3" s="220">
        <v>60</v>
      </c>
      <c r="C3" s="206" t="s">
        <v>366</v>
      </c>
      <c r="G3" s="207" t="s">
        <v>631</v>
      </c>
    </row>
    <row r="4" spans="1:7">
      <c r="A4" s="205" t="s">
        <v>898</v>
      </c>
      <c r="B4" s="220">
        <v>1600</v>
      </c>
      <c r="C4" s="206" t="s">
        <v>366</v>
      </c>
      <c r="G4" s="208" t="s">
        <v>632</v>
      </c>
    </row>
    <row r="5" spans="1:7">
      <c r="A5" s="205" t="s">
        <v>470</v>
      </c>
      <c r="B5" s="221">
        <v>9.3000000000000007</v>
      </c>
      <c r="C5" s="206" t="s">
        <v>386</v>
      </c>
      <c r="G5" s="209" t="s">
        <v>24</v>
      </c>
    </row>
    <row r="6" spans="1:7">
      <c r="A6" s="205" t="s">
        <v>899</v>
      </c>
      <c r="B6" s="221">
        <v>8.6</v>
      </c>
      <c r="C6" s="206" t="s">
        <v>386</v>
      </c>
    </row>
    <row r="7" spans="1:7">
      <c r="A7" s="205" t="s">
        <v>900</v>
      </c>
      <c r="B7" s="220">
        <v>3000</v>
      </c>
      <c r="C7" s="206" t="s">
        <v>366</v>
      </c>
    </row>
    <row r="8" spans="1:7">
      <c r="A8" s="205" t="s">
        <v>892</v>
      </c>
      <c r="B8" s="210">
        <f>((B3+B4)*B5-(B4*B6))/(B7-B3-B4)</f>
        <v>1.2522388059701506</v>
      </c>
      <c r="C8" s="206" t="s">
        <v>386</v>
      </c>
    </row>
  </sheetData>
  <sheetProtection password="EFD6" sheet="1" objects="1" scenarios="1" selectLockedCells="1"/>
  <mergeCells count="1">
    <mergeCell ref="A1:B1"/>
  </mergeCells>
  <hyperlinks>
    <hyperlink ref="G5" location="'Index Page'!A1" display="Back to the first page"/>
  </hyperlink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G7"/>
  <sheetViews>
    <sheetView showGridLines="0" workbookViewId="0">
      <selection activeCell="G5" sqref="G5"/>
    </sheetView>
  </sheetViews>
  <sheetFormatPr defaultRowHeight="13.5"/>
  <cols>
    <col min="1" max="1" width="20.42578125" style="203" customWidth="1"/>
    <col min="2" max="2" width="9.42578125" style="203" bestFit="1" customWidth="1"/>
    <col min="3" max="4" width="9.140625" style="203"/>
    <col min="5" max="6" width="2.42578125" style="203" customWidth="1"/>
    <col min="7" max="7" width="20.42578125" style="204" bestFit="1" customWidth="1"/>
    <col min="8" max="16384" width="9.140625" style="203"/>
  </cols>
  <sheetData>
    <row r="1" spans="1:7">
      <c r="A1" s="211" t="s">
        <v>893</v>
      </c>
    </row>
    <row r="3" spans="1:7">
      <c r="A3" s="205" t="s">
        <v>901</v>
      </c>
      <c r="B3" s="220">
        <v>1400</v>
      </c>
      <c r="C3" s="206" t="s">
        <v>367</v>
      </c>
      <c r="G3" s="207" t="s">
        <v>631</v>
      </c>
    </row>
    <row r="4" spans="1:7">
      <c r="A4" s="205" t="s">
        <v>227</v>
      </c>
      <c r="B4" s="221">
        <v>11.5</v>
      </c>
      <c r="C4" s="206" t="s">
        <v>386</v>
      </c>
      <c r="G4" s="208" t="s">
        <v>632</v>
      </c>
    </row>
    <row r="5" spans="1:7">
      <c r="A5" s="205" t="s">
        <v>228</v>
      </c>
      <c r="B5" s="221">
        <v>12.5</v>
      </c>
      <c r="C5" s="206" t="s">
        <v>386</v>
      </c>
      <c r="G5" s="209" t="s">
        <v>24</v>
      </c>
    </row>
    <row r="6" spans="1:7">
      <c r="A6" s="205" t="s">
        <v>902</v>
      </c>
      <c r="B6" s="212">
        <f>B3*B5/B4</f>
        <v>1521.7391304347825</v>
      </c>
      <c r="C6" s="206" t="s">
        <v>367</v>
      </c>
    </row>
    <row r="7" spans="1:7">
      <c r="B7" s="213"/>
    </row>
  </sheetData>
  <sheetProtection password="EFD6" sheet="1" objects="1" scenarios="1" selectLockedCells="1"/>
  <hyperlinks>
    <hyperlink ref="G5" location="'Index Page'!A1" display="Back to the first page"/>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G7"/>
  <sheetViews>
    <sheetView showGridLines="0" workbookViewId="0">
      <selection activeCell="B3" sqref="B3"/>
    </sheetView>
  </sheetViews>
  <sheetFormatPr defaultRowHeight="13.5"/>
  <cols>
    <col min="1" max="1" width="20.42578125" style="203" customWidth="1"/>
    <col min="2" max="2" width="9.28515625" style="203" bestFit="1" customWidth="1"/>
    <col min="3" max="4" width="9.140625" style="203"/>
    <col min="5" max="6" width="2.42578125" style="203" customWidth="1"/>
    <col min="7" max="7" width="20.42578125" style="204" bestFit="1" customWidth="1"/>
    <col min="8" max="16384" width="9.140625" style="203"/>
  </cols>
  <sheetData>
    <row r="1" spans="1:7">
      <c r="A1" s="211" t="s">
        <v>894</v>
      </c>
    </row>
    <row r="3" spans="1:7">
      <c r="A3" s="205" t="s">
        <v>903</v>
      </c>
      <c r="B3" s="220">
        <v>1600</v>
      </c>
      <c r="C3" s="206" t="s">
        <v>367</v>
      </c>
      <c r="G3" s="207" t="s">
        <v>631</v>
      </c>
    </row>
    <row r="4" spans="1:7">
      <c r="A4" s="205" t="s">
        <v>904</v>
      </c>
      <c r="B4" s="220">
        <v>70</v>
      </c>
      <c r="C4" s="206" t="s">
        <v>905</v>
      </c>
      <c r="G4" s="208" t="s">
        <v>632</v>
      </c>
    </row>
    <row r="5" spans="1:7">
      <c r="A5" s="205" t="s">
        <v>906</v>
      </c>
      <c r="B5" s="220">
        <v>110</v>
      </c>
      <c r="C5" s="206" t="s">
        <v>905</v>
      </c>
      <c r="G5" s="209" t="s">
        <v>24</v>
      </c>
    </row>
    <row r="6" spans="1:7">
      <c r="A6" s="205" t="s">
        <v>907</v>
      </c>
      <c r="B6" s="214">
        <f>B3*(B5/B4)^2</f>
        <v>3951.0204081632651</v>
      </c>
      <c r="C6" s="206" t="s">
        <v>367</v>
      </c>
    </row>
    <row r="7" spans="1:7">
      <c r="B7" s="213"/>
    </row>
  </sheetData>
  <sheetProtection password="EFD6" sheet="1" objects="1" scenarios="1" selectLockedCells="1"/>
  <hyperlinks>
    <hyperlink ref="G5" location="'Index Page'!A1" display="Back to the first page"/>
  </hyperlink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G6"/>
  <sheetViews>
    <sheetView showGridLines="0" workbookViewId="0">
      <selection sqref="A1:D1"/>
    </sheetView>
  </sheetViews>
  <sheetFormatPr defaultRowHeight="12.75"/>
  <cols>
    <col min="1" max="1" width="20.42578125" style="203" customWidth="1"/>
    <col min="2" max="6" width="9.140625" style="203"/>
    <col min="7" max="7" width="20.42578125" style="203" bestFit="1" customWidth="1"/>
    <col min="8" max="16384" width="9.140625" style="203"/>
  </cols>
  <sheetData>
    <row r="1" spans="1:7">
      <c r="A1" s="309" t="s">
        <v>908</v>
      </c>
      <c r="B1" s="309"/>
      <c r="C1" s="309"/>
      <c r="D1" s="309"/>
    </row>
    <row r="2" spans="1:7" ht="13.5">
      <c r="G2" s="207" t="s">
        <v>631</v>
      </c>
    </row>
    <row r="3" spans="1:7" ht="13.5">
      <c r="A3" s="205" t="s">
        <v>909</v>
      </c>
      <c r="B3" s="277">
        <v>450</v>
      </c>
      <c r="C3" s="206" t="s">
        <v>367</v>
      </c>
      <c r="G3" s="208" t="s">
        <v>632</v>
      </c>
    </row>
    <row r="4" spans="1:7" ht="13.5">
      <c r="A4" s="205" t="s">
        <v>635</v>
      </c>
      <c r="B4" s="278">
        <v>12</v>
      </c>
      <c r="C4" s="206" t="s">
        <v>386</v>
      </c>
      <c r="G4" s="209" t="s">
        <v>24</v>
      </c>
    </row>
    <row r="5" spans="1:7" ht="13.5">
      <c r="A5" s="205" t="s">
        <v>324</v>
      </c>
      <c r="B5" s="278">
        <v>10</v>
      </c>
      <c r="C5" s="206" t="s">
        <v>386</v>
      </c>
    </row>
    <row r="6" spans="1:7" ht="13.5">
      <c r="A6" s="205" t="s">
        <v>910</v>
      </c>
      <c r="B6" s="215">
        <f>B3*B4/B5</f>
        <v>540</v>
      </c>
      <c r="C6" s="206" t="s">
        <v>367</v>
      </c>
    </row>
  </sheetData>
  <sheetProtection password="EFD6" sheet="1" selectLockedCells="1"/>
  <mergeCells count="1">
    <mergeCell ref="A1:D1"/>
  </mergeCells>
  <hyperlinks>
    <hyperlink ref="G4" location="'Index Page'!A1" display="Back to the first page"/>
  </hyperlink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E5"/>
  <sheetViews>
    <sheetView showGridLines="0" workbookViewId="0">
      <selection activeCell="E4" sqref="E4"/>
    </sheetView>
  </sheetViews>
  <sheetFormatPr defaultRowHeight="12.75"/>
  <cols>
    <col min="1" max="1" width="20.42578125" style="203" customWidth="1"/>
    <col min="2" max="4" width="9.140625" style="203"/>
    <col min="5" max="5" width="20.42578125" style="203" bestFit="1" customWidth="1"/>
    <col min="6" max="16384" width="9.140625" style="203"/>
  </cols>
  <sheetData>
    <row r="1" spans="1:5">
      <c r="A1" s="211" t="s">
        <v>908</v>
      </c>
    </row>
    <row r="2" spans="1:5">
      <c r="E2" s="216" t="s">
        <v>631</v>
      </c>
    </row>
    <row r="3" spans="1:5" ht="13.5">
      <c r="A3" s="205" t="s">
        <v>909</v>
      </c>
      <c r="B3" s="220">
        <v>400</v>
      </c>
      <c r="C3" s="206" t="s">
        <v>367</v>
      </c>
      <c r="E3" s="217" t="s">
        <v>632</v>
      </c>
    </row>
    <row r="4" spans="1:5" ht="13.5">
      <c r="A4" s="205" t="s">
        <v>911</v>
      </c>
      <c r="B4" s="220">
        <v>500</v>
      </c>
      <c r="C4" s="206" t="s">
        <v>367</v>
      </c>
      <c r="E4" s="85" t="s">
        <v>24</v>
      </c>
    </row>
    <row r="5" spans="1:5" ht="13.5">
      <c r="A5" s="205" t="s">
        <v>912</v>
      </c>
      <c r="B5" s="218">
        <f>B3+B4</f>
        <v>900</v>
      </c>
      <c r="C5" s="206" t="s">
        <v>367</v>
      </c>
    </row>
  </sheetData>
  <sheetProtection password="EFD6" sheet="1" selectLockedCells="1"/>
  <hyperlinks>
    <hyperlink ref="E4" location="'Index Page'!A1" display="Back to the first page"/>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FF00"/>
  </sheetPr>
  <dimension ref="A1:H19"/>
  <sheetViews>
    <sheetView showGridLines="0" workbookViewId="0">
      <selection activeCell="B3" sqref="B3"/>
    </sheetView>
  </sheetViews>
  <sheetFormatPr defaultRowHeight="12.75"/>
  <cols>
    <col min="1" max="1" width="37.5703125" style="203" bestFit="1" customWidth="1"/>
    <col min="2" max="7" width="9.140625" style="203"/>
    <col min="8" max="8" width="19" style="203" bestFit="1" customWidth="1"/>
    <col min="9" max="16384" width="9.140625" style="203"/>
  </cols>
  <sheetData>
    <row r="1" spans="1:8">
      <c r="A1" s="235" t="s">
        <v>1055</v>
      </c>
    </row>
    <row r="3" spans="1:8">
      <c r="A3" s="236" t="s">
        <v>964</v>
      </c>
      <c r="B3" s="257">
        <v>8.8350000000000009</v>
      </c>
    </row>
    <row r="4" spans="1:8">
      <c r="A4" s="236" t="s">
        <v>1041</v>
      </c>
      <c r="B4" s="258">
        <v>4</v>
      </c>
      <c r="H4" s="54" t="s">
        <v>373</v>
      </c>
    </row>
    <row r="5" spans="1:8">
      <c r="A5" s="236" t="s">
        <v>1042</v>
      </c>
      <c r="B5" s="259">
        <v>3.34</v>
      </c>
      <c r="H5" s="55" t="s">
        <v>372</v>
      </c>
    </row>
    <row r="6" spans="1:8">
      <c r="A6" s="236" t="s">
        <v>1043</v>
      </c>
      <c r="B6" s="260">
        <v>1200</v>
      </c>
      <c r="H6" s="35" t="s">
        <v>24</v>
      </c>
    </row>
    <row r="7" spans="1:8">
      <c r="A7" s="236" t="s">
        <v>1044</v>
      </c>
      <c r="B7" s="261">
        <v>20</v>
      </c>
    </row>
    <row r="8" spans="1:8">
      <c r="A8" s="236" t="s">
        <v>1045</v>
      </c>
      <c r="B8" s="261">
        <v>10</v>
      </c>
    </row>
    <row r="9" spans="1:8">
      <c r="A9" s="236" t="s">
        <v>1046</v>
      </c>
      <c r="B9" s="257">
        <v>0.5</v>
      </c>
    </row>
    <row r="10" spans="1:8">
      <c r="A10" s="237"/>
      <c r="B10" s="238"/>
    </row>
    <row r="11" spans="1:8">
      <c r="A11" s="236" t="s">
        <v>1047</v>
      </c>
      <c r="B11" s="279">
        <f>B6*B5^2/1029.4</f>
        <v>13.004390907324654</v>
      </c>
    </row>
    <row r="12" spans="1:8">
      <c r="A12" s="236" t="s">
        <v>1048</v>
      </c>
      <c r="B12" s="280">
        <f>B6-(B8*1029.4)/(B3^2-B4^2+B5^2)</f>
        <v>1059.3962191733485</v>
      </c>
    </row>
    <row r="13" spans="1:8">
      <c r="A13" s="236" t="s">
        <v>1049</v>
      </c>
      <c r="B13" s="280">
        <f>B6-(B8*1029.4)/(B3^2)</f>
        <v>1068.122393538843</v>
      </c>
    </row>
    <row r="14" spans="1:8">
      <c r="A14" s="239" t="s">
        <v>1050</v>
      </c>
      <c r="B14" s="279">
        <f>B12*B5^2/1029.4</f>
        <v>11.480668799893341</v>
      </c>
    </row>
    <row r="15" spans="1:8">
      <c r="A15" s="263" t="s">
        <v>1051</v>
      </c>
    </row>
    <row r="16" spans="1:8">
      <c r="A16" s="262" t="s">
        <v>1052</v>
      </c>
      <c r="B16" s="281">
        <f>IF(B11&gt;(B8),B8+B7,B7+B11)</f>
        <v>30</v>
      </c>
    </row>
    <row r="17" spans="1:2">
      <c r="A17" s="262" t="str">
        <f>IF(B11&gt;(B8),"Displace (bbl)", "String Out")</f>
        <v>Displace (bbl)</v>
      </c>
      <c r="B17" s="281">
        <f>IF(A17="Displace (bbl)",B11-B8+B9,"")</f>
        <v>3.5043909073246535</v>
      </c>
    </row>
    <row r="18" spans="1:2">
      <c r="A18" s="262" t="str">
        <f>IF(B11&gt;(B8),"String Out", "Pump Cement (bbl)")</f>
        <v>String Out</v>
      </c>
      <c r="B18" s="281" t="str">
        <f>IF(A18="String Out","",B8-B11)</f>
        <v/>
      </c>
    </row>
    <row r="19" spans="1:2">
      <c r="A19" s="262" t="s">
        <v>1053</v>
      </c>
      <c r="B19" s="281">
        <f>IF(B11&gt;(B8),B14-B17, B14+B9)</f>
        <v>7.976277892568687</v>
      </c>
    </row>
  </sheetData>
  <sheetProtection password="EFD6" sheet="1" selectLockedCells="1"/>
  <hyperlinks>
    <hyperlink ref="H6" location="'Index Page'!A1" display="Back to the first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E12"/>
  <sheetViews>
    <sheetView showGridLines="0" workbookViewId="0">
      <selection activeCell="B4" sqref="B3:B4"/>
    </sheetView>
  </sheetViews>
  <sheetFormatPr defaultRowHeight="12.75"/>
  <cols>
    <col min="1" max="1" width="36.42578125" bestFit="1" customWidth="1"/>
    <col min="2" max="2" width="11.28515625" bestFit="1" customWidth="1"/>
    <col min="5" max="6" width="19.7109375" customWidth="1"/>
  </cols>
  <sheetData>
    <row r="1" spans="1:5">
      <c r="A1" s="18" t="s">
        <v>879</v>
      </c>
    </row>
    <row r="3" spans="1:5">
      <c r="A3" t="s">
        <v>166</v>
      </c>
      <c r="B3" s="154">
        <v>5.5</v>
      </c>
      <c r="C3" t="s">
        <v>159</v>
      </c>
      <c r="E3" s="45" t="s">
        <v>631</v>
      </c>
    </row>
    <row r="4" spans="1:5">
      <c r="A4" s="27" t="s">
        <v>880</v>
      </c>
      <c r="B4" s="154">
        <v>4.2759999999999998</v>
      </c>
      <c r="C4" s="27" t="s">
        <v>159</v>
      </c>
      <c r="E4" s="46" t="s">
        <v>632</v>
      </c>
    </row>
    <row r="5" spans="1:5">
      <c r="A5" s="27" t="s">
        <v>886</v>
      </c>
      <c r="B5" s="276">
        <v>135000</v>
      </c>
      <c r="C5" t="s">
        <v>367</v>
      </c>
      <c r="E5" s="85" t="s">
        <v>24</v>
      </c>
    </row>
    <row r="6" spans="1:5">
      <c r="A6" s="27" t="s">
        <v>881</v>
      </c>
      <c r="B6" s="46">
        <f>(B3-B4)/2</f>
        <v>0.6120000000000001</v>
      </c>
      <c r="C6" s="27" t="s">
        <v>159</v>
      </c>
      <c r="E6" s="195"/>
    </row>
    <row r="7" spans="1:5">
      <c r="A7" s="27" t="s">
        <v>882</v>
      </c>
      <c r="B7" s="119">
        <f>B6*0.8</f>
        <v>0.48960000000000009</v>
      </c>
      <c r="C7" s="27" t="s">
        <v>159</v>
      </c>
      <c r="E7" s="30"/>
    </row>
    <row r="8" spans="1:5">
      <c r="A8" s="122" t="s">
        <v>883</v>
      </c>
      <c r="B8" s="119">
        <f>PI()/4*(B3^2-B4^2)</f>
        <v>9.3979361931371095</v>
      </c>
      <c r="C8" s="122" t="s">
        <v>884</v>
      </c>
      <c r="E8" s="194"/>
    </row>
    <row r="9" spans="1:5">
      <c r="A9" s="122" t="s">
        <v>885</v>
      </c>
      <c r="B9" s="119">
        <f>PI()/4*((B4+(2*B7))^2-(B4)^2)</f>
        <v>7.3300826058943089</v>
      </c>
      <c r="C9" s="122" t="s">
        <v>884</v>
      </c>
    </row>
    <row r="10" spans="1:5">
      <c r="A10" s="122" t="s">
        <v>890</v>
      </c>
      <c r="B10" s="275">
        <f>B8*B5</f>
        <v>1268721.3860735097</v>
      </c>
      <c r="C10" s="122" t="s">
        <v>42</v>
      </c>
    </row>
    <row r="11" spans="1:5">
      <c r="A11" s="122" t="s">
        <v>891</v>
      </c>
      <c r="B11" s="275">
        <f>B9*B5</f>
        <v>989561.15179573174</v>
      </c>
      <c r="C11" s="122" t="s">
        <v>42</v>
      </c>
    </row>
    <row r="12" spans="1:5">
      <c r="A12" s="29"/>
      <c r="B12" s="29"/>
      <c r="C12" s="29"/>
    </row>
  </sheetData>
  <sheetProtection password="EFD6" sheet="1" selectLockedCells="1"/>
  <hyperlinks>
    <hyperlink ref="E5" location="'Index Page'!A1" display="Back to the first page"/>
  </hyperlinks>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dimension ref="A1:E14"/>
  <sheetViews>
    <sheetView showGridLines="0" workbookViewId="0">
      <selection activeCell="E5" sqref="E5"/>
    </sheetView>
  </sheetViews>
  <sheetFormatPr defaultRowHeight="12.75"/>
  <cols>
    <col min="1" max="1" width="34.5703125" customWidth="1"/>
    <col min="2" max="2" width="9.42578125" customWidth="1"/>
    <col min="5" max="6" width="19.7109375" customWidth="1"/>
  </cols>
  <sheetData>
    <row r="1" spans="1:5">
      <c r="A1" s="18" t="s">
        <v>875</v>
      </c>
    </row>
    <row r="3" spans="1:5">
      <c r="A3" t="s">
        <v>69</v>
      </c>
      <c r="B3" s="154">
        <v>56</v>
      </c>
      <c r="E3" s="45" t="s">
        <v>631</v>
      </c>
    </row>
    <row r="4" spans="1:5">
      <c r="A4" s="27" t="s">
        <v>68</v>
      </c>
      <c r="B4" s="154">
        <v>35</v>
      </c>
      <c r="C4" s="27"/>
      <c r="E4" s="46" t="s">
        <v>632</v>
      </c>
    </row>
    <row r="5" spans="1:5">
      <c r="A5" s="27" t="s">
        <v>876</v>
      </c>
      <c r="B5" s="46">
        <f>B3-B4</f>
        <v>21</v>
      </c>
      <c r="C5" s="27" t="s">
        <v>840</v>
      </c>
      <c r="E5" s="85" t="s">
        <v>24</v>
      </c>
    </row>
    <row r="6" spans="1:5">
      <c r="A6" s="27" t="s">
        <v>877</v>
      </c>
      <c r="B6" s="46">
        <f>B4-B5</f>
        <v>14</v>
      </c>
      <c r="C6" s="27" t="s">
        <v>878</v>
      </c>
    </row>
    <row r="7" spans="1:5">
      <c r="A7" s="27"/>
      <c r="B7" s="122"/>
      <c r="C7" s="27"/>
      <c r="E7" s="58"/>
    </row>
    <row r="8" spans="1:5">
      <c r="A8" s="27"/>
      <c r="B8" s="200"/>
      <c r="C8" s="27"/>
      <c r="E8" s="195"/>
    </row>
    <row r="9" spans="1:5">
      <c r="A9" s="122"/>
      <c r="B9" s="197"/>
      <c r="C9" s="122"/>
      <c r="E9" s="30"/>
    </row>
    <row r="10" spans="1:5">
      <c r="A10" s="122"/>
      <c r="B10" s="110"/>
      <c r="C10" s="122"/>
      <c r="E10" s="193" t="s">
        <v>830</v>
      </c>
    </row>
    <row r="11" spans="1:5">
      <c r="A11" s="122"/>
      <c r="B11" s="110"/>
      <c r="C11" s="122"/>
    </row>
    <row r="12" spans="1:5">
      <c r="A12" s="122"/>
      <c r="B12" s="29"/>
      <c r="C12" s="122"/>
    </row>
    <row r="13" spans="1:5">
      <c r="A13" s="122"/>
      <c r="B13" s="110"/>
      <c r="C13" s="122"/>
    </row>
    <row r="14" spans="1:5">
      <c r="A14" s="29"/>
      <c r="B14" s="29"/>
      <c r="C14" s="29"/>
    </row>
  </sheetData>
  <sheetProtection password="EFD6" sheet="1" objects="1" scenarios="1" selectLockedCells="1"/>
  <hyperlinks>
    <hyperlink ref="E5" location="'Index Page'!A1" display="Back to the first page"/>
    <hyperlink ref="E10" r:id="rId1"/>
  </hyperlinks>
  <pageMargins left="0.7" right="0.7" top="0.75" bottom="0.75" header="0.3" footer="0.3"/>
  <pageSetup paperSize="9" orientation="portrait" horizontalDpi="1200" verticalDpi="1200" r:id="rId2"/>
</worksheet>
</file>

<file path=xl/worksheets/sheet32.xml><?xml version="1.0" encoding="utf-8"?>
<worksheet xmlns="http://schemas.openxmlformats.org/spreadsheetml/2006/main" xmlns:r="http://schemas.openxmlformats.org/officeDocument/2006/relationships">
  <dimension ref="A1:E9"/>
  <sheetViews>
    <sheetView showGridLines="0" workbookViewId="0">
      <selection activeCell="E4" sqref="E4"/>
    </sheetView>
  </sheetViews>
  <sheetFormatPr defaultRowHeight="12.75"/>
  <cols>
    <col min="1" max="1" width="34.5703125" customWidth="1"/>
    <col min="2" max="2" width="9.42578125" customWidth="1"/>
    <col min="5" max="6" width="19.7109375" customWidth="1"/>
  </cols>
  <sheetData>
    <row r="1" spans="1:5">
      <c r="A1" s="18" t="s">
        <v>961</v>
      </c>
    </row>
    <row r="2" spans="1:5">
      <c r="E2" s="45" t="s">
        <v>631</v>
      </c>
    </row>
    <row r="3" spans="1:5">
      <c r="A3" s="27" t="s">
        <v>869</v>
      </c>
      <c r="B3" s="198">
        <v>300</v>
      </c>
      <c r="C3" s="27" t="s">
        <v>158</v>
      </c>
      <c r="E3" s="46" t="s">
        <v>632</v>
      </c>
    </row>
    <row r="4" spans="1:5">
      <c r="A4" s="27" t="s">
        <v>870</v>
      </c>
      <c r="B4" s="154">
        <v>100</v>
      </c>
      <c r="C4" s="27" t="s">
        <v>158</v>
      </c>
      <c r="E4" s="85" t="s">
        <v>24</v>
      </c>
    </row>
    <row r="5" spans="1:5">
      <c r="A5" s="27" t="s">
        <v>871</v>
      </c>
      <c r="B5" s="46">
        <f>B3-B4</f>
        <v>200</v>
      </c>
      <c r="C5" s="27" t="s">
        <v>386</v>
      </c>
    </row>
    <row r="6" spans="1:5">
      <c r="A6" s="122" t="s">
        <v>863</v>
      </c>
      <c r="B6" s="121">
        <f>B3/B4</f>
        <v>3</v>
      </c>
      <c r="C6" s="122"/>
      <c r="E6" s="193" t="s">
        <v>830</v>
      </c>
    </row>
    <row r="7" spans="1:5">
      <c r="A7" s="122"/>
      <c r="B7" s="201"/>
      <c r="C7" s="122"/>
      <c r="E7" s="58"/>
    </row>
    <row r="8" spans="1:5">
      <c r="A8" s="122"/>
      <c r="B8" s="200"/>
      <c r="C8" s="122"/>
      <c r="E8" s="58" t="s">
        <v>513</v>
      </c>
    </row>
    <row r="9" spans="1:5">
      <c r="E9" s="85" t="s">
        <v>872</v>
      </c>
    </row>
  </sheetData>
  <sheetProtection selectLockedCells="1"/>
  <hyperlinks>
    <hyperlink ref="E4" location="'Index Page'!A1" display="Back to the first page"/>
    <hyperlink ref="E6" r:id="rId1"/>
    <hyperlink ref="E9" r:id="rId2"/>
  </hyperlinks>
  <pageMargins left="0.7" right="0.7" top="0.75" bottom="0.75" header="0.3" footer="0.3"/>
  <pageSetup paperSize="9" orientation="portrait" horizontalDpi="1200" verticalDpi="1200" r:id="rId3"/>
</worksheet>
</file>

<file path=xl/worksheets/sheet33.xml><?xml version="1.0" encoding="utf-8"?>
<worksheet xmlns="http://schemas.openxmlformats.org/spreadsheetml/2006/main" xmlns:r="http://schemas.openxmlformats.org/officeDocument/2006/relationships">
  <dimension ref="A1:E18"/>
  <sheetViews>
    <sheetView showGridLines="0" workbookViewId="0">
      <selection activeCell="E5" sqref="E5"/>
    </sheetView>
  </sheetViews>
  <sheetFormatPr defaultRowHeight="12.75"/>
  <cols>
    <col min="1" max="1" width="34.5703125" customWidth="1"/>
    <col min="2" max="2" width="9.42578125" customWidth="1"/>
    <col min="5" max="6" width="19.7109375" customWidth="1"/>
  </cols>
  <sheetData>
    <row r="1" spans="1:5">
      <c r="A1" s="18" t="s">
        <v>874</v>
      </c>
    </row>
    <row r="2" spans="1:5">
      <c r="A2" s="18"/>
    </row>
    <row r="3" spans="1:5">
      <c r="A3" s="310" t="s">
        <v>861</v>
      </c>
      <c r="B3" s="310"/>
      <c r="E3" s="45" t="s">
        <v>631</v>
      </c>
    </row>
    <row r="4" spans="1:5">
      <c r="E4" s="46" t="s">
        <v>632</v>
      </c>
    </row>
    <row r="5" spans="1:5">
      <c r="A5" s="27" t="s">
        <v>862</v>
      </c>
      <c r="B5" s="198">
        <v>50000</v>
      </c>
      <c r="C5" s="27" t="s">
        <v>42</v>
      </c>
      <c r="E5" s="85" t="s">
        <v>24</v>
      </c>
    </row>
    <row r="6" spans="1:5">
      <c r="A6" s="27" t="s">
        <v>863</v>
      </c>
      <c r="B6" s="154">
        <v>25</v>
      </c>
      <c r="C6" s="27" t="s">
        <v>169</v>
      </c>
    </row>
    <row r="7" spans="1:5">
      <c r="A7" s="27" t="s">
        <v>470</v>
      </c>
      <c r="B7" s="154">
        <v>12</v>
      </c>
      <c r="C7" s="27" t="s">
        <v>386</v>
      </c>
    </row>
    <row r="8" spans="1:5">
      <c r="A8" s="27" t="s">
        <v>865</v>
      </c>
      <c r="B8" s="120">
        <f>(65.5-B7)/65.5</f>
        <v>0.81679389312977102</v>
      </c>
      <c r="C8" s="27"/>
    </row>
    <row r="9" spans="1:5">
      <c r="A9" s="27" t="s">
        <v>860</v>
      </c>
      <c r="B9" s="199">
        <f>B5*(1+(B6/100))/B8</f>
        <v>76518.691588785048</v>
      </c>
      <c r="C9" s="27" t="s">
        <v>42</v>
      </c>
      <c r="E9" s="58"/>
    </row>
    <row r="10" spans="1:5">
      <c r="A10" s="27"/>
      <c r="B10" s="200"/>
      <c r="C10" s="27"/>
      <c r="E10" s="195"/>
    </row>
    <row r="11" spans="1:5">
      <c r="A11" s="310" t="s">
        <v>866</v>
      </c>
      <c r="B11" s="310"/>
      <c r="C11" s="122"/>
      <c r="E11" s="194"/>
    </row>
    <row r="12" spans="1:5">
      <c r="A12" s="122"/>
      <c r="B12" s="110"/>
      <c r="C12" s="122"/>
      <c r="E12" s="193" t="s">
        <v>830</v>
      </c>
    </row>
    <row r="13" spans="1:5">
      <c r="A13" s="27" t="s">
        <v>862</v>
      </c>
      <c r="B13" s="198">
        <v>50000</v>
      </c>
      <c r="C13" s="27" t="s">
        <v>42</v>
      </c>
    </row>
    <row r="14" spans="1:5">
      <c r="A14" s="27" t="s">
        <v>863</v>
      </c>
      <c r="B14" s="154">
        <v>25</v>
      </c>
      <c r="C14" s="27" t="s">
        <v>169</v>
      </c>
    </row>
    <row r="15" spans="1:5">
      <c r="A15" s="27" t="s">
        <v>470</v>
      </c>
      <c r="B15" s="154">
        <v>12</v>
      </c>
      <c r="C15" s="27" t="s">
        <v>386</v>
      </c>
      <c r="E15" s="58" t="s">
        <v>513</v>
      </c>
    </row>
    <row r="16" spans="1:5">
      <c r="A16" s="27" t="s">
        <v>867</v>
      </c>
      <c r="B16" s="154">
        <v>30</v>
      </c>
      <c r="C16" s="27" t="s">
        <v>868</v>
      </c>
      <c r="E16" s="85" t="s">
        <v>873</v>
      </c>
    </row>
    <row r="17" spans="1:3">
      <c r="A17" s="27" t="s">
        <v>865</v>
      </c>
      <c r="B17" s="120">
        <f>(65.5-B15)/65.5</f>
        <v>0.81679389312977102</v>
      </c>
      <c r="C17" s="27"/>
    </row>
    <row r="18" spans="1:3">
      <c r="A18" s="27" t="s">
        <v>860</v>
      </c>
      <c r="B18" s="199">
        <f>B13*(1+(B14/100))/(B17*COS(B16*PI()/180))</f>
        <v>88356.17437364599</v>
      </c>
      <c r="C18" s="27" t="s">
        <v>42</v>
      </c>
    </row>
  </sheetData>
  <sheetProtection password="EFD6" sheet="1" selectLockedCells="1"/>
  <mergeCells count="2">
    <mergeCell ref="A3:B3"/>
    <mergeCell ref="A11:B11"/>
  </mergeCells>
  <hyperlinks>
    <hyperlink ref="E5" location="'Index Page'!A1" display="Back to the first page"/>
    <hyperlink ref="E12" r:id="rId1"/>
    <hyperlink ref="E16" r:id="rId2"/>
  </hyperlinks>
  <pageMargins left="0.7" right="0.7" top="0.75" bottom="0.75" header="0.3" footer="0.3"/>
  <pageSetup paperSize="9" orientation="portrait" horizontalDpi="1200" verticalDpi="1200" r:id="rId3"/>
</worksheet>
</file>

<file path=xl/worksheets/sheet34.xml><?xml version="1.0" encoding="utf-8"?>
<worksheet xmlns="http://schemas.openxmlformats.org/spreadsheetml/2006/main" xmlns:r="http://schemas.openxmlformats.org/officeDocument/2006/relationships">
  <dimension ref="A1:E14"/>
  <sheetViews>
    <sheetView showGridLines="0" workbookViewId="0">
      <selection activeCell="E5" sqref="E5"/>
    </sheetView>
  </sheetViews>
  <sheetFormatPr defaultRowHeight="12.75"/>
  <cols>
    <col min="1" max="1" width="34.5703125" customWidth="1"/>
    <col min="2" max="2" width="9.42578125" customWidth="1"/>
    <col min="5" max="6" width="19.7109375" customWidth="1"/>
  </cols>
  <sheetData>
    <row r="1" spans="1:5">
      <c r="A1" s="18" t="s">
        <v>853</v>
      </c>
    </row>
    <row r="3" spans="1:5">
      <c r="A3" t="s">
        <v>859</v>
      </c>
      <c r="B3" s="198">
        <v>10000</v>
      </c>
      <c r="C3" t="s">
        <v>366</v>
      </c>
      <c r="E3" s="45" t="s">
        <v>631</v>
      </c>
    </row>
    <row r="4" spans="1:5">
      <c r="A4" s="27" t="s">
        <v>854</v>
      </c>
      <c r="B4" s="154">
        <v>80</v>
      </c>
      <c r="C4" s="27" t="s">
        <v>1</v>
      </c>
      <c r="E4" s="46" t="s">
        <v>632</v>
      </c>
    </row>
    <row r="5" spans="1:5">
      <c r="A5" s="27" t="s">
        <v>855</v>
      </c>
      <c r="B5" s="154">
        <v>375</v>
      </c>
      <c r="C5" s="27" t="s">
        <v>1</v>
      </c>
      <c r="E5" s="85" t="s">
        <v>24</v>
      </c>
    </row>
    <row r="6" spans="1:5">
      <c r="A6" s="27" t="s">
        <v>856</v>
      </c>
      <c r="B6" s="46">
        <f>(B4+B5)/2</f>
        <v>227.5</v>
      </c>
      <c r="C6" s="27" t="s">
        <v>1</v>
      </c>
    </row>
    <row r="7" spans="1:5">
      <c r="A7" s="27" t="s">
        <v>857</v>
      </c>
      <c r="B7" s="46">
        <f>B5-B6</f>
        <v>147.5</v>
      </c>
      <c r="C7" s="27" t="s">
        <v>1</v>
      </c>
      <c r="E7" s="58" t="s">
        <v>513</v>
      </c>
    </row>
    <row r="8" spans="1:5">
      <c r="A8" s="27" t="s">
        <v>858</v>
      </c>
      <c r="B8" s="120">
        <f>(B3/100)*(B7/100)*0.83</f>
        <v>122.425</v>
      </c>
      <c r="C8" s="27" t="s">
        <v>159</v>
      </c>
      <c r="E8" s="195"/>
    </row>
    <row r="9" spans="1:5">
      <c r="A9" s="122"/>
      <c r="B9" s="197"/>
      <c r="C9" s="122"/>
      <c r="E9" s="30" t="s">
        <v>864</v>
      </c>
    </row>
    <row r="10" spans="1:5">
      <c r="A10" s="122"/>
      <c r="B10" s="110"/>
      <c r="C10" s="122"/>
      <c r="E10" s="193" t="s">
        <v>830</v>
      </c>
    </row>
    <row r="11" spans="1:5">
      <c r="A11" s="122"/>
      <c r="B11" s="110"/>
      <c r="C11" s="122"/>
    </row>
    <row r="12" spans="1:5">
      <c r="A12" s="122"/>
      <c r="B12" s="29"/>
      <c r="C12" s="122"/>
    </row>
    <row r="13" spans="1:5">
      <c r="A13" s="122"/>
      <c r="B13" s="110"/>
      <c r="C13" s="122"/>
    </row>
    <row r="14" spans="1:5">
      <c r="A14" s="29"/>
      <c r="B14" s="29"/>
      <c r="C14" s="29"/>
    </row>
  </sheetData>
  <sheetProtection password="EFD6" sheet="1" objects="1" scenarios="1" selectLockedCells="1"/>
  <hyperlinks>
    <hyperlink ref="E5" location="'Index Page'!A1" display="Back to the first page"/>
    <hyperlink ref="E10" r:id="rId1"/>
    <hyperlink ref="E9" r:id="rId2"/>
  </hyperlink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E12"/>
  <sheetViews>
    <sheetView showGridLines="0" workbookViewId="0">
      <selection activeCell="E9" sqref="E9"/>
    </sheetView>
  </sheetViews>
  <sheetFormatPr defaultRowHeight="12.75"/>
  <cols>
    <col min="1" max="1" width="34.5703125" customWidth="1"/>
    <col min="5" max="6" width="19.7109375" customWidth="1"/>
  </cols>
  <sheetData>
    <row r="1" spans="1:5">
      <c r="A1" s="18" t="s">
        <v>841</v>
      </c>
    </row>
    <row r="3" spans="1:5">
      <c r="A3" s="27" t="s">
        <v>384</v>
      </c>
      <c r="B3" s="154">
        <v>13.5</v>
      </c>
      <c r="C3" s="27" t="s">
        <v>386</v>
      </c>
      <c r="E3" s="45" t="s">
        <v>631</v>
      </c>
    </row>
    <row r="4" spans="1:5">
      <c r="A4" s="27" t="s">
        <v>68</v>
      </c>
      <c r="B4" s="154">
        <v>25</v>
      </c>
      <c r="E4" s="46" t="s">
        <v>632</v>
      </c>
    </row>
    <row r="5" spans="1:5">
      <c r="A5" s="27" t="s">
        <v>69</v>
      </c>
      <c r="B5" s="154">
        <v>40</v>
      </c>
      <c r="E5" s="85" t="s">
        <v>24</v>
      </c>
    </row>
    <row r="6" spans="1:5">
      <c r="A6" s="27" t="s">
        <v>838</v>
      </c>
      <c r="B6" s="154">
        <v>6.2</v>
      </c>
      <c r="C6" s="27" t="s">
        <v>159</v>
      </c>
    </row>
    <row r="7" spans="1:5">
      <c r="A7" s="27" t="s">
        <v>837</v>
      </c>
      <c r="B7" s="154">
        <v>4</v>
      </c>
      <c r="C7" s="27" t="s">
        <v>159</v>
      </c>
      <c r="E7" s="58" t="s">
        <v>513</v>
      </c>
    </row>
    <row r="8" spans="1:5">
      <c r="A8" s="27" t="s">
        <v>653</v>
      </c>
      <c r="B8" s="154">
        <v>200</v>
      </c>
      <c r="C8" s="27" t="s">
        <v>386</v>
      </c>
      <c r="E8" s="195" t="s">
        <v>846</v>
      </c>
    </row>
    <row r="9" spans="1:5">
      <c r="A9" s="27" t="s">
        <v>842</v>
      </c>
      <c r="B9" s="138">
        <f>(24.5*B8)/(B6^2-B7^2)</f>
        <v>218.36007130124773</v>
      </c>
      <c r="C9" s="27" t="s">
        <v>427</v>
      </c>
      <c r="E9" s="194"/>
    </row>
    <row r="10" spans="1:5">
      <c r="A10" s="27" t="s">
        <v>70</v>
      </c>
      <c r="B10" s="138">
        <f>B5-B4</f>
        <v>15</v>
      </c>
      <c r="C10" s="27"/>
      <c r="E10" s="193" t="s">
        <v>830</v>
      </c>
    </row>
    <row r="11" spans="1:5">
      <c r="A11" s="27" t="s">
        <v>800</v>
      </c>
      <c r="B11" s="151">
        <f>B4-(B5-B4)</f>
        <v>10</v>
      </c>
      <c r="C11" s="27" t="s">
        <v>840</v>
      </c>
    </row>
    <row r="12" spans="1:5">
      <c r="A12" s="27" t="s">
        <v>839</v>
      </c>
      <c r="B12" s="138">
        <f>B3+(0.1/(B6-B7))*(B11+(B10*B9)/(300*(B6-B7)))</f>
        <v>14.180124040600463</v>
      </c>
      <c r="C12" s="27" t="s">
        <v>386</v>
      </c>
    </row>
  </sheetData>
  <sheetProtection password="EFD6" sheet="1" selectLockedCells="1"/>
  <hyperlinks>
    <hyperlink ref="E5" location="'Index Page'!A1" display="Back to the first page"/>
    <hyperlink ref="E10"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E10"/>
  <sheetViews>
    <sheetView showGridLines="0" workbookViewId="0">
      <selection activeCell="B3" sqref="B3"/>
    </sheetView>
  </sheetViews>
  <sheetFormatPr defaultRowHeight="12.75"/>
  <cols>
    <col min="1" max="1" width="34.5703125" customWidth="1"/>
    <col min="5" max="6" width="19.7109375" customWidth="1"/>
  </cols>
  <sheetData>
    <row r="1" spans="1:5">
      <c r="A1" s="18" t="s">
        <v>836</v>
      </c>
    </row>
    <row r="3" spans="1:5">
      <c r="A3" s="27" t="s">
        <v>384</v>
      </c>
      <c r="B3" s="154">
        <v>9.1999999999999993</v>
      </c>
      <c r="C3" s="27" t="s">
        <v>386</v>
      </c>
      <c r="E3" s="45" t="s">
        <v>631</v>
      </c>
    </row>
    <row r="4" spans="1:5">
      <c r="A4" s="27" t="s">
        <v>68</v>
      </c>
      <c r="B4" s="154">
        <v>25</v>
      </c>
      <c r="E4" s="46" t="s">
        <v>632</v>
      </c>
    </row>
    <row r="5" spans="1:5">
      <c r="A5" s="27" t="s">
        <v>69</v>
      </c>
      <c r="B5" s="154">
        <v>40</v>
      </c>
      <c r="E5" s="85" t="s">
        <v>24</v>
      </c>
    </row>
    <row r="6" spans="1:5">
      <c r="A6" s="27" t="s">
        <v>838</v>
      </c>
      <c r="B6" s="154">
        <v>6.2</v>
      </c>
      <c r="C6" s="27" t="s">
        <v>159</v>
      </c>
    </row>
    <row r="7" spans="1:5">
      <c r="A7" s="27" t="s">
        <v>837</v>
      </c>
      <c r="B7" s="154">
        <v>4</v>
      </c>
      <c r="C7" s="27" t="s">
        <v>159</v>
      </c>
      <c r="E7" s="58" t="s">
        <v>513</v>
      </c>
    </row>
    <row r="8" spans="1:5">
      <c r="A8" s="27" t="s">
        <v>800</v>
      </c>
      <c r="B8" s="151">
        <f>B4-(B5-B4)</f>
        <v>10</v>
      </c>
      <c r="C8" s="27" t="s">
        <v>840</v>
      </c>
      <c r="E8" s="30" t="s">
        <v>845</v>
      </c>
    </row>
    <row r="9" spans="1:5">
      <c r="A9" s="27" t="s">
        <v>839</v>
      </c>
      <c r="B9" s="138">
        <f>B3+(0.1*B8/(B6-B7))</f>
        <v>9.6545454545454543</v>
      </c>
      <c r="C9" s="27" t="s">
        <v>386</v>
      </c>
    </row>
    <row r="10" spans="1:5">
      <c r="E10" s="193" t="s">
        <v>830</v>
      </c>
    </row>
  </sheetData>
  <hyperlinks>
    <hyperlink ref="E5" location="'Index Page'!A1" display="Back to the first page"/>
    <hyperlink ref="E10" r:id="rId1"/>
    <hyperlink ref="E8" r:id="rId2"/>
  </hyperlink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E7"/>
  <sheetViews>
    <sheetView showGridLines="0" workbookViewId="0">
      <selection activeCell="E12" sqref="E12"/>
    </sheetView>
  </sheetViews>
  <sheetFormatPr defaultRowHeight="12.75"/>
  <cols>
    <col min="1" max="1" width="28.85546875" bestFit="1" customWidth="1"/>
    <col min="5" max="5" width="53.7109375" customWidth="1"/>
  </cols>
  <sheetData>
    <row r="1" spans="1:5">
      <c r="A1" s="18" t="s">
        <v>826</v>
      </c>
    </row>
    <row r="3" spans="1:5">
      <c r="A3" s="27" t="s">
        <v>827</v>
      </c>
      <c r="B3" s="154">
        <v>0.2</v>
      </c>
      <c r="C3" s="27" t="s">
        <v>828</v>
      </c>
      <c r="E3" s="45" t="s">
        <v>631</v>
      </c>
    </row>
    <row r="4" spans="1:5">
      <c r="A4" s="27" t="s">
        <v>653</v>
      </c>
      <c r="B4" s="154">
        <v>300</v>
      </c>
      <c r="C4" s="27" t="s">
        <v>429</v>
      </c>
      <c r="E4" s="46" t="s">
        <v>632</v>
      </c>
    </row>
    <row r="5" spans="1:5">
      <c r="A5" s="27" t="s">
        <v>829</v>
      </c>
      <c r="B5" s="154">
        <v>200</v>
      </c>
      <c r="C5" s="27" t="s">
        <v>273</v>
      </c>
      <c r="E5" s="85" t="s">
        <v>24</v>
      </c>
    </row>
    <row r="6" spans="1:5">
      <c r="A6" s="27" t="s">
        <v>826</v>
      </c>
      <c r="B6" s="151">
        <f>B5+(B4*B3)</f>
        <v>260</v>
      </c>
      <c r="C6" s="27" t="s">
        <v>273</v>
      </c>
    </row>
    <row r="7" spans="1:5">
      <c r="E7" s="193" t="s">
        <v>830</v>
      </c>
    </row>
  </sheetData>
  <sheetProtection selectLockedCells="1"/>
  <hyperlinks>
    <hyperlink ref="E5" location="'Index Page'!A1" display="Back to the first page"/>
    <hyperlink ref="E7" r:id="rId1"/>
  </hyperlinks>
  <pageMargins left="0.7" right="0.7" top="0.75" bottom="0.75" header="0.3" footer="0.3"/>
  <pageSetup paperSize="9" orientation="portrait" horizontalDpi="200" verticalDpi="200" r:id="rId2"/>
</worksheet>
</file>

<file path=xl/worksheets/sheet38.xml><?xml version="1.0" encoding="utf-8"?>
<worksheet xmlns="http://schemas.openxmlformats.org/spreadsheetml/2006/main" xmlns:r="http://schemas.openxmlformats.org/officeDocument/2006/relationships">
  <dimension ref="A1:F9"/>
  <sheetViews>
    <sheetView showGridLines="0" workbookViewId="0">
      <selection activeCell="F9" sqref="F9"/>
    </sheetView>
  </sheetViews>
  <sheetFormatPr defaultRowHeight="12.75"/>
  <cols>
    <col min="1" max="1" width="25.85546875" customWidth="1"/>
    <col min="6" max="6" width="53.7109375" customWidth="1"/>
  </cols>
  <sheetData>
    <row r="1" spans="1:6">
      <c r="A1" s="18" t="s">
        <v>824</v>
      </c>
    </row>
    <row r="2" spans="1:6">
      <c r="A2" s="27" t="s">
        <v>653</v>
      </c>
      <c r="B2" s="107">
        <v>800</v>
      </c>
      <c r="C2" s="27" t="s">
        <v>429</v>
      </c>
      <c r="F2" s="45" t="s">
        <v>631</v>
      </c>
    </row>
    <row r="3" spans="1:6">
      <c r="A3" s="27" t="s">
        <v>470</v>
      </c>
      <c r="B3" s="107">
        <v>9</v>
      </c>
      <c r="C3" s="27" t="s">
        <v>386</v>
      </c>
      <c r="F3" s="46" t="s">
        <v>632</v>
      </c>
    </row>
    <row r="4" spans="1:6" ht="14.25">
      <c r="A4" s="30" t="s">
        <v>825</v>
      </c>
      <c r="B4" s="191">
        <v>0.37275733145621082</v>
      </c>
      <c r="C4" s="27" t="s">
        <v>39</v>
      </c>
      <c r="F4" s="85" t="s">
        <v>24</v>
      </c>
    </row>
    <row r="5" spans="1:6">
      <c r="A5" s="27" t="s">
        <v>824</v>
      </c>
      <c r="B5" s="53">
        <f>B2^2*B3/(12031*B4^2)</f>
        <v>3445.6278468919827</v>
      </c>
      <c r="C5" s="27" t="s">
        <v>367</v>
      </c>
    </row>
    <row r="6" spans="1:6">
      <c r="F6" s="58" t="s">
        <v>513</v>
      </c>
    </row>
    <row r="7" spans="1:6">
      <c r="F7" s="30" t="s">
        <v>847</v>
      </c>
    </row>
    <row r="9" spans="1:6">
      <c r="F9" s="193" t="s">
        <v>830</v>
      </c>
    </row>
  </sheetData>
  <sheetProtection password="EFD6" sheet="1" selectLockedCells="1"/>
  <hyperlinks>
    <hyperlink ref="F4" location="'Index Page'!A1" display="Back to the first page"/>
    <hyperlink ref="A4" location="'TFA Table'!A1" display="Total Flow Area"/>
    <hyperlink ref="F9" r:id="rId1"/>
    <hyperlink ref="F7" r:id="rId2"/>
  </hyperlink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F31"/>
  <sheetViews>
    <sheetView showGridLines="0" workbookViewId="0">
      <selection activeCell="B13" sqref="B13"/>
    </sheetView>
  </sheetViews>
  <sheetFormatPr defaultRowHeight="12.75"/>
  <cols>
    <col min="1" max="1" width="28" customWidth="1"/>
    <col min="2" max="2" width="11.42578125" bestFit="1" customWidth="1"/>
    <col min="6" max="6" width="53.85546875" customWidth="1"/>
  </cols>
  <sheetData>
    <row r="1" spans="1:6">
      <c r="A1" s="18" t="s">
        <v>796</v>
      </c>
    </row>
    <row r="3" spans="1:6">
      <c r="A3" s="27" t="s">
        <v>797</v>
      </c>
      <c r="B3" s="192">
        <v>8.5</v>
      </c>
      <c r="C3" s="27" t="s">
        <v>159</v>
      </c>
      <c r="F3" s="45" t="s">
        <v>631</v>
      </c>
    </row>
    <row r="4" spans="1:6">
      <c r="A4" s="27" t="s">
        <v>798</v>
      </c>
      <c r="B4" s="154">
        <v>6000</v>
      </c>
      <c r="C4" s="27" t="s">
        <v>366</v>
      </c>
      <c r="F4" s="46" t="s">
        <v>632</v>
      </c>
    </row>
    <row r="5" spans="1:6">
      <c r="A5" s="27" t="s">
        <v>821</v>
      </c>
      <c r="B5" s="154">
        <v>4500</v>
      </c>
      <c r="C5" s="27" t="s">
        <v>367</v>
      </c>
      <c r="F5" s="85" t="s">
        <v>24</v>
      </c>
    </row>
    <row r="6" spans="1:6">
      <c r="A6" s="311" t="s">
        <v>799</v>
      </c>
      <c r="B6" s="311"/>
    </row>
    <row r="7" spans="1:6" ht="15">
      <c r="A7" s="27" t="s">
        <v>656</v>
      </c>
      <c r="B7" s="154">
        <v>9.5</v>
      </c>
      <c r="C7" s="27" t="s">
        <v>386</v>
      </c>
      <c r="F7" s="196" t="s">
        <v>513</v>
      </c>
    </row>
    <row r="8" spans="1:6">
      <c r="A8" s="27" t="s">
        <v>70</v>
      </c>
      <c r="B8" s="154">
        <v>14</v>
      </c>
      <c r="F8" s="30" t="s">
        <v>848</v>
      </c>
    </row>
    <row r="9" spans="1:6">
      <c r="A9" s="27" t="s">
        <v>800</v>
      </c>
      <c r="B9" s="154">
        <v>11</v>
      </c>
    </row>
    <row r="10" spans="1:6">
      <c r="A10" s="27" t="s">
        <v>801</v>
      </c>
      <c r="B10" s="154">
        <v>3</v>
      </c>
      <c r="F10" s="193" t="s">
        <v>830</v>
      </c>
    </row>
    <row r="11" spans="1:6">
      <c r="A11" s="27" t="s">
        <v>802</v>
      </c>
      <c r="B11" s="154">
        <v>30</v>
      </c>
    </row>
    <row r="12" spans="1:6">
      <c r="A12" s="27" t="s">
        <v>803</v>
      </c>
      <c r="B12" s="154">
        <v>33</v>
      </c>
      <c r="C12" s="27" t="s">
        <v>159</v>
      </c>
    </row>
    <row r="13" spans="1:6">
      <c r="A13" s="27" t="s">
        <v>775</v>
      </c>
      <c r="B13" s="154">
        <v>5</v>
      </c>
      <c r="C13" s="27" t="s">
        <v>159</v>
      </c>
    </row>
    <row r="14" spans="1:6">
      <c r="A14" s="27" t="s">
        <v>804</v>
      </c>
      <c r="B14" s="154">
        <v>4.2</v>
      </c>
      <c r="C14" s="27" t="s">
        <v>159</v>
      </c>
    </row>
    <row r="15" spans="1:6">
      <c r="A15" s="27" t="s">
        <v>805</v>
      </c>
      <c r="B15" s="154">
        <v>6.5</v>
      </c>
      <c r="C15" s="27" t="s">
        <v>159</v>
      </c>
    </row>
    <row r="16" spans="1:6">
      <c r="A16" s="27" t="s">
        <v>806</v>
      </c>
      <c r="B16" s="172">
        <v>3.5</v>
      </c>
      <c r="C16" s="27" t="s">
        <v>159</v>
      </c>
    </row>
    <row r="17" spans="1:3">
      <c r="A17" s="27" t="s">
        <v>807</v>
      </c>
      <c r="B17" s="154">
        <v>6.75</v>
      </c>
      <c r="C17" s="27" t="s">
        <v>159</v>
      </c>
    </row>
    <row r="18" spans="1:3">
      <c r="A18" s="27" t="s">
        <v>808</v>
      </c>
      <c r="B18" s="154">
        <v>3.5</v>
      </c>
      <c r="C18" s="27" t="s">
        <v>159</v>
      </c>
    </row>
    <row r="19" spans="1:3">
      <c r="A19" s="27" t="s">
        <v>809</v>
      </c>
      <c r="B19" s="154">
        <v>800</v>
      </c>
      <c r="C19" s="145" t="s">
        <v>823</v>
      </c>
    </row>
    <row r="20" spans="1:3">
      <c r="A20" s="27" t="s">
        <v>817</v>
      </c>
      <c r="B20" s="154">
        <v>5</v>
      </c>
    </row>
    <row r="21" spans="1:3">
      <c r="A21" s="27" t="s">
        <v>810</v>
      </c>
      <c r="B21" s="151">
        <f>(5.68/B14^4.86)+(0.41/B16^4.86)</f>
        <v>6.2434864697423495E-3</v>
      </c>
    </row>
    <row r="22" spans="1:3">
      <c r="A22" s="27" t="s">
        <v>812</v>
      </c>
      <c r="B22" s="151">
        <f>IF(B3&lt;=4.75,2,IF(B3&lt;=6.75,2.2,IF(B3&lt;=7.75,2.3,IF(B3&lt;=11,2.4,IF(B3&gt;=11,2.5)))))</f>
        <v>2.4</v>
      </c>
    </row>
    <row r="23" spans="1:3">
      <c r="A23" s="27" t="s">
        <v>811</v>
      </c>
      <c r="B23" s="151">
        <f>(8.17*B22)/((B3-B13)*(B3^2-B13^2)^2)+(0.43*B22)/((B3-B15)*(B3^2-B15^2)^2)</f>
        <v>3.0826855751118791E-3</v>
      </c>
    </row>
    <row r="24" spans="1:3">
      <c r="A24" s="27" t="s">
        <v>813</v>
      </c>
      <c r="B24" s="151">
        <f>B23+B21</f>
        <v>9.3261720448542286E-3</v>
      </c>
    </row>
    <row r="25" spans="1:3">
      <c r="A25" s="27" t="s">
        <v>814</v>
      </c>
      <c r="B25" s="190">
        <f>7.2/(B18^4.86)</f>
        <v>1.6336604715911088E-2</v>
      </c>
    </row>
    <row r="26" spans="1:3">
      <c r="A26" s="27" t="s">
        <v>815</v>
      </c>
      <c r="B26" s="151">
        <f>(8.6*B22)/((B3-B17)*(B3^2-B17^2)^2)</f>
        <v>1.6559829444888867E-2</v>
      </c>
    </row>
    <row r="27" spans="1:3">
      <c r="A27" s="27" t="s">
        <v>816</v>
      </c>
      <c r="B27" s="190">
        <f>B26+B25</f>
        <v>3.2896434160799959E-2</v>
      </c>
    </row>
    <row r="28" spans="1:3">
      <c r="A28" s="27" t="s">
        <v>822</v>
      </c>
      <c r="B28" s="190">
        <f>(B8/B7)^0.14</f>
        <v>1.0557877537769793</v>
      </c>
    </row>
    <row r="29" spans="1:3">
      <c r="A29" s="18" t="s">
        <v>818</v>
      </c>
    </row>
    <row r="30" spans="1:3">
      <c r="A30" s="27" t="s">
        <v>819</v>
      </c>
      <c r="B30" s="173">
        <f>((0.35*B5)/(0.00001*(B20+((B4-B19)*B24)+(B19*B27))*B7*(B28)))^(1/1.86)</f>
        <v>701.75527931937734</v>
      </c>
      <c r="C30" s="27" t="s">
        <v>429</v>
      </c>
    </row>
    <row r="31" spans="1:3">
      <c r="A31" s="27" t="s">
        <v>820</v>
      </c>
      <c r="B31" s="173">
        <f>((0.52*B5)/(0.00001*(B20+((B4-B19)*B24)+(B19*B27))*B7*(B28)))^(1/1.86)</f>
        <v>868.20847618608332</v>
      </c>
      <c r="C31" s="27" t="s">
        <v>429</v>
      </c>
    </row>
  </sheetData>
  <sheetProtection password="EFD6" sheet="1" selectLockedCells="1"/>
  <mergeCells count="1">
    <mergeCell ref="A6:B6"/>
  </mergeCells>
  <hyperlinks>
    <hyperlink ref="F5" location="'Index Page'!A1" display="Back to the first page"/>
    <hyperlink ref="F10" r:id="rId1"/>
    <hyperlink ref="F8" r:id="rId2"/>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sheetPr>
    <tabColor rgb="FFFFFF00"/>
  </sheetPr>
  <dimension ref="A1:I21"/>
  <sheetViews>
    <sheetView showGridLines="0" workbookViewId="0">
      <selection activeCell="E5" sqref="E5"/>
    </sheetView>
  </sheetViews>
  <sheetFormatPr defaultRowHeight="12.75"/>
  <cols>
    <col min="1" max="1" width="30.140625" bestFit="1" customWidth="1"/>
    <col min="5" max="5" width="53.7109375" customWidth="1"/>
  </cols>
  <sheetData>
    <row r="1" spans="1:9">
      <c r="A1" s="18" t="s">
        <v>1034</v>
      </c>
    </row>
    <row r="3" spans="1:9">
      <c r="A3" s="18"/>
      <c r="E3" s="54" t="s">
        <v>373</v>
      </c>
    </row>
    <row r="4" spans="1:9">
      <c r="A4" s="27" t="s">
        <v>1036</v>
      </c>
      <c r="B4" s="56">
        <v>5</v>
      </c>
      <c r="E4" s="55" t="s">
        <v>372</v>
      </c>
    </row>
    <row r="5" spans="1:9">
      <c r="A5" s="27" t="s">
        <v>1037</v>
      </c>
      <c r="B5" s="225">
        <v>1000</v>
      </c>
      <c r="E5" s="35" t="s">
        <v>24</v>
      </c>
    </row>
    <row r="6" spans="1:9">
      <c r="A6" s="27" t="s">
        <v>1039</v>
      </c>
      <c r="B6" s="225">
        <v>1200</v>
      </c>
      <c r="D6" s="29"/>
      <c r="E6" s="194"/>
      <c r="F6" s="29"/>
      <c r="G6" s="29"/>
      <c r="H6" s="29"/>
      <c r="I6" s="29"/>
    </row>
    <row r="7" spans="1:9">
      <c r="A7" s="27" t="s">
        <v>1040</v>
      </c>
      <c r="B7" s="225">
        <v>3000</v>
      </c>
      <c r="D7" s="29"/>
      <c r="E7" s="234"/>
      <c r="F7" s="29"/>
      <c r="G7" s="29"/>
      <c r="H7" s="29"/>
      <c r="I7" s="29"/>
    </row>
    <row r="8" spans="1:9">
      <c r="A8" s="18" t="s">
        <v>1038</v>
      </c>
      <c r="B8" s="256">
        <f>B4/((B5/B6)-(B5/B7))</f>
        <v>10</v>
      </c>
      <c r="D8" s="29"/>
      <c r="E8" s="131"/>
      <c r="F8" s="29"/>
      <c r="G8" s="29"/>
      <c r="H8" s="29"/>
      <c r="I8" s="29"/>
    </row>
    <row r="9" spans="1:9">
      <c r="A9" s="29"/>
      <c r="B9" s="29"/>
      <c r="C9" s="29"/>
      <c r="D9" s="29"/>
      <c r="E9" s="29"/>
      <c r="F9" s="29"/>
      <c r="G9" s="29"/>
      <c r="H9" s="29"/>
      <c r="I9" s="29"/>
    </row>
    <row r="10" spans="1:9">
      <c r="A10" s="29"/>
      <c r="B10" s="29"/>
      <c r="C10" s="29"/>
      <c r="D10" s="29"/>
      <c r="E10" s="29"/>
      <c r="F10" s="29"/>
      <c r="G10" s="29"/>
      <c r="H10" s="29"/>
      <c r="I10" s="29"/>
    </row>
    <row r="11" spans="1:9">
      <c r="A11" s="86"/>
      <c r="B11" s="29"/>
      <c r="C11" s="29"/>
      <c r="D11" s="29"/>
      <c r="E11" s="29"/>
      <c r="F11" s="29"/>
      <c r="G11" s="29"/>
      <c r="H11" s="29"/>
      <c r="I11" s="29"/>
    </row>
    <row r="12" spans="1:9">
      <c r="A12" s="29"/>
      <c r="B12" s="197"/>
      <c r="C12" s="29"/>
      <c r="D12" s="29"/>
      <c r="E12" s="29"/>
      <c r="F12" s="29"/>
      <c r="G12" s="29"/>
      <c r="H12" s="29"/>
      <c r="I12" s="29"/>
    </row>
    <row r="13" spans="1:9">
      <c r="A13" s="29"/>
      <c r="B13" s="197"/>
      <c r="C13" s="29"/>
      <c r="D13" s="29"/>
      <c r="E13" s="29"/>
      <c r="F13" s="29"/>
      <c r="G13" s="29"/>
      <c r="H13" s="29"/>
      <c r="I13" s="29"/>
    </row>
    <row r="14" spans="1:9">
      <c r="A14" s="29"/>
      <c r="B14" s="197"/>
      <c r="C14" s="29"/>
      <c r="D14" s="29"/>
      <c r="E14" s="29"/>
      <c r="F14" s="29"/>
      <c r="G14" s="29"/>
      <c r="H14" s="29"/>
      <c r="I14" s="29"/>
    </row>
    <row r="15" spans="1:9">
      <c r="A15" s="29"/>
      <c r="B15" s="197"/>
      <c r="C15" s="29"/>
      <c r="D15" s="29"/>
      <c r="E15" s="234"/>
      <c r="F15" s="29"/>
      <c r="G15" s="29"/>
      <c r="H15" s="29"/>
      <c r="I15" s="29"/>
    </row>
    <row r="16" spans="1:9">
      <c r="A16" s="29"/>
      <c r="B16" s="197"/>
      <c r="C16" s="29"/>
      <c r="D16" s="29"/>
      <c r="E16" s="131"/>
      <c r="F16" s="29"/>
      <c r="G16" s="29"/>
      <c r="H16" s="29"/>
      <c r="I16" s="29"/>
    </row>
    <row r="17" spans="1:9">
      <c r="A17" s="29"/>
      <c r="B17" s="197"/>
      <c r="C17" s="29"/>
      <c r="D17" s="29"/>
      <c r="E17" s="234"/>
      <c r="F17" s="29"/>
      <c r="G17" s="29"/>
      <c r="H17" s="29"/>
      <c r="I17" s="29"/>
    </row>
    <row r="18" spans="1:9">
      <c r="A18" s="29"/>
      <c r="B18" s="227"/>
      <c r="C18" s="29"/>
      <c r="D18" s="29"/>
      <c r="E18" s="131"/>
      <c r="F18" s="29"/>
      <c r="G18" s="29"/>
      <c r="H18" s="29"/>
      <c r="I18" s="29"/>
    </row>
    <row r="19" spans="1:9">
      <c r="A19" s="29"/>
      <c r="B19" s="29"/>
      <c r="C19" s="29"/>
      <c r="D19" s="29"/>
      <c r="E19" s="29"/>
      <c r="F19" s="29"/>
      <c r="G19" s="29"/>
      <c r="H19" s="29"/>
      <c r="I19" s="29"/>
    </row>
    <row r="20" spans="1:9">
      <c r="A20" s="29"/>
      <c r="B20" s="29"/>
      <c r="C20" s="29"/>
      <c r="D20" s="29"/>
      <c r="E20" s="29"/>
      <c r="F20" s="29"/>
      <c r="G20" s="29"/>
      <c r="H20" s="29"/>
      <c r="I20" s="29"/>
    </row>
    <row r="21" spans="1:9">
      <c r="A21" s="29"/>
      <c r="B21" s="29"/>
      <c r="C21" s="29"/>
      <c r="D21" s="29"/>
      <c r="E21" s="29"/>
      <c r="F21" s="29"/>
      <c r="G21" s="29"/>
      <c r="H21" s="29"/>
      <c r="I21" s="29"/>
    </row>
  </sheetData>
  <sheetProtection password="EFD6" sheet="1" selectLockedCells="1"/>
  <hyperlinks>
    <hyperlink ref="E5" location="'Index Page'!A1" display="Back to the first page"/>
  </hyperlinks>
  <pageMargins left="0.75" right="0.75" top="1" bottom="1"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dimension ref="A1:F10"/>
  <sheetViews>
    <sheetView showGridLines="0" workbookViewId="0">
      <selection activeCell="F5" sqref="F5"/>
    </sheetView>
  </sheetViews>
  <sheetFormatPr defaultRowHeight="12.75"/>
  <cols>
    <col min="1" max="1" width="21.140625" bestFit="1" customWidth="1"/>
    <col min="6" max="6" width="55.42578125" bestFit="1" customWidth="1"/>
  </cols>
  <sheetData>
    <row r="1" spans="1:6">
      <c r="A1" s="18" t="s">
        <v>784</v>
      </c>
    </row>
    <row r="3" spans="1:6">
      <c r="A3" s="30" t="s">
        <v>788</v>
      </c>
      <c r="B3" s="155">
        <v>0.51401436180012172</v>
      </c>
      <c r="F3" s="45" t="s">
        <v>631</v>
      </c>
    </row>
    <row r="4" spans="1:6">
      <c r="A4" s="30" t="s">
        <v>789</v>
      </c>
      <c r="B4" s="155">
        <v>6.6283226097960064</v>
      </c>
      <c r="F4" s="46" t="s">
        <v>632</v>
      </c>
    </row>
    <row r="5" spans="1:6">
      <c r="A5" s="27" t="s">
        <v>470</v>
      </c>
      <c r="B5" s="154">
        <v>10</v>
      </c>
      <c r="C5" s="27" t="s">
        <v>386</v>
      </c>
      <c r="F5" s="85" t="s">
        <v>24</v>
      </c>
    </row>
    <row r="6" spans="1:6">
      <c r="A6" s="27" t="s">
        <v>785</v>
      </c>
      <c r="B6" s="154">
        <v>12.25</v>
      </c>
      <c r="C6" s="27" t="s">
        <v>365</v>
      </c>
    </row>
    <row r="7" spans="1:6">
      <c r="A7" s="27" t="s">
        <v>786</v>
      </c>
      <c r="B7" s="154">
        <v>5</v>
      </c>
      <c r="C7" s="27" t="s">
        <v>365</v>
      </c>
      <c r="F7" s="58" t="s">
        <v>513</v>
      </c>
    </row>
    <row r="8" spans="1:6">
      <c r="A8" s="27" t="s">
        <v>787</v>
      </c>
      <c r="B8" s="120">
        <f>(((3470-(1370*B3))*100*B4*((2*B3+1)/(3*B3))^B3)/(928*B5*(B6-B7)*(144/(B6-B7))^(1-B3)))^(1/(2-B3))</f>
        <v>3.8243567455398919</v>
      </c>
      <c r="C8" s="27" t="s">
        <v>440</v>
      </c>
      <c r="F8" s="30" t="s">
        <v>849</v>
      </c>
    </row>
    <row r="9" spans="1:6">
      <c r="A9" s="27" t="s">
        <v>784</v>
      </c>
      <c r="B9" s="53">
        <f>2.45*B8*(B6^2-B7^2)</f>
        <v>1171.7948579482529</v>
      </c>
      <c r="C9" s="27" t="s">
        <v>429</v>
      </c>
    </row>
    <row r="10" spans="1:6">
      <c r="F10" s="193" t="s">
        <v>830</v>
      </c>
    </row>
  </sheetData>
  <sheetProtection password="EFD6" sheet="1" selectLockedCells="1"/>
  <hyperlinks>
    <hyperlink ref="F5" location="'Index Page'!A1" display="Back to the first page"/>
    <hyperlink ref="A3" location="'Power Law Constant'!A1" display="Power Law Constant"/>
    <hyperlink ref="A4" location="'Power Law Constant'!A1" display="Power Law Constant, K"/>
    <hyperlink ref="F10" r:id="rId1"/>
    <hyperlink ref="F8" r:id="rId2"/>
  </hyperlinks>
  <pageMargins left="0.7" right="0.7" top="0.75" bottom="0.75" header="0.3" footer="0.3"/>
  <pageSetup paperSize="9" orientation="portrait" horizontalDpi="1200" verticalDpi="1200" r:id="rId3"/>
</worksheet>
</file>

<file path=xl/worksheets/sheet41.xml><?xml version="1.0" encoding="utf-8"?>
<worksheet xmlns="http://schemas.openxmlformats.org/spreadsheetml/2006/main" xmlns:r="http://schemas.openxmlformats.org/officeDocument/2006/relationships">
  <dimension ref="A1:E13"/>
  <sheetViews>
    <sheetView showGridLines="0" workbookViewId="0">
      <selection activeCell="E5" sqref="E5"/>
    </sheetView>
  </sheetViews>
  <sheetFormatPr defaultRowHeight="12.75"/>
  <cols>
    <col min="1" max="1" width="14.7109375" bestFit="1" customWidth="1"/>
    <col min="2" max="2" width="17.7109375" bestFit="1" customWidth="1"/>
    <col min="5" max="5" width="55.42578125" bestFit="1" customWidth="1"/>
  </cols>
  <sheetData>
    <row r="1" spans="1:5">
      <c r="A1" s="18" t="s">
        <v>781</v>
      </c>
    </row>
    <row r="3" spans="1:5">
      <c r="A3" s="29" t="s">
        <v>470</v>
      </c>
      <c r="B3" s="154">
        <v>9.1999999999999993</v>
      </c>
      <c r="C3" t="s">
        <v>386</v>
      </c>
      <c r="E3" s="45" t="s">
        <v>631</v>
      </c>
    </row>
    <row r="4" spans="1:5">
      <c r="A4" s="29" t="s">
        <v>659</v>
      </c>
      <c r="B4" s="154">
        <v>140</v>
      </c>
      <c r="C4" t="s">
        <v>427</v>
      </c>
      <c r="E4" s="46" t="s">
        <v>632</v>
      </c>
    </row>
    <row r="5" spans="1:5">
      <c r="A5" s="29" t="s">
        <v>776</v>
      </c>
      <c r="B5" s="154">
        <v>17</v>
      </c>
      <c r="C5" s="27" t="s">
        <v>668</v>
      </c>
      <c r="E5" s="85" t="s">
        <v>24</v>
      </c>
    </row>
    <row r="6" spans="1:5">
      <c r="A6" s="29" t="s">
        <v>777</v>
      </c>
      <c r="B6" s="154">
        <v>15</v>
      </c>
      <c r="C6" s="27" t="s">
        <v>778</v>
      </c>
    </row>
    <row r="7" spans="1:5">
      <c r="A7" s="122" t="s">
        <v>77</v>
      </c>
      <c r="B7" s="187">
        <f>3.322*LOG10((2*B5+B6)/(B5+B6))</f>
        <v>0.61472314987599475</v>
      </c>
      <c r="E7" s="58" t="s">
        <v>513</v>
      </c>
    </row>
    <row r="8" spans="1:5">
      <c r="A8" s="122" t="s">
        <v>6</v>
      </c>
      <c r="B8" s="139">
        <f>511^(1-B7)*(B5+B6)</f>
        <v>353.70553138463015</v>
      </c>
      <c r="E8" s="30" t="s">
        <v>844</v>
      </c>
    </row>
    <row r="9" spans="1:5">
      <c r="A9" s="122" t="s">
        <v>779</v>
      </c>
      <c r="B9" s="139">
        <f>B8*B4*B3/400000</f>
        <v>1.1389318110585092</v>
      </c>
    </row>
    <row r="10" spans="1:5">
      <c r="A10" s="122" t="s">
        <v>780</v>
      </c>
      <c r="B10" s="151" t="str">
        <f>IF(B9&gt;=1,"Good Hole Cleaning","Poor Hole Cleaning")</f>
        <v>Good Hole Cleaning</v>
      </c>
      <c r="E10" s="193" t="s">
        <v>830</v>
      </c>
    </row>
    <row r="12" spans="1:5">
      <c r="A12" s="27" t="s">
        <v>783</v>
      </c>
    </row>
    <row r="13" spans="1:5">
      <c r="A13" t="s">
        <v>782</v>
      </c>
    </row>
  </sheetData>
  <sheetProtection password="EFD6" sheet="1" selectLockedCells="1"/>
  <hyperlinks>
    <hyperlink ref="E5" location="'Index Page'!A1" display="Back to the first page"/>
    <hyperlink ref="E10" r:id="rId1"/>
    <hyperlink ref="E8" r:id="rId2"/>
  </hyperlinks>
  <pageMargins left="0.7" right="0.7" top="0.75" bottom="0.75" header="0.3" footer="0.3"/>
  <pageSetup paperSize="9" orientation="portrait" horizontalDpi="1200" verticalDpi="1200" r:id="rId3"/>
</worksheet>
</file>

<file path=xl/worksheets/sheet42.xml><?xml version="1.0" encoding="utf-8"?>
<worksheet xmlns="http://schemas.openxmlformats.org/spreadsheetml/2006/main" xmlns:r="http://schemas.openxmlformats.org/officeDocument/2006/relationships">
  <dimension ref="A1:E10"/>
  <sheetViews>
    <sheetView showGridLines="0" workbookViewId="0">
      <selection activeCell="E5" sqref="E5"/>
    </sheetView>
  </sheetViews>
  <sheetFormatPr defaultRowHeight="12.75"/>
  <cols>
    <col min="1" max="1" width="16.28515625" bestFit="1" customWidth="1"/>
    <col min="2" max="2" width="12.85546875" bestFit="1" customWidth="1"/>
    <col min="5" max="5" width="55.42578125" bestFit="1" customWidth="1"/>
  </cols>
  <sheetData>
    <row r="1" spans="1:5">
      <c r="A1" s="18" t="s">
        <v>774</v>
      </c>
    </row>
    <row r="2" spans="1:5">
      <c r="A2" s="18"/>
    </row>
    <row r="3" spans="1:5">
      <c r="A3" s="27" t="s">
        <v>659</v>
      </c>
      <c r="B3" s="154">
        <v>6</v>
      </c>
      <c r="C3" s="149" t="s">
        <v>440</v>
      </c>
      <c r="E3" s="45" t="s">
        <v>631</v>
      </c>
    </row>
    <row r="4" spans="1:5">
      <c r="A4" s="27" t="s">
        <v>341</v>
      </c>
      <c r="B4" s="154">
        <v>8.5</v>
      </c>
      <c r="C4" s="27" t="s">
        <v>159</v>
      </c>
      <c r="E4" s="46" t="s">
        <v>632</v>
      </c>
    </row>
    <row r="5" spans="1:5">
      <c r="A5" s="27" t="s">
        <v>775</v>
      </c>
      <c r="B5" s="154">
        <v>5</v>
      </c>
      <c r="C5" s="27" t="s">
        <v>159</v>
      </c>
      <c r="E5" s="85" t="s">
        <v>24</v>
      </c>
    </row>
    <row r="6" spans="1:5">
      <c r="A6" s="27" t="s">
        <v>470</v>
      </c>
      <c r="B6" s="154">
        <v>9.5</v>
      </c>
      <c r="C6" s="27" t="s">
        <v>386</v>
      </c>
    </row>
    <row r="7" spans="1:5">
      <c r="A7" s="27" t="s">
        <v>769</v>
      </c>
      <c r="B7" s="154">
        <v>42.53</v>
      </c>
      <c r="C7" s="27" t="s">
        <v>736</v>
      </c>
      <c r="E7" s="58" t="s">
        <v>513</v>
      </c>
    </row>
    <row r="8" spans="1:5">
      <c r="A8" s="27" t="s">
        <v>771</v>
      </c>
      <c r="B8" s="154">
        <v>0.51400000000000001</v>
      </c>
      <c r="E8" s="132" t="s">
        <v>850</v>
      </c>
    </row>
    <row r="9" spans="1:5">
      <c r="A9" s="27" t="s">
        <v>774</v>
      </c>
      <c r="B9" s="182">
        <f>(928*B3*(B4-B5)*B6)/(B7*(((2*B8)+1)/(3*B8))^B8)</f>
        <v>3781.2721409068495</v>
      </c>
    </row>
    <row r="10" spans="1:5">
      <c r="E10" s="193" t="s">
        <v>830</v>
      </c>
    </row>
  </sheetData>
  <sheetProtection password="EFD6" sheet="1" selectLockedCells="1"/>
  <hyperlinks>
    <hyperlink ref="E5" location="'Index Page'!A1" display="Back to the first page"/>
    <hyperlink ref="E10" r:id="rId1"/>
    <hyperlink ref="E8" r:id="rId2"/>
  </hyperlinks>
  <pageMargins left="0.7" right="0.7" top="0.75" bottom="0.75" header="0.3" footer="0.3"/>
  <pageSetup paperSize="9" orientation="portrait" horizontalDpi="1200" verticalDpi="1200" r:id="rId3"/>
</worksheet>
</file>

<file path=xl/worksheets/sheet43.xml><?xml version="1.0" encoding="utf-8"?>
<worksheet xmlns="http://schemas.openxmlformats.org/spreadsheetml/2006/main" xmlns:r="http://schemas.openxmlformats.org/officeDocument/2006/relationships">
  <dimension ref="A1:E10"/>
  <sheetViews>
    <sheetView showGridLines="0" workbookViewId="0">
      <selection activeCell="E10" sqref="E10"/>
    </sheetView>
  </sheetViews>
  <sheetFormatPr defaultRowHeight="12.75"/>
  <cols>
    <col min="1" max="1" width="18.28515625" bestFit="1" customWidth="1"/>
    <col min="5" max="5" width="55.42578125" bestFit="1" customWidth="1"/>
  </cols>
  <sheetData>
    <row r="1" spans="1:5">
      <c r="A1" s="18" t="s">
        <v>771</v>
      </c>
    </row>
    <row r="2" spans="1:5">
      <c r="E2" s="45" t="s">
        <v>631</v>
      </c>
    </row>
    <row r="3" spans="1:5">
      <c r="A3" s="27" t="s">
        <v>772</v>
      </c>
      <c r="B3" s="154">
        <v>32</v>
      </c>
      <c r="E3" s="46" t="s">
        <v>632</v>
      </c>
    </row>
    <row r="4" spans="1:5">
      <c r="A4" s="27" t="s">
        <v>773</v>
      </c>
      <c r="B4" s="154">
        <v>3</v>
      </c>
      <c r="E4" s="188" t="s">
        <v>795</v>
      </c>
    </row>
    <row r="5" spans="1:5">
      <c r="A5" s="27" t="s">
        <v>768</v>
      </c>
      <c r="B5" s="141">
        <f>0.5*LOG10(B3/B4)</f>
        <v>0.51401436180012172</v>
      </c>
      <c r="E5" s="85" t="s">
        <v>24</v>
      </c>
    </row>
    <row r="6" spans="1:5">
      <c r="A6" s="27" t="s">
        <v>765</v>
      </c>
      <c r="B6" s="141">
        <f>(5.11*B3/(511^B5))</f>
        <v>6.6283226097960064</v>
      </c>
    </row>
    <row r="7" spans="1:5">
      <c r="E7" s="58" t="s">
        <v>513</v>
      </c>
    </row>
    <row r="8" spans="1:5">
      <c r="E8" s="132" t="s">
        <v>851</v>
      </c>
    </row>
    <row r="10" spans="1:5">
      <c r="E10" s="193" t="s">
        <v>830</v>
      </c>
    </row>
  </sheetData>
  <sheetProtection password="EFD6" sheet="1" selectLockedCells="1"/>
  <hyperlinks>
    <hyperlink ref="E5" location="'Index Page'!A1" display="Back to the first page"/>
    <hyperlink ref="E4" location="'Critical Flow Rate'!A1" display="Back to Critical Flow Rate Calculation"/>
    <hyperlink ref="E10" r:id="rId1"/>
    <hyperlink ref="E8" r:id="rId2"/>
  </hyperlink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F10"/>
  <sheetViews>
    <sheetView showGridLines="0" workbookViewId="0">
      <selection activeCell="F10" sqref="F10"/>
    </sheetView>
  </sheetViews>
  <sheetFormatPr defaultRowHeight="12.75"/>
  <cols>
    <col min="1" max="1" width="15" customWidth="1"/>
    <col min="6" max="6" width="55.42578125" bestFit="1" customWidth="1"/>
  </cols>
  <sheetData>
    <row r="1" spans="1:6">
      <c r="A1" s="18" t="s">
        <v>764</v>
      </c>
    </row>
    <row r="2" spans="1:6">
      <c r="A2" s="18"/>
    </row>
    <row r="3" spans="1:6">
      <c r="A3" s="27" t="s">
        <v>765</v>
      </c>
      <c r="B3" s="154">
        <v>6.6289999999999996</v>
      </c>
      <c r="C3" s="27" t="s">
        <v>770</v>
      </c>
      <c r="F3" s="45" t="s">
        <v>631</v>
      </c>
    </row>
    <row r="4" spans="1:6">
      <c r="A4" s="27" t="s">
        <v>768</v>
      </c>
      <c r="B4" s="154">
        <v>0.51400000000000001</v>
      </c>
      <c r="F4" s="46" t="s">
        <v>632</v>
      </c>
    </row>
    <row r="5" spans="1:6">
      <c r="A5" s="27" t="s">
        <v>766</v>
      </c>
      <c r="B5" s="154">
        <v>8.5</v>
      </c>
      <c r="C5" s="27" t="s">
        <v>159</v>
      </c>
      <c r="F5" s="85" t="s">
        <v>24</v>
      </c>
    </row>
    <row r="6" spans="1:6">
      <c r="A6" s="27" t="s">
        <v>767</v>
      </c>
      <c r="B6" s="154">
        <v>5</v>
      </c>
      <c r="C6" s="27" t="s">
        <v>159</v>
      </c>
    </row>
    <row r="7" spans="1:6">
      <c r="A7" s="27" t="s">
        <v>653</v>
      </c>
      <c r="B7" s="154">
        <v>800</v>
      </c>
      <c r="C7" s="27" t="s">
        <v>429</v>
      </c>
      <c r="F7" s="58" t="s">
        <v>513</v>
      </c>
    </row>
    <row r="8" spans="1:6">
      <c r="A8" s="27" t="s">
        <v>659</v>
      </c>
      <c r="B8" s="173">
        <f>24.51*B7/(B5^2-B6^2)/60</f>
        <v>6.9164021164021161</v>
      </c>
      <c r="C8" s="149" t="s">
        <v>440</v>
      </c>
      <c r="F8" s="132" t="s">
        <v>852</v>
      </c>
    </row>
    <row r="9" spans="1:6">
      <c r="A9" s="27" t="s">
        <v>769</v>
      </c>
      <c r="B9" s="139">
        <f>100*B3*((144*B8)/(B5-B6))^(B4-1)</f>
        <v>42.532324943888831</v>
      </c>
      <c r="C9" s="27" t="s">
        <v>736</v>
      </c>
    </row>
    <row r="10" spans="1:6">
      <c r="F10" s="193" t="s">
        <v>830</v>
      </c>
    </row>
  </sheetData>
  <sheetProtection password="EFD6" sheet="1" selectLockedCells="1"/>
  <hyperlinks>
    <hyperlink ref="F5" location="'Index Page'!A1" display="Back to the first page"/>
    <hyperlink ref="F10" r:id="rId1"/>
    <hyperlink ref="F8" r:id="rId2"/>
  </hyperlinks>
  <pageMargins left="0.7" right="0.7" top="0.75" bottom="0.75" header="0.3" footer="0.3"/>
  <pageSetup paperSize="9" orientation="portrait" horizontalDpi="1200" verticalDpi="1200" r:id="rId3"/>
</worksheet>
</file>

<file path=xl/worksheets/sheet45.xml><?xml version="1.0" encoding="utf-8"?>
<worksheet xmlns="http://schemas.openxmlformats.org/spreadsheetml/2006/main" xmlns:r="http://schemas.openxmlformats.org/officeDocument/2006/relationships">
  <dimension ref="A1:F14"/>
  <sheetViews>
    <sheetView showGridLines="0" workbookViewId="0">
      <selection activeCell="B2" sqref="B2"/>
    </sheetView>
  </sheetViews>
  <sheetFormatPr defaultRowHeight="12.75"/>
  <cols>
    <col min="1" max="1" width="40.28515625" customWidth="1"/>
    <col min="6" max="6" width="55.42578125" bestFit="1" customWidth="1"/>
  </cols>
  <sheetData>
    <row r="1" spans="1:6">
      <c r="A1" s="18" t="s">
        <v>742</v>
      </c>
    </row>
    <row r="2" spans="1:6">
      <c r="A2" s="27" t="s">
        <v>743</v>
      </c>
      <c r="B2" s="154">
        <v>8</v>
      </c>
      <c r="D2" s="149" t="s">
        <v>744</v>
      </c>
    </row>
    <row r="3" spans="1:6">
      <c r="A3" t="s">
        <v>470</v>
      </c>
      <c r="B3" s="154">
        <v>9.5</v>
      </c>
      <c r="C3" t="s">
        <v>386</v>
      </c>
    </row>
    <row r="4" spans="1:6">
      <c r="A4" t="s">
        <v>735</v>
      </c>
      <c r="B4" s="154">
        <v>12</v>
      </c>
      <c r="C4" t="s">
        <v>736</v>
      </c>
    </row>
    <row r="5" spans="1:6">
      <c r="A5" t="s">
        <v>653</v>
      </c>
      <c r="B5" s="154">
        <v>600</v>
      </c>
      <c r="C5" t="s">
        <v>429</v>
      </c>
    </row>
    <row r="6" spans="1:6">
      <c r="A6" t="s">
        <v>742</v>
      </c>
      <c r="B6" s="121">
        <f>0.00001*B2*B3*(B4/B3)^1.4*B5^1.86</f>
        <v>154.95857539317845</v>
      </c>
      <c r="C6" s="27" t="s">
        <v>367</v>
      </c>
    </row>
    <row r="10" spans="1:6">
      <c r="F10" s="45" t="s">
        <v>631</v>
      </c>
    </row>
    <row r="11" spans="1:6">
      <c r="F11" s="46" t="s">
        <v>632</v>
      </c>
    </row>
    <row r="12" spans="1:6">
      <c r="F12" s="85" t="s">
        <v>24</v>
      </c>
    </row>
    <row r="14" spans="1:6">
      <c r="F14" s="193" t="s">
        <v>830</v>
      </c>
    </row>
  </sheetData>
  <sheetProtection password="EFD6" sheet="1" selectLockedCells="1"/>
  <hyperlinks>
    <hyperlink ref="F12" location="'Index Page'!A1" display="Back to the first page"/>
    <hyperlink ref="F14" r:id="rId1"/>
  </hyperlinks>
  <pageMargins left="0.7" right="0.7" top="0.75" bottom="0.75" header="0.3" footer="0.3"/>
  <pageSetup paperSize="9" orientation="portrait" horizontalDpi="1200" verticalDpi="1200" r:id="rId2"/>
  <drawing r:id="rId3"/>
</worksheet>
</file>

<file path=xl/worksheets/sheet46.xml><?xml version="1.0" encoding="utf-8"?>
<worksheet xmlns="http://schemas.openxmlformats.org/spreadsheetml/2006/main" xmlns:r="http://schemas.openxmlformats.org/officeDocument/2006/relationships">
  <dimension ref="A1:E17"/>
  <sheetViews>
    <sheetView showGridLines="0" workbookViewId="0">
      <selection activeCell="B3" sqref="B3"/>
    </sheetView>
  </sheetViews>
  <sheetFormatPr defaultRowHeight="12.75"/>
  <cols>
    <col min="1" max="1" width="30.28515625" customWidth="1"/>
    <col min="5" max="5" width="54.140625" customWidth="1"/>
  </cols>
  <sheetData>
    <row r="1" spans="1:5">
      <c r="A1" s="18" t="s">
        <v>755</v>
      </c>
      <c r="E1" s="45" t="s">
        <v>631</v>
      </c>
    </row>
    <row r="2" spans="1:5">
      <c r="E2" s="46" t="s">
        <v>632</v>
      </c>
    </row>
    <row r="3" spans="1:5">
      <c r="A3" s="27" t="s">
        <v>746</v>
      </c>
      <c r="B3" s="154">
        <v>2500</v>
      </c>
      <c r="C3" t="s">
        <v>366</v>
      </c>
      <c r="E3" s="85" t="s">
        <v>24</v>
      </c>
    </row>
    <row r="4" spans="1:5">
      <c r="A4" s="27" t="s">
        <v>756</v>
      </c>
      <c r="B4" s="154">
        <v>5</v>
      </c>
      <c r="C4" t="s">
        <v>159</v>
      </c>
    </row>
    <row r="5" spans="1:5">
      <c r="A5" s="27" t="s">
        <v>760</v>
      </c>
      <c r="B5" s="154">
        <v>6</v>
      </c>
      <c r="C5" s="27" t="s">
        <v>159</v>
      </c>
    </row>
    <row r="6" spans="1:5">
      <c r="A6" s="27" t="s">
        <v>747</v>
      </c>
      <c r="B6" s="154">
        <v>500</v>
      </c>
      <c r="C6" t="s">
        <v>366</v>
      </c>
    </row>
    <row r="7" spans="1:5">
      <c r="A7" s="27" t="s">
        <v>757</v>
      </c>
      <c r="B7" s="154">
        <v>5</v>
      </c>
      <c r="C7" t="s">
        <v>159</v>
      </c>
    </row>
    <row r="8" spans="1:5">
      <c r="A8" t="s">
        <v>740</v>
      </c>
      <c r="B8" s="154">
        <v>9</v>
      </c>
      <c r="C8" t="s">
        <v>159</v>
      </c>
    </row>
    <row r="9" spans="1:5">
      <c r="A9" t="s">
        <v>470</v>
      </c>
      <c r="B9" s="154">
        <v>9.5</v>
      </c>
      <c r="C9" t="s">
        <v>386</v>
      </c>
    </row>
    <row r="10" spans="1:5">
      <c r="A10" t="s">
        <v>735</v>
      </c>
      <c r="B10" s="154">
        <v>12</v>
      </c>
      <c r="C10" t="s">
        <v>736</v>
      </c>
    </row>
    <row r="11" spans="1:5">
      <c r="A11" t="s">
        <v>653</v>
      </c>
      <c r="B11" s="154">
        <v>600</v>
      </c>
      <c r="C11" t="s">
        <v>429</v>
      </c>
    </row>
    <row r="12" spans="1:5">
      <c r="A12" s="27" t="s">
        <v>745</v>
      </c>
      <c r="B12" s="151">
        <f>IF(B8&lt;=4.75,2,IF(B8&lt;=6.75,2.2,IF(B8&lt;=7.75,2.3,IF(B8&lt;=11,2.4,IF(B8&gt;=11,2.5)))))</f>
        <v>2.4</v>
      </c>
      <c r="E12" s="193" t="s">
        <v>830</v>
      </c>
    </row>
    <row r="13" spans="1:5" ht="25.5">
      <c r="A13" s="176" t="s">
        <v>759</v>
      </c>
      <c r="B13" s="151">
        <f>(8.17*B12)/((B8-B4)*((B8^2-B4^2)^2)) + (0.43*B12)/((B8-B5)*((B8^2-B5^2)^2))</f>
        <v>1.7330142983119174E-3</v>
      </c>
    </row>
    <row r="14" spans="1:5" ht="25.5">
      <c r="A14" s="176" t="s">
        <v>758</v>
      </c>
      <c r="B14" s="151">
        <f>(8.6*B12)/((B8-B7)*((B8^2-B7^2)^2))</f>
        <v>1.6454081632653059E-3</v>
      </c>
    </row>
    <row r="15" spans="1:5" ht="25.5">
      <c r="A15" s="177" t="s">
        <v>761</v>
      </c>
      <c r="B15" s="173">
        <f>0.00001*B3*B13*B9*((B10/B9)^0.14)*(B11^1.86)</f>
        <v>62.521754281843506</v>
      </c>
      <c r="C15" t="s">
        <v>367</v>
      </c>
    </row>
    <row r="16" spans="1:5" ht="25.5">
      <c r="A16" s="177" t="s">
        <v>762</v>
      </c>
      <c r="B16" s="173">
        <f>0.00001*B6*B14*B9*((B10/B9)^0.14)*(B11^1.86)</f>
        <v>11.872239597471239</v>
      </c>
      <c r="C16" t="s">
        <v>367</v>
      </c>
    </row>
    <row r="17" spans="1:3" ht="25.5">
      <c r="A17" s="178" t="s">
        <v>763</v>
      </c>
      <c r="B17" s="179">
        <f>B16+B15</f>
        <v>74.393993879314749</v>
      </c>
      <c r="C17" s="18" t="s">
        <v>367</v>
      </c>
    </row>
  </sheetData>
  <sheetProtection password="EFD6" sheet="1" selectLockedCells="1"/>
  <hyperlinks>
    <hyperlink ref="E3" location="'Index Page'!A1" display="Back to the first page"/>
    <hyperlink ref="E12" r:id="rId1"/>
  </hyperlinks>
  <pageMargins left="0.7" right="0.7" top="0.75" bottom="0.75" header="0.3" footer="0.3"/>
  <pageSetup paperSize="9" orientation="portrait" horizontalDpi="1200" verticalDpi="1200" r:id="rId2"/>
  <drawing r:id="rId3"/>
</worksheet>
</file>

<file path=xl/worksheets/sheet47.xml><?xml version="1.0" encoding="utf-8"?>
<worksheet xmlns="http://schemas.openxmlformats.org/spreadsheetml/2006/main" xmlns:r="http://schemas.openxmlformats.org/officeDocument/2006/relationships">
  <dimension ref="A1:E12"/>
  <sheetViews>
    <sheetView showGridLines="0" workbookViewId="0">
      <selection activeCell="B3" sqref="B3"/>
    </sheetView>
  </sheetViews>
  <sheetFormatPr defaultRowHeight="12.75"/>
  <cols>
    <col min="1" max="1" width="32.42578125" customWidth="1"/>
    <col min="5" max="5" width="55.42578125" bestFit="1" customWidth="1"/>
  </cols>
  <sheetData>
    <row r="1" spans="1:5">
      <c r="A1" t="s">
        <v>738</v>
      </c>
      <c r="E1" s="45" t="s">
        <v>631</v>
      </c>
    </row>
    <row r="2" spans="1:5">
      <c r="E2" s="46" t="s">
        <v>632</v>
      </c>
    </row>
    <row r="3" spans="1:5">
      <c r="A3" t="s">
        <v>734</v>
      </c>
      <c r="B3" s="154">
        <v>2500</v>
      </c>
      <c r="C3" t="s">
        <v>366</v>
      </c>
      <c r="E3" s="85" t="s">
        <v>24</v>
      </c>
    </row>
    <row r="4" spans="1:5">
      <c r="A4" t="s">
        <v>739</v>
      </c>
      <c r="B4" s="154">
        <v>5</v>
      </c>
      <c r="C4" t="s">
        <v>159</v>
      </c>
    </row>
    <row r="5" spans="1:5">
      <c r="A5" t="s">
        <v>740</v>
      </c>
      <c r="B5" s="154">
        <v>8.8350000000000009</v>
      </c>
      <c r="C5" t="s">
        <v>159</v>
      </c>
    </row>
    <row r="6" spans="1:5">
      <c r="A6" t="s">
        <v>470</v>
      </c>
      <c r="B6" s="154">
        <v>9.5</v>
      </c>
      <c r="C6" t="s">
        <v>386</v>
      </c>
    </row>
    <row r="7" spans="1:5">
      <c r="A7" t="s">
        <v>735</v>
      </c>
      <c r="B7" s="154">
        <v>12</v>
      </c>
      <c r="C7" t="s">
        <v>736</v>
      </c>
    </row>
    <row r="8" spans="1:5">
      <c r="A8" t="s">
        <v>653</v>
      </c>
      <c r="B8" s="154">
        <v>600</v>
      </c>
      <c r="C8" t="s">
        <v>429</v>
      </c>
    </row>
    <row r="9" spans="1:5">
      <c r="A9" s="27" t="s">
        <v>745</v>
      </c>
      <c r="B9" s="154">
        <v>2.4</v>
      </c>
    </row>
    <row r="10" spans="1:5">
      <c r="A10" t="s">
        <v>737</v>
      </c>
      <c r="B10" s="180">
        <f>(8.6*B9)/((B5-B4)*((B5^2-B4^2)^2))</f>
        <v>1.9118563645424322E-3</v>
      </c>
    </row>
    <row r="11" spans="1:5">
      <c r="A11" t="s">
        <v>741</v>
      </c>
      <c r="B11" s="181">
        <f>0.00001*B3*B10*B6*((B7/B6)^0.14)*(B8^1.86)</f>
        <v>68.973818601804993</v>
      </c>
      <c r="C11" t="s">
        <v>367</v>
      </c>
    </row>
    <row r="12" spans="1:5">
      <c r="E12" s="193" t="s">
        <v>830</v>
      </c>
    </row>
  </sheetData>
  <sheetProtection password="EFD6" sheet="1" selectLockedCells="1"/>
  <hyperlinks>
    <hyperlink ref="E3" location="'Index Page'!A1" display="Back to the first page"/>
    <hyperlink ref="E12" r:id="rId1"/>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dimension ref="A1:E15"/>
  <sheetViews>
    <sheetView showGridLines="0" workbookViewId="0">
      <selection activeCell="E7" sqref="E7"/>
    </sheetView>
  </sheetViews>
  <sheetFormatPr defaultRowHeight="12.75"/>
  <cols>
    <col min="1" max="1" width="31.5703125" bestFit="1" customWidth="1"/>
    <col min="5" max="5" width="55.42578125" bestFit="1" customWidth="1"/>
  </cols>
  <sheetData>
    <row r="1" spans="1:5">
      <c r="A1" s="18" t="s">
        <v>753</v>
      </c>
    </row>
    <row r="3" spans="1:5">
      <c r="A3" s="27" t="s">
        <v>746</v>
      </c>
      <c r="B3" s="154">
        <v>5000</v>
      </c>
      <c r="C3" t="s">
        <v>366</v>
      </c>
      <c r="E3" s="45" t="s">
        <v>631</v>
      </c>
    </row>
    <row r="4" spans="1:5">
      <c r="A4" s="27" t="s">
        <v>674</v>
      </c>
      <c r="B4" s="154">
        <v>3.34</v>
      </c>
      <c r="C4" t="s">
        <v>159</v>
      </c>
      <c r="E4" s="46" t="s">
        <v>632</v>
      </c>
    </row>
    <row r="5" spans="1:5">
      <c r="A5" s="27" t="s">
        <v>754</v>
      </c>
      <c r="B5" s="154">
        <v>2.5630000000000002</v>
      </c>
      <c r="C5" s="27" t="s">
        <v>159</v>
      </c>
      <c r="E5" s="85" t="s">
        <v>24</v>
      </c>
    </row>
    <row r="6" spans="1:5">
      <c r="A6" s="27" t="s">
        <v>747</v>
      </c>
      <c r="B6" s="154">
        <v>500</v>
      </c>
      <c r="C6" t="s">
        <v>366</v>
      </c>
    </row>
    <row r="7" spans="1:5">
      <c r="A7" s="27" t="s">
        <v>689</v>
      </c>
      <c r="B7" s="154">
        <v>2.8</v>
      </c>
      <c r="C7" t="s">
        <v>159</v>
      </c>
      <c r="E7" s="193" t="s">
        <v>830</v>
      </c>
    </row>
    <row r="8" spans="1:5">
      <c r="A8" t="s">
        <v>470</v>
      </c>
      <c r="B8" s="154">
        <v>9.5</v>
      </c>
      <c r="C8" t="s">
        <v>386</v>
      </c>
    </row>
    <row r="9" spans="1:5">
      <c r="A9" t="s">
        <v>735</v>
      </c>
      <c r="B9" s="154">
        <v>12</v>
      </c>
      <c r="C9" t="s">
        <v>736</v>
      </c>
    </row>
    <row r="10" spans="1:5">
      <c r="A10" t="s">
        <v>653</v>
      </c>
      <c r="B10" s="154">
        <v>600</v>
      </c>
      <c r="C10" t="s">
        <v>429</v>
      </c>
    </row>
    <row r="11" spans="1:5">
      <c r="A11" s="27" t="s">
        <v>748</v>
      </c>
      <c r="B11" s="174">
        <f>5.68/(B4^4.86)+(0.41/(B5^4.86))</f>
        <v>2.0407856089883169E-2</v>
      </c>
    </row>
    <row r="12" spans="1:5">
      <c r="A12" s="27" t="s">
        <v>749</v>
      </c>
      <c r="B12" s="174">
        <f>7.2/(B7^4.86)</f>
        <v>4.8321951388346343E-2</v>
      </c>
    </row>
    <row r="13" spans="1:5">
      <c r="A13" s="27" t="s">
        <v>750</v>
      </c>
      <c r="B13" s="173">
        <f>0.00001*B3*B11*B8*((B9/B8)^0.14)*(B10^1.86)</f>
        <v>1472.5036776831596</v>
      </c>
      <c r="C13" t="s">
        <v>367</v>
      </c>
    </row>
    <row r="14" spans="1:5">
      <c r="A14" s="27" t="s">
        <v>751</v>
      </c>
      <c r="B14" s="53">
        <f>0.00001*B6*B12*B8*((B9/B8)^0.14)*(B10^1.86)</f>
        <v>348.6610784532154</v>
      </c>
      <c r="C14" t="s">
        <v>367</v>
      </c>
    </row>
    <row r="15" spans="1:5">
      <c r="A15" s="27" t="s">
        <v>752</v>
      </c>
      <c r="B15" s="175">
        <f>B14+B13</f>
        <v>1821.164756136375</v>
      </c>
      <c r="C15" t="s">
        <v>367</v>
      </c>
    </row>
  </sheetData>
  <sheetProtection password="EFD6" sheet="1" selectLockedCells="1"/>
  <hyperlinks>
    <hyperlink ref="E5" location="'Index Page'!A1" display="Back to the first page"/>
    <hyperlink ref="E7" r:id="rId1"/>
  </hyperlink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E14"/>
  <sheetViews>
    <sheetView showGridLines="0" workbookViewId="0">
      <selection activeCell="E7" sqref="E7"/>
    </sheetView>
  </sheetViews>
  <sheetFormatPr defaultRowHeight="12.75"/>
  <cols>
    <col min="1" max="1" width="31.5703125" bestFit="1" customWidth="1"/>
    <col min="5" max="5" width="55.42578125" bestFit="1" customWidth="1"/>
  </cols>
  <sheetData>
    <row r="1" spans="1:5">
      <c r="A1" s="18" t="s">
        <v>733</v>
      </c>
    </row>
    <row r="3" spans="1:5">
      <c r="A3" s="27" t="s">
        <v>746</v>
      </c>
      <c r="B3" s="154">
        <v>5000</v>
      </c>
      <c r="C3" t="s">
        <v>366</v>
      </c>
      <c r="E3" s="45" t="s">
        <v>631</v>
      </c>
    </row>
    <row r="4" spans="1:5">
      <c r="A4" s="27" t="s">
        <v>674</v>
      </c>
      <c r="B4" s="154">
        <v>3.34</v>
      </c>
      <c r="C4" t="s">
        <v>159</v>
      </c>
      <c r="E4" s="46" t="s">
        <v>632</v>
      </c>
    </row>
    <row r="5" spans="1:5">
      <c r="A5" s="27" t="s">
        <v>747</v>
      </c>
      <c r="B5" s="154">
        <v>500</v>
      </c>
      <c r="C5" t="s">
        <v>366</v>
      </c>
      <c r="E5" s="85" t="s">
        <v>24</v>
      </c>
    </row>
    <row r="6" spans="1:5">
      <c r="A6" s="27" t="s">
        <v>689</v>
      </c>
      <c r="B6" s="154">
        <v>2.8</v>
      </c>
      <c r="C6" t="s">
        <v>159</v>
      </c>
    </row>
    <row r="7" spans="1:5">
      <c r="A7" t="s">
        <v>470</v>
      </c>
      <c r="B7" s="154">
        <v>9.5</v>
      </c>
      <c r="C7" t="s">
        <v>386</v>
      </c>
      <c r="E7" s="193" t="s">
        <v>830</v>
      </c>
    </row>
    <row r="8" spans="1:5">
      <c r="A8" t="s">
        <v>735</v>
      </c>
      <c r="B8" s="154">
        <v>12</v>
      </c>
      <c r="C8" t="s">
        <v>736</v>
      </c>
    </row>
    <row r="9" spans="1:5">
      <c r="A9" t="s">
        <v>653</v>
      </c>
      <c r="B9" s="154">
        <v>600</v>
      </c>
      <c r="C9" t="s">
        <v>429</v>
      </c>
    </row>
    <row r="10" spans="1:5">
      <c r="A10" s="27" t="s">
        <v>748</v>
      </c>
      <c r="B10" s="174">
        <f>6.1/(B4^4.86)</f>
        <v>1.7374887701323026E-2</v>
      </c>
    </row>
    <row r="11" spans="1:5">
      <c r="A11" s="27" t="s">
        <v>749</v>
      </c>
      <c r="B11" s="174">
        <f>6.1/(B6^4.86)</f>
        <v>4.0939431037348983E-2</v>
      </c>
    </row>
    <row r="12" spans="1:5">
      <c r="A12" s="27" t="s">
        <v>750</v>
      </c>
      <c r="B12" s="173">
        <f>0.00001*B3*B10*B7*((B8/B7)^0.14)*(B9^1.86)</f>
        <v>1253.6635855744375</v>
      </c>
      <c r="C12" t="s">
        <v>367</v>
      </c>
    </row>
    <row r="13" spans="1:5">
      <c r="A13" s="27" t="s">
        <v>751</v>
      </c>
      <c r="B13" s="53">
        <f>0.00001*B5*B11*B7*((B8/B7)^0.14)*(B9^1.86)</f>
        <v>295.39341368952967</v>
      </c>
      <c r="C13" t="s">
        <v>367</v>
      </c>
    </row>
    <row r="14" spans="1:5">
      <c r="A14" s="27" t="s">
        <v>752</v>
      </c>
      <c r="B14" s="175">
        <f>B13+B12</f>
        <v>1549.0569992639671</v>
      </c>
      <c r="C14" t="s">
        <v>367</v>
      </c>
    </row>
  </sheetData>
  <sheetProtection password="EFD6" sheet="1" selectLockedCells="1"/>
  <hyperlinks>
    <hyperlink ref="E5" location="'Index Page'!A1" display="Back to the first page"/>
    <hyperlink ref="E7"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FF00"/>
  </sheetPr>
  <dimension ref="A1:F15"/>
  <sheetViews>
    <sheetView showGridLines="0" workbookViewId="0">
      <selection activeCell="F4" sqref="F4"/>
    </sheetView>
  </sheetViews>
  <sheetFormatPr defaultRowHeight="12.75"/>
  <cols>
    <col min="1" max="1" width="36.5703125" customWidth="1"/>
    <col min="5" max="5" width="17.85546875" customWidth="1"/>
    <col min="6" max="6" width="55.42578125" bestFit="1" customWidth="1"/>
  </cols>
  <sheetData>
    <row r="1" spans="1:6">
      <c r="A1" s="18" t="s">
        <v>1028</v>
      </c>
    </row>
    <row r="2" spans="1:6">
      <c r="F2" s="13" t="s">
        <v>373</v>
      </c>
    </row>
    <row r="3" spans="1:6">
      <c r="A3" s="27" t="s">
        <v>1013</v>
      </c>
      <c r="B3" s="254">
        <v>12.25</v>
      </c>
      <c r="C3" s="27"/>
      <c r="F3" s="12" t="s">
        <v>372</v>
      </c>
    </row>
    <row r="4" spans="1:6">
      <c r="A4" s="18" t="s">
        <v>1029</v>
      </c>
      <c r="B4" s="255">
        <f>12.72*B3^(1.47)</f>
        <v>505.87959442432015</v>
      </c>
      <c r="C4" s="27"/>
      <c r="F4" s="35" t="s">
        <v>24</v>
      </c>
    </row>
    <row r="5" spans="1:6">
      <c r="C5" s="27"/>
      <c r="F5" s="35"/>
    </row>
    <row r="6" spans="1:6">
      <c r="A6" s="86"/>
      <c r="B6" s="29"/>
      <c r="C6" s="27"/>
      <c r="F6" s="194"/>
    </row>
    <row r="7" spans="1:6">
      <c r="A7" s="18"/>
      <c r="B7" s="232"/>
      <c r="C7" s="27"/>
      <c r="F7" s="194"/>
    </row>
    <row r="8" spans="1:6">
      <c r="A8" s="122"/>
      <c r="B8" s="233"/>
    </row>
    <row r="9" spans="1:6">
      <c r="A9" s="122"/>
      <c r="B9" s="233"/>
    </row>
    <row r="10" spans="1:6">
      <c r="A10" s="122"/>
      <c r="B10" s="110"/>
      <c r="C10" s="29"/>
    </row>
    <row r="11" spans="1:6">
      <c r="A11" s="122"/>
      <c r="B11" s="110"/>
      <c r="C11" s="29"/>
    </row>
    <row r="12" spans="1:6">
      <c r="A12" s="122"/>
      <c r="B12" s="227"/>
      <c r="C12" s="29"/>
    </row>
    <row r="13" spans="1:6">
      <c r="A13" s="122"/>
      <c r="B13" s="233"/>
      <c r="C13" s="122"/>
      <c r="F13" s="35"/>
    </row>
    <row r="14" spans="1:6">
      <c r="A14" s="29"/>
      <c r="B14" s="29"/>
      <c r="C14" s="29"/>
    </row>
    <row r="15" spans="1:6">
      <c r="A15" s="29"/>
      <c r="B15" s="29"/>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dimension ref="B1:M26"/>
  <sheetViews>
    <sheetView showGridLines="0" zoomScaleNormal="100" zoomScalePageLayoutView="70" workbookViewId="0">
      <selection activeCell="J20" sqref="J20"/>
    </sheetView>
  </sheetViews>
  <sheetFormatPr defaultRowHeight="15"/>
  <cols>
    <col min="1" max="1" width="9.140625" style="134"/>
    <col min="2" max="2" width="16.7109375" style="134" bestFit="1" customWidth="1"/>
    <col min="3" max="12" width="9.140625" style="134"/>
    <col min="13" max="13" width="55.42578125" style="134" bestFit="1" customWidth="1"/>
    <col min="14" max="16384" width="9.140625" style="134"/>
  </cols>
  <sheetData>
    <row r="1" spans="2:13" ht="15.75" thickBot="1"/>
    <row r="2" spans="2:13" ht="30.75" thickBot="1">
      <c r="B2" s="158" t="s">
        <v>700</v>
      </c>
      <c r="C2" s="159" t="s">
        <v>701</v>
      </c>
      <c r="D2" s="159" t="s">
        <v>702</v>
      </c>
      <c r="E2" s="159" t="s">
        <v>703</v>
      </c>
      <c r="F2" s="159" t="s">
        <v>704</v>
      </c>
      <c r="G2" s="159" t="s">
        <v>705</v>
      </c>
      <c r="H2" s="159" t="s">
        <v>706</v>
      </c>
      <c r="I2" s="159" t="s">
        <v>707</v>
      </c>
      <c r="J2" s="159" t="s">
        <v>708</v>
      </c>
      <c r="K2" s="159" t="s">
        <v>709</v>
      </c>
    </row>
    <row r="3" spans="2:13">
      <c r="B3" s="160">
        <v>7</v>
      </c>
      <c r="C3" s="161">
        <f t="shared" ref="C3:C26" si="0">(PI()/4*($B3/32)^2)</f>
        <v>3.7582529303198206E-2</v>
      </c>
      <c r="D3" s="162">
        <f>2*(PI()/4*($B3/32)^2)</f>
        <v>7.5165058606396412E-2</v>
      </c>
      <c r="E3" s="162">
        <f>3*(PI()/4*($B3/32)^2)</f>
        <v>0.11274758790959462</v>
      </c>
      <c r="F3" s="162">
        <f>4*(PI()/4*($B3/32)^2)</f>
        <v>0.15033011721279282</v>
      </c>
      <c r="G3" s="162">
        <f>5*(PI()/4*($B3/32)^2)</f>
        <v>0.18791264651599104</v>
      </c>
      <c r="H3" s="162">
        <f>6*(PI()/4*($B3/32)^2)</f>
        <v>0.22549517581918924</v>
      </c>
      <c r="I3" s="162">
        <f>7*(PI()/4*($B3/32)^2)</f>
        <v>0.26307770512238743</v>
      </c>
      <c r="J3" s="162">
        <f>8*(PI()/4*($B3/32)^2)</f>
        <v>0.30066023442558565</v>
      </c>
      <c r="K3" s="163">
        <f>9*(PI()/4*($B3/32)^2)</f>
        <v>0.33824276372878387</v>
      </c>
      <c r="M3" s="122"/>
    </row>
    <row r="4" spans="2:13">
      <c r="B4" s="164">
        <v>8</v>
      </c>
      <c r="C4" s="165">
        <f t="shared" si="0"/>
        <v>4.9087385212340517E-2</v>
      </c>
      <c r="D4" s="166">
        <f t="shared" ref="D4:D26" si="1">2*(PI()/4*($B4/32)^2)</f>
        <v>9.8174770424681035E-2</v>
      </c>
      <c r="E4" s="166">
        <f t="shared" ref="E4:E26" si="2">3*(PI()/4*($B4/32)^2)</f>
        <v>0.14726215563702155</v>
      </c>
      <c r="F4" s="166">
        <f t="shared" ref="F4:F26" si="3">4*(PI()/4*($B4/32)^2)</f>
        <v>0.19634954084936207</v>
      </c>
      <c r="G4" s="166">
        <f t="shared" ref="G4:G26" si="4">5*(PI()/4*($B4/32)^2)</f>
        <v>0.24543692606170259</v>
      </c>
      <c r="H4" s="166">
        <f t="shared" ref="H4:H26" si="5">6*(PI()/4*($B4/32)^2)</f>
        <v>0.2945243112740431</v>
      </c>
      <c r="I4" s="166">
        <f t="shared" ref="I4:I26" si="6">7*(PI()/4*($B4/32)^2)</f>
        <v>0.34361169648638362</v>
      </c>
      <c r="J4" s="166">
        <f t="shared" ref="J4:J26" si="7">8*(PI()/4*($B4/32)^2)</f>
        <v>0.39269908169872414</v>
      </c>
      <c r="K4" s="167">
        <f t="shared" ref="K4:K26" si="8">9*(PI()/4*($B4/32)^2)</f>
        <v>0.44178646691106466</v>
      </c>
      <c r="M4" s="122"/>
    </row>
    <row r="5" spans="2:13" ht="15.75">
      <c r="B5" s="164">
        <v>9</v>
      </c>
      <c r="C5" s="165">
        <f t="shared" si="0"/>
        <v>6.2126221909368465E-2</v>
      </c>
      <c r="D5" s="166">
        <f t="shared" si="1"/>
        <v>0.12425244381873693</v>
      </c>
      <c r="E5" s="166">
        <f t="shared" si="2"/>
        <v>0.18637866572810541</v>
      </c>
      <c r="F5" s="166">
        <f t="shared" si="3"/>
        <v>0.24850488763747386</v>
      </c>
      <c r="G5" s="166">
        <f t="shared" si="4"/>
        <v>0.31063110954684231</v>
      </c>
      <c r="H5" s="166">
        <f t="shared" si="5"/>
        <v>0.37275733145621082</v>
      </c>
      <c r="I5" s="166">
        <f t="shared" si="6"/>
        <v>0.43488355336557927</v>
      </c>
      <c r="J5" s="166">
        <f t="shared" si="7"/>
        <v>0.49700977527494772</v>
      </c>
      <c r="K5" s="167">
        <f t="shared" si="8"/>
        <v>0.55913599718431617</v>
      </c>
      <c r="M5" s="157" t="s">
        <v>24</v>
      </c>
    </row>
    <row r="6" spans="2:13">
      <c r="B6" s="164">
        <v>10</v>
      </c>
      <c r="C6" s="165">
        <f t="shared" si="0"/>
        <v>7.6699039394282062E-2</v>
      </c>
      <c r="D6" s="166">
        <f t="shared" si="1"/>
        <v>0.15339807878856412</v>
      </c>
      <c r="E6" s="166">
        <f t="shared" si="2"/>
        <v>0.23009711818284617</v>
      </c>
      <c r="F6" s="166">
        <f t="shared" si="3"/>
        <v>0.30679615757712825</v>
      </c>
      <c r="G6" s="166">
        <f t="shared" si="4"/>
        <v>0.38349519697141032</v>
      </c>
      <c r="H6" s="166">
        <f t="shared" si="5"/>
        <v>0.46019423636569234</v>
      </c>
      <c r="I6" s="166">
        <f t="shared" si="6"/>
        <v>0.53689327575997448</v>
      </c>
      <c r="J6" s="166">
        <f t="shared" si="7"/>
        <v>0.6135923151542565</v>
      </c>
      <c r="K6" s="167">
        <f t="shared" si="8"/>
        <v>0.69029135454853852</v>
      </c>
    </row>
    <row r="7" spans="2:13">
      <c r="B7" s="164">
        <v>11</v>
      </c>
      <c r="C7" s="165">
        <f t="shared" si="0"/>
        <v>9.2805837667081295E-2</v>
      </c>
      <c r="D7" s="166">
        <f t="shared" si="1"/>
        <v>0.18561167533416259</v>
      </c>
      <c r="E7" s="166">
        <f t="shared" si="2"/>
        <v>0.2784175130012439</v>
      </c>
      <c r="F7" s="166">
        <f t="shared" si="3"/>
        <v>0.37122335066832518</v>
      </c>
      <c r="G7" s="166">
        <f t="shared" si="4"/>
        <v>0.46402918833540646</v>
      </c>
      <c r="H7" s="166">
        <f t="shared" si="5"/>
        <v>0.5568350260024878</v>
      </c>
      <c r="I7" s="166">
        <f t="shared" si="6"/>
        <v>0.64964086366956908</v>
      </c>
      <c r="J7" s="166">
        <f t="shared" si="7"/>
        <v>0.74244670133665036</v>
      </c>
      <c r="K7" s="167">
        <f t="shared" si="8"/>
        <v>0.83525253900373164</v>
      </c>
      <c r="M7" s="193" t="s">
        <v>830</v>
      </c>
    </row>
    <row r="8" spans="2:13">
      <c r="B8" s="164">
        <v>12</v>
      </c>
      <c r="C8" s="165">
        <f t="shared" si="0"/>
        <v>0.11044661672776616</v>
      </c>
      <c r="D8" s="166">
        <f t="shared" si="1"/>
        <v>0.22089323345553233</v>
      </c>
      <c r="E8" s="166">
        <f t="shared" si="2"/>
        <v>0.33133985018329848</v>
      </c>
      <c r="F8" s="166">
        <f t="shared" si="3"/>
        <v>0.44178646691106466</v>
      </c>
      <c r="G8" s="166">
        <f t="shared" si="4"/>
        <v>0.55223308363883084</v>
      </c>
      <c r="H8" s="166">
        <f t="shared" si="5"/>
        <v>0.66267970036659696</v>
      </c>
      <c r="I8" s="166">
        <f t="shared" si="6"/>
        <v>0.77312631709436319</v>
      </c>
      <c r="J8" s="166">
        <f t="shared" si="7"/>
        <v>0.88357293382212931</v>
      </c>
      <c r="K8" s="167">
        <f t="shared" si="8"/>
        <v>0.99401955054989544</v>
      </c>
    </row>
    <row r="9" spans="2:13">
      <c r="B9" s="164">
        <v>13</v>
      </c>
      <c r="C9" s="165">
        <f t="shared" si="0"/>
        <v>0.12962137657633668</v>
      </c>
      <c r="D9" s="166">
        <f t="shared" si="1"/>
        <v>0.25924275315267337</v>
      </c>
      <c r="E9" s="166">
        <f t="shared" si="2"/>
        <v>0.38886412972901008</v>
      </c>
      <c r="F9" s="166">
        <f t="shared" si="3"/>
        <v>0.51848550630534673</v>
      </c>
      <c r="G9" s="166">
        <f t="shared" si="4"/>
        <v>0.64810688288168339</v>
      </c>
      <c r="H9" s="166">
        <f t="shared" si="5"/>
        <v>0.77772825945802015</v>
      </c>
      <c r="I9" s="166">
        <f t="shared" si="6"/>
        <v>0.90734963603435681</v>
      </c>
      <c r="J9" s="166">
        <f t="shared" si="7"/>
        <v>1.0369710126106935</v>
      </c>
      <c r="K9" s="167">
        <f t="shared" si="8"/>
        <v>1.1665923891870302</v>
      </c>
    </row>
    <row r="10" spans="2:13">
      <c r="B10" s="164">
        <v>14</v>
      </c>
      <c r="C10" s="165">
        <f t="shared" si="0"/>
        <v>0.15033011721279282</v>
      </c>
      <c r="D10" s="166">
        <f t="shared" si="1"/>
        <v>0.30066023442558565</v>
      </c>
      <c r="E10" s="166">
        <f t="shared" si="2"/>
        <v>0.45099035163837847</v>
      </c>
      <c r="F10" s="166">
        <f t="shared" si="3"/>
        <v>0.6013204688511713</v>
      </c>
      <c r="G10" s="166">
        <f t="shared" si="4"/>
        <v>0.75165058606396418</v>
      </c>
      <c r="H10" s="166">
        <f t="shared" si="5"/>
        <v>0.90198070327675695</v>
      </c>
      <c r="I10" s="166">
        <f t="shared" si="6"/>
        <v>1.0523108204895497</v>
      </c>
      <c r="J10" s="166">
        <f t="shared" si="7"/>
        <v>1.2026409377023426</v>
      </c>
      <c r="K10" s="167">
        <f t="shared" si="8"/>
        <v>1.3529710549151355</v>
      </c>
    </row>
    <row r="11" spans="2:13">
      <c r="B11" s="164">
        <v>15</v>
      </c>
      <c r="C11" s="165">
        <f t="shared" si="0"/>
        <v>0.17257283863713463</v>
      </c>
      <c r="D11" s="166">
        <f t="shared" si="1"/>
        <v>0.34514567727426926</v>
      </c>
      <c r="E11" s="166">
        <f t="shared" si="2"/>
        <v>0.51771851591140394</v>
      </c>
      <c r="F11" s="166">
        <f t="shared" si="3"/>
        <v>0.69029135454853852</v>
      </c>
      <c r="G11" s="166">
        <f t="shared" si="4"/>
        <v>0.86286419318567309</v>
      </c>
      <c r="H11" s="166">
        <f t="shared" si="5"/>
        <v>1.0354370318228079</v>
      </c>
      <c r="I11" s="166">
        <f t="shared" si="6"/>
        <v>1.2080098704599425</v>
      </c>
      <c r="J11" s="166">
        <f t="shared" si="7"/>
        <v>1.380582709097077</v>
      </c>
      <c r="K11" s="167">
        <f t="shared" si="8"/>
        <v>1.5531555477342116</v>
      </c>
    </row>
    <row r="12" spans="2:13">
      <c r="B12" s="164">
        <v>16</v>
      </c>
      <c r="C12" s="165">
        <f t="shared" si="0"/>
        <v>0.19634954084936207</v>
      </c>
      <c r="D12" s="166">
        <f t="shared" si="1"/>
        <v>0.39269908169872414</v>
      </c>
      <c r="E12" s="166">
        <f t="shared" si="2"/>
        <v>0.58904862254808621</v>
      </c>
      <c r="F12" s="166">
        <f t="shared" si="3"/>
        <v>0.78539816339744828</v>
      </c>
      <c r="G12" s="166">
        <f t="shared" si="4"/>
        <v>0.98174770424681035</v>
      </c>
      <c r="H12" s="166">
        <f t="shared" si="5"/>
        <v>1.1780972450961724</v>
      </c>
      <c r="I12" s="166">
        <f t="shared" si="6"/>
        <v>1.3744467859455345</v>
      </c>
      <c r="J12" s="166">
        <f t="shared" si="7"/>
        <v>1.5707963267948966</v>
      </c>
      <c r="K12" s="167">
        <f t="shared" si="8"/>
        <v>1.7671458676442586</v>
      </c>
    </row>
    <row r="13" spans="2:13">
      <c r="B13" s="164">
        <v>17</v>
      </c>
      <c r="C13" s="165">
        <f t="shared" si="0"/>
        <v>0.22166022384947515</v>
      </c>
      <c r="D13" s="166">
        <f t="shared" si="1"/>
        <v>0.44332044769895029</v>
      </c>
      <c r="E13" s="166">
        <f t="shared" si="2"/>
        <v>0.66498067154842544</v>
      </c>
      <c r="F13" s="166">
        <f t="shared" si="3"/>
        <v>0.88664089539790059</v>
      </c>
      <c r="G13" s="166">
        <f t="shared" si="4"/>
        <v>1.1083011192473757</v>
      </c>
      <c r="H13" s="166">
        <f t="shared" si="5"/>
        <v>1.3299613430968509</v>
      </c>
      <c r="I13" s="166">
        <f t="shared" si="6"/>
        <v>1.551621566946326</v>
      </c>
      <c r="J13" s="166">
        <f t="shared" si="7"/>
        <v>1.7732817907958012</v>
      </c>
      <c r="K13" s="167">
        <f t="shared" si="8"/>
        <v>1.9949420146452763</v>
      </c>
    </row>
    <row r="14" spans="2:13">
      <c r="B14" s="164">
        <v>18</v>
      </c>
      <c r="C14" s="165">
        <f t="shared" si="0"/>
        <v>0.24850488763747386</v>
      </c>
      <c r="D14" s="166">
        <f t="shared" si="1"/>
        <v>0.49700977527494772</v>
      </c>
      <c r="E14" s="166">
        <f t="shared" si="2"/>
        <v>0.74551466291242163</v>
      </c>
      <c r="F14" s="166">
        <f t="shared" si="3"/>
        <v>0.99401955054989544</v>
      </c>
      <c r="G14" s="166">
        <f t="shared" si="4"/>
        <v>1.2425244381873692</v>
      </c>
      <c r="H14" s="166">
        <f t="shared" si="5"/>
        <v>1.4910293258248433</v>
      </c>
      <c r="I14" s="166">
        <f t="shared" si="6"/>
        <v>1.7395342134623171</v>
      </c>
      <c r="J14" s="166">
        <f t="shared" si="7"/>
        <v>1.9880391010997909</v>
      </c>
      <c r="K14" s="167">
        <f t="shared" si="8"/>
        <v>2.2365439887372647</v>
      </c>
    </row>
    <row r="15" spans="2:13">
      <c r="B15" s="164">
        <v>19</v>
      </c>
      <c r="C15" s="165">
        <f t="shared" si="0"/>
        <v>0.27688353221335821</v>
      </c>
      <c r="D15" s="166">
        <f t="shared" si="1"/>
        <v>0.55376706442671642</v>
      </c>
      <c r="E15" s="166">
        <f t="shared" si="2"/>
        <v>0.83065059664007457</v>
      </c>
      <c r="F15" s="166">
        <f t="shared" si="3"/>
        <v>1.1075341288534328</v>
      </c>
      <c r="G15" s="166">
        <f t="shared" si="4"/>
        <v>1.3844176610667911</v>
      </c>
      <c r="H15" s="166">
        <f t="shared" si="5"/>
        <v>1.6613011932801491</v>
      </c>
      <c r="I15" s="166">
        <f t="shared" si="6"/>
        <v>1.9381847254935074</v>
      </c>
      <c r="J15" s="166">
        <f t="shared" si="7"/>
        <v>2.2150682577068657</v>
      </c>
      <c r="K15" s="167">
        <f t="shared" si="8"/>
        <v>2.4919517899202237</v>
      </c>
    </row>
    <row r="16" spans="2:13">
      <c r="B16" s="164">
        <v>20</v>
      </c>
      <c r="C16" s="165">
        <f t="shared" si="0"/>
        <v>0.30679615757712825</v>
      </c>
      <c r="D16" s="166">
        <f t="shared" si="1"/>
        <v>0.6135923151542565</v>
      </c>
      <c r="E16" s="166">
        <f t="shared" si="2"/>
        <v>0.92038847273138469</v>
      </c>
      <c r="F16" s="166">
        <f t="shared" si="3"/>
        <v>1.227184630308513</v>
      </c>
      <c r="G16" s="166">
        <f t="shared" si="4"/>
        <v>1.5339807878856413</v>
      </c>
      <c r="H16" s="166">
        <f t="shared" si="5"/>
        <v>1.8407769454627694</v>
      </c>
      <c r="I16" s="166">
        <f t="shared" si="6"/>
        <v>2.1475731030398979</v>
      </c>
      <c r="J16" s="166">
        <f t="shared" si="7"/>
        <v>2.454369260617026</v>
      </c>
      <c r="K16" s="167">
        <f t="shared" si="8"/>
        <v>2.7611654181941541</v>
      </c>
    </row>
    <row r="17" spans="2:11">
      <c r="B17" s="164">
        <v>21</v>
      </c>
      <c r="C17" s="165">
        <f t="shared" si="0"/>
        <v>0.33824276372878387</v>
      </c>
      <c r="D17" s="166">
        <f t="shared" si="1"/>
        <v>0.67648552745756774</v>
      </c>
      <c r="E17" s="166">
        <f t="shared" si="2"/>
        <v>1.0147282911863515</v>
      </c>
      <c r="F17" s="166">
        <f t="shared" si="3"/>
        <v>1.3529710549151355</v>
      </c>
      <c r="G17" s="166">
        <f t="shared" si="4"/>
        <v>1.6912138186439194</v>
      </c>
      <c r="H17" s="166">
        <f t="shared" si="5"/>
        <v>2.0294565823727031</v>
      </c>
      <c r="I17" s="166">
        <f t="shared" si="6"/>
        <v>2.367699346101487</v>
      </c>
      <c r="J17" s="166">
        <f t="shared" si="7"/>
        <v>2.7059421098302709</v>
      </c>
      <c r="K17" s="167">
        <f t="shared" si="8"/>
        <v>3.0441848735590549</v>
      </c>
    </row>
    <row r="18" spans="2:11">
      <c r="B18" s="164">
        <v>22</v>
      </c>
      <c r="C18" s="165">
        <f t="shared" si="0"/>
        <v>0.37122335066832518</v>
      </c>
      <c r="D18" s="166">
        <f t="shared" si="1"/>
        <v>0.74244670133665036</v>
      </c>
      <c r="E18" s="166">
        <f t="shared" si="2"/>
        <v>1.1136700520049756</v>
      </c>
      <c r="F18" s="166">
        <f t="shared" si="3"/>
        <v>1.4848934026733007</v>
      </c>
      <c r="G18" s="166">
        <f t="shared" si="4"/>
        <v>1.8561167533416258</v>
      </c>
      <c r="H18" s="166">
        <f t="shared" si="5"/>
        <v>2.2273401040099512</v>
      </c>
      <c r="I18" s="166">
        <f t="shared" si="6"/>
        <v>2.5985634546782763</v>
      </c>
      <c r="J18" s="166">
        <f t="shared" si="7"/>
        <v>2.9697868053466014</v>
      </c>
      <c r="K18" s="167">
        <f t="shared" si="8"/>
        <v>3.3410101560149266</v>
      </c>
    </row>
    <row r="19" spans="2:11">
      <c r="B19" s="164">
        <v>23</v>
      </c>
      <c r="C19" s="165">
        <f t="shared" si="0"/>
        <v>0.40573791839575207</v>
      </c>
      <c r="D19" s="166">
        <f t="shared" si="1"/>
        <v>0.81147583679150415</v>
      </c>
      <c r="E19" s="166">
        <f t="shared" si="2"/>
        <v>1.2172137551872562</v>
      </c>
      <c r="F19" s="166">
        <f t="shared" si="3"/>
        <v>1.6229516735830083</v>
      </c>
      <c r="G19" s="166">
        <f t="shared" si="4"/>
        <v>2.0286895919787602</v>
      </c>
      <c r="H19" s="166">
        <f t="shared" si="5"/>
        <v>2.4344275103745123</v>
      </c>
      <c r="I19" s="166">
        <f t="shared" si="6"/>
        <v>2.8401654287702645</v>
      </c>
      <c r="J19" s="166">
        <f t="shared" si="7"/>
        <v>3.2459033471660166</v>
      </c>
      <c r="K19" s="167">
        <f t="shared" si="8"/>
        <v>3.6516412655617687</v>
      </c>
    </row>
    <row r="20" spans="2:11">
      <c r="B20" s="164">
        <v>24</v>
      </c>
      <c r="C20" s="165">
        <f t="shared" si="0"/>
        <v>0.44178646691106466</v>
      </c>
      <c r="D20" s="166">
        <f t="shared" si="1"/>
        <v>0.88357293382212931</v>
      </c>
      <c r="E20" s="166">
        <f t="shared" si="2"/>
        <v>1.3253594007331939</v>
      </c>
      <c r="F20" s="166">
        <f t="shared" si="3"/>
        <v>1.7671458676442586</v>
      </c>
      <c r="G20" s="166">
        <f t="shared" si="4"/>
        <v>2.2089323345553233</v>
      </c>
      <c r="H20" s="166">
        <f t="shared" si="5"/>
        <v>2.6507188014663878</v>
      </c>
      <c r="I20" s="166">
        <f t="shared" si="6"/>
        <v>3.0925052683774528</v>
      </c>
      <c r="J20" s="166">
        <f t="shared" si="7"/>
        <v>3.5342917352885173</v>
      </c>
      <c r="K20" s="167">
        <f t="shared" si="8"/>
        <v>3.9760782021995817</v>
      </c>
    </row>
    <row r="21" spans="2:11">
      <c r="B21" s="164">
        <v>25</v>
      </c>
      <c r="C21" s="165">
        <f t="shared" si="0"/>
        <v>0.47936899621426288</v>
      </c>
      <c r="D21" s="166">
        <f t="shared" si="1"/>
        <v>0.95873799242852575</v>
      </c>
      <c r="E21" s="166">
        <f t="shared" si="2"/>
        <v>1.4381069886427886</v>
      </c>
      <c r="F21" s="166">
        <f t="shared" si="3"/>
        <v>1.9174759848570515</v>
      </c>
      <c r="G21" s="166">
        <f t="shared" si="4"/>
        <v>2.3968449810713146</v>
      </c>
      <c r="H21" s="166">
        <f t="shared" si="5"/>
        <v>2.8762139772855773</v>
      </c>
      <c r="I21" s="166">
        <f t="shared" si="6"/>
        <v>3.3555829734998399</v>
      </c>
      <c r="J21" s="166">
        <f t="shared" si="7"/>
        <v>3.834951969714103</v>
      </c>
      <c r="K21" s="167">
        <f t="shared" si="8"/>
        <v>4.3143209659283661</v>
      </c>
    </row>
    <row r="22" spans="2:11">
      <c r="B22" s="164">
        <v>26</v>
      </c>
      <c r="C22" s="165">
        <f t="shared" si="0"/>
        <v>0.51848550630534673</v>
      </c>
      <c r="D22" s="166">
        <f t="shared" si="1"/>
        <v>1.0369710126106935</v>
      </c>
      <c r="E22" s="166">
        <f t="shared" si="2"/>
        <v>1.5554565189160403</v>
      </c>
      <c r="F22" s="166">
        <f t="shared" si="3"/>
        <v>2.0739420252213869</v>
      </c>
      <c r="G22" s="166">
        <f t="shared" si="4"/>
        <v>2.5924275315267336</v>
      </c>
      <c r="H22" s="166">
        <f t="shared" si="5"/>
        <v>3.1109130378320806</v>
      </c>
      <c r="I22" s="166">
        <f t="shared" si="6"/>
        <v>3.6293985441374272</v>
      </c>
      <c r="J22" s="166">
        <f t="shared" si="7"/>
        <v>4.1478840504427739</v>
      </c>
      <c r="K22" s="167">
        <f t="shared" si="8"/>
        <v>4.6663695567481209</v>
      </c>
    </row>
    <row r="23" spans="2:11">
      <c r="B23" s="164">
        <v>27</v>
      </c>
      <c r="C23" s="165">
        <f t="shared" si="0"/>
        <v>0.55913599718431617</v>
      </c>
      <c r="D23" s="166">
        <f t="shared" si="1"/>
        <v>1.1182719943686323</v>
      </c>
      <c r="E23" s="166">
        <f t="shared" si="2"/>
        <v>1.6774079915529485</v>
      </c>
      <c r="F23" s="166">
        <f t="shared" si="3"/>
        <v>2.2365439887372647</v>
      </c>
      <c r="G23" s="166">
        <f t="shared" si="4"/>
        <v>2.7956799859215806</v>
      </c>
      <c r="H23" s="166">
        <f t="shared" si="5"/>
        <v>3.354815983105897</v>
      </c>
      <c r="I23" s="166">
        <f t="shared" si="6"/>
        <v>3.9139519802902134</v>
      </c>
      <c r="J23" s="166">
        <f t="shared" si="7"/>
        <v>4.4730879774745294</v>
      </c>
      <c r="K23" s="167">
        <f t="shared" si="8"/>
        <v>5.0322239746588453</v>
      </c>
    </row>
    <row r="24" spans="2:11">
      <c r="B24" s="164">
        <v>28</v>
      </c>
      <c r="C24" s="165">
        <f t="shared" si="0"/>
        <v>0.6013204688511713</v>
      </c>
      <c r="D24" s="166">
        <f t="shared" si="1"/>
        <v>1.2026409377023426</v>
      </c>
      <c r="E24" s="166">
        <f t="shared" si="2"/>
        <v>1.8039614065535139</v>
      </c>
      <c r="F24" s="166">
        <f t="shared" si="3"/>
        <v>2.4052818754046852</v>
      </c>
      <c r="G24" s="166">
        <f t="shared" si="4"/>
        <v>3.0066023442558567</v>
      </c>
      <c r="H24" s="166">
        <f t="shared" si="5"/>
        <v>3.6079228131070278</v>
      </c>
      <c r="I24" s="166">
        <f t="shared" si="6"/>
        <v>4.2092432819581989</v>
      </c>
      <c r="J24" s="166">
        <f t="shared" si="7"/>
        <v>4.8105637508093704</v>
      </c>
      <c r="K24" s="167">
        <f t="shared" si="8"/>
        <v>5.4118842196605419</v>
      </c>
    </row>
    <row r="25" spans="2:11">
      <c r="B25" s="164">
        <v>29</v>
      </c>
      <c r="C25" s="165">
        <f t="shared" si="0"/>
        <v>0.64503892130591212</v>
      </c>
      <c r="D25" s="166">
        <f t="shared" si="1"/>
        <v>1.2900778426118242</v>
      </c>
      <c r="E25" s="166">
        <f t="shared" si="2"/>
        <v>1.9351167639177365</v>
      </c>
      <c r="F25" s="166">
        <f t="shared" si="3"/>
        <v>2.5801556852236485</v>
      </c>
      <c r="G25" s="166">
        <f t="shared" si="4"/>
        <v>3.2251946065295605</v>
      </c>
      <c r="H25" s="166">
        <f t="shared" si="5"/>
        <v>3.8702335278354729</v>
      </c>
      <c r="I25" s="166">
        <f t="shared" si="6"/>
        <v>4.5152724491413849</v>
      </c>
      <c r="J25" s="166">
        <f t="shared" si="7"/>
        <v>5.1603113704472969</v>
      </c>
      <c r="K25" s="167">
        <f t="shared" si="8"/>
        <v>5.8053502917532089</v>
      </c>
    </row>
    <row r="26" spans="2:11" ht="15.75" thickBot="1">
      <c r="B26" s="168">
        <v>30</v>
      </c>
      <c r="C26" s="169">
        <f t="shared" si="0"/>
        <v>0.69029135454853852</v>
      </c>
      <c r="D26" s="170">
        <f t="shared" si="1"/>
        <v>1.380582709097077</v>
      </c>
      <c r="E26" s="170">
        <f t="shared" si="2"/>
        <v>2.0708740636456158</v>
      </c>
      <c r="F26" s="170">
        <f t="shared" si="3"/>
        <v>2.7611654181941541</v>
      </c>
      <c r="G26" s="170">
        <f t="shared" si="4"/>
        <v>3.4514567727426924</v>
      </c>
      <c r="H26" s="170">
        <f t="shared" si="5"/>
        <v>4.1417481272912315</v>
      </c>
      <c r="I26" s="170">
        <f t="shared" si="6"/>
        <v>4.8320394818397698</v>
      </c>
      <c r="J26" s="170">
        <f t="shared" si="7"/>
        <v>5.5223308363883081</v>
      </c>
      <c r="K26" s="171">
        <f t="shared" si="8"/>
        <v>6.2126221909368464</v>
      </c>
    </row>
  </sheetData>
  <sheetProtection password="EFD6" sheet="1" selectLockedCells="1"/>
  <hyperlinks>
    <hyperlink ref="M5" location="'Index Page'!A1" display="Back to the first page"/>
    <hyperlink ref="M7" r:id="rId1"/>
  </hyperlinks>
  <pageMargins left="0.7" right="0.7" top="0.75" bottom="0.75" header="0.3" footer="0.3"/>
  <pageSetup paperSize="9" orientation="portrait" horizontalDpi="1200" verticalDpi="1200" r:id="rId2"/>
</worksheet>
</file>

<file path=xl/worksheets/sheet51.xml><?xml version="1.0" encoding="utf-8"?>
<worksheet xmlns="http://schemas.openxmlformats.org/spreadsheetml/2006/main" xmlns:r="http://schemas.openxmlformats.org/officeDocument/2006/relationships">
  <dimension ref="A1:E30"/>
  <sheetViews>
    <sheetView showGridLines="0" workbookViewId="0">
      <selection activeCell="E13" sqref="E13"/>
    </sheetView>
  </sheetViews>
  <sheetFormatPr defaultRowHeight="12.75"/>
  <cols>
    <col min="1" max="1" width="44.5703125" bestFit="1" customWidth="1"/>
    <col min="2" max="2" width="17" bestFit="1" customWidth="1"/>
    <col min="5" max="5" width="54.85546875" customWidth="1"/>
  </cols>
  <sheetData>
    <row r="1" spans="1:5" ht="23.25">
      <c r="A1" s="135" t="s">
        <v>675</v>
      </c>
    </row>
    <row r="2" spans="1:5">
      <c r="A2" s="18"/>
    </row>
    <row r="3" spans="1:5">
      <c r="A3" s="80" t="s">
        <v>665</v>
      </c>
      <c r="B3" s="154">
        <v>85</v>
      </c>
    </row>
    <row r="4" spans="1:5">
      <c r="A4" s="80" t="s">
        <v>664</v>
      </c>
      <c r="B4" s="154">
        <v>130</v>
      </c>
      <c r="E4" s="45" t="s">
        <v>631</v>
      </c>
    </row>
    <row r="5" spans="1:5">
      <c r="A5" s="27" t="s">
        <v>666</v>
      </c>
      <c r="B5" s="156">
        <v>9</v>
      </c>
      <c r="C5" s="27" t="s">
        <v>159</v>
      </c>
      <c r="E5" s="46" t="s">
        <v>632</v>
      </c>
    </row>
    <row r="6" spans="1:5">
      <c r="A6" s="27" t="s">
        <v>673</v>
      </c>
      <c r="B6" s="154">
        <v>5</v>
      </c>
      <c r="C6" s="27" t="s">
        <v>159</v>
      </c>
      <c r="E6" s="85" t="s">
        <v>24</v>
      </c>
    </row>
    <row r="7" spans="1:5">
      <c r="A7" s="27" t="s">
        <v>677</v>
      </c>
      <c r="B7" s="154">
        <v>6.25</v>
      </c>
      <c r="C7" s="27" t="s">
        <v>159</v>
      </c>
    </row>
    <row r="8" spans="1:5">
      <c r="A8" s="27" t="s">
        <v>670</v>
      </c>
      <c r="B8" s="154">
        <v>250</v>
      </c>
      <c r="C8" t="s">
        <v>427</v>
      </c>
      <c r="E8" s="18" t="s">
        <v>513</v>
      </c>
    </row>
    <row r="9" spans="1:5">
      <c r="A9" s="27" t="s">
        <v>671</v>
      </c>
      <c r="B9" s="154">
        <v>12000</v>
      </c>
      <c r="C9" t="s">
        <v>366</v>
      </c>
      <c r="E9" s="85" t="s">
        <v>721</v>
      </c>
    </row>
    <row r="10" spans="1:5">
      <c r="A10" s="27" t="s">
        <v>678</v>
      </c>
      <c r="B10" s="154">
        <v>800</v>
      </c>
      <c r="C10" t="s">
        <v>366</v>
      </c>
      <c r="E10" s="18" t="s">
        <v>516</v>
      </c>
    </row>
    <row r="11" spans="1:5">
      <c r="A11" s="27" t="s">
        <v>325</v>
      </c>
      <c r="B11" s="154">
        <v>12.5</v>
      </c>
      <c r="C11" t="s">
        <v>386</v>
      </c>
      <c r="E11" s="35" t="s">
        <v>517</v>
      </c>
    </row>
    <row r="12" spans="1:5">
      <c r="A12" s="27" t="s">
        <v>672</v>
      </c>
      <c r="B12" s="154">
        <v>9000</v>
      </c>
      <c r="C12" t="s">
        <v>366</v>
      </c>
    </row>
    <row r="13" spans="1:5">
      <c r="A13" s="27"/>
      <c r="E13" s="193" t="s">
        <v>830</v>
      </c>
    </row>
    <row r="14" spans="1:5">
      <c r="A14" s="27" t="s">
        <v>70</v>
      </c>
      <c r="B14" s="151">
        <f>B4-B3</f>
        <v>45</v>
      </c>
    </row>
    <row r="15" spans="1:5">
      <c r="A15" s="27" t="s">
        <v>77</v>
      </c>
      <c r="B15" s="141">
        <f>3.32*LOG10(B4/B3)</f>
        <v>0.61262109628724604</v>
      </c>
    </row>
    <row r="16" spans="1:5">
      <c r="A16" s="27" t="s">
        <v>6</v>
      </c>
      <c r="B16" s="141">
        <f>B3/(511^B15)</f>
        <v>1.8628725559104602</v>
      </c>
    </row>
    <row r="17" spans="1:3">
      <c r="A17" s="27" t="s">
        <v>684</v>
      </c>
      <c r="B17" s="138">
        <f>(0.45+((B6^2)/(B5^2-B6^2)))*B8</f>
        <v>224.10714285714286</v>
      </c>
      <c r="C17" t="s">
        <v>427</v>
      </c>
    </row>
    <row r="18" spans="1:3">
      <c r="A18" s="27" t="s">
        <v>682</v>
      </c>
      <c r="B18" s="138">
        <f>B17*1.5</f>
        <v>336.16071428571428</v>
      </c>
      <c r="C18" t="s">
        <v>427</v>
      </c>
    </row>
    <row r="19" spans="1:3">
      <c r="A19" s="27" t="s">
        <v>679</v>
      </c>
      <c r="B19" s="138">
        <f>(2.4*B18)/(B5-B6)</f>
        <v>201.69642857142856</v>
      </c>
    </row>
    <row r="20" spans="1:3">
      <c r="A20" s="27" t="s">
        <v>680</v>
      </c>
      <c r="B20" s="138">
        <f>B16*(B19)^B15</f>
        <v>48.093887993737013</v>
      </c>
    </row>
    <row r="21" spans="1:3">
      <c r="A21" s="27" t="s">
        <v>685</v>
      </c>
      <c r="B21" s="138">
        <f>(0.45+((B7^2)/(B5^2-B7^2)))*B8</f>
        <v>345.36140089418774</v>
      </c>
      <c r="C21" t="s">
        <v>427</v>
      </c>
    </row>
    <row r="22" spans="1:3">
      <c r="A22" s="27" t="s">
        <v>683</v>
      </c>
      <c r="B22" s="138">
        <f>B21*1.5</f>
        <v>518.04210134128164</v>
      </c>
      <c r="C22" t="s">
        <v>427</v>
      </c>
    </row>
    <row r="23" spans="1:3">
      <c r="A23" s="27" t="s">
        <v>687</v>
      </c>
      <c r="B23" s="138">
        <f>B22*(B5^2-B7^2)/24.5</f>
        <v>886.75063775510205</v>
      </c>
      <c r="C23" t="s">
        <v>429</v>
      </c>
    </row>
    <row r="24" spans="1:3">
      <c r="A24" s="147" t="s">
        <v>676</v>
      </c>
      <c r="B24" s="152">
        <f>(3.33*B20/(B5-B6)*B9/1000)</f>
        <v>480.45794105743278</v>
      </c>
      <c r="C24" t="s">
        <v>367</v>
      </c>
    </row>
    <row r="25" spans="1:3">
      <c r="A25" s="147" t="s">
        <v>681</v>
      </c>
      <c r="B25" s="152">
        <f>(0.000077*B11^0.8*B23^1.8*B14^0.2*B10)/((B5-B7)^3*(B5+B7)^1.8)</f>
        <v>71.764579138868896</v>
      </c>
      <c r="C25" t="s">
        <v>367</v>
      </c>
    </row>
    <row r="26" spans="1:3">
      <c r="A26" s="149" t="s">
        <v>686</v>
      </c>
      <c r="B26" s="144">
        <f>B25+B24</f>
        <v>552.22252019630173</v>
      </c>
      <c r="C26" t="s">
        <v>367</v>
      </c>
    </row>
    <row r="27" spans="1:3">
      <c r="A27" s="27" t="s">
        <v>714</v>
      </c>
      <c r="B27" s="153">
        <f>(0.052*B12*B11)+B26</f>
        <v>6402.222520196302</v>
      </c>
      <c r="C27" t="s">
        <v>367</v>
      </c>
    </row>
    <row r="28" spans="1:3">
      <c r="A28" s="27" t="s">
        <v>715</v>
      </c>
      <c r="B28" s="153">
        <f>B27/(0.052*B12)</f>
        <v>13.679962649992099</v>
      </c>
      <c r="C28" t="s">
        <v>386</v>
      </c>
    </row>
    <row r="29" spans="1:3">
      <c r="A29" s="27" t="s">
        <v>716</v>
      </c>
      <c r="B29" s="153">
        <f>(0.052*B12*B11)-B26</f>
        <v>5297.777479803698</v>
      </c>
      <c r="C29" t="s">
        <v>367</v>
      </c>
    </row>
    <row r="30" spans="1:3">
      <c r="A30" s="27" t="s">
        <v>717</v>
      </c>
      <c r="B30" s="153">
        <f>B29/(0.052*B12)</f>
        <v>11.320037350007901</v>
      </c>
      <c r="C30" t="s">
        <v>386</v>
      </c>
    </row>
  </sheetData>
  <sheetProtection password="EFD6" sheet="1" selectLockedCells="1"/>
  <hyperlinks>
    <hyperlink ref="E6" location="'Index Page'!A1" display="Back to the first page"/>
    <hyperlink ref="E11" r:id="rId1"/>
    <hyperlink ref="E9" r:id="rId2"/>
    <hyperlink ref="E13" r:id="rId3"/>
  </hyperlinks>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E31"/>
  <sheetViews>
    <sheetView showGridLines="0" workbookViewId="0">
      <selection activeCell="E12" sqref="E12"/>
    </sheetView>
  </sheetViews>
  <sheetFormatPr defaultRowHeight="12.75"/>
  <cols>
    <col min="1" max="1" width="59" bestFit="1" customWidth="1"/>
    <col min="2" max="2" width="18.42578125" customWidth="1"/>
    <col min="5" max="5" width="54.140625" customWidth="1"/>
  </cols>
  <sheetData>
    <row r="1" spans="1:5" ht="23.25">
      <c r="A1" s="135" t="s">
        <v>669</v>
      </c>
    </row>
    <row r="3" spans="1:5">
      <c r="A3" s="80" t="s">
        <v>665</v>
      </c>
      <c r="B3" s="107">
        <v>47</v>
      </c>
      <c r="E3" s="45" t="s">
        <v>631</v>
      </c>
    </row>
    <row r="4" spans="1:5">
      <c r="A4" s="80" t="s">
        <v>664</v>
      </c>
      <c r="B4" s="107">
        <v>80</v>
      </c>
      <c r="E4" s="46" t="s">
        <v>632</v>
      </c>
    </row>
    <row r="5" spans="1:5">
      <c r="A5" s="27" t="s">
        <v>666</v>
      </c>
      <c r="B5" s="107">
        <v>6.35</v>
      </c>
      <c r="C5" s="27" t="s">
        <v>159</v>
      </c>
      <c r="E5" s="85" t="s">
        <v>24</v>
      </c>
    </row>
    <row r="6" spans="1:5">
      <c r="A6" s="27" t="s">
        <v>688</v>
      </c>
      <c r="B6" s="107">
        <v>5</v>
      </c>
      <c r="C6" s="27" t="s">
        <v>159</v>
      </c>
      <c r="E6" s="85"/>
    </row>
    <row r="7" spans="1:5">
      <c r="A7" s="27" t="s">
        <v>689</v>
      </c>
      <c r="B7" s="107">
        <v>2.25</v>
      </c>
      <c r="C7" s="27" t="s">
        <v>159</v>
      </c>
      <c r="E7" s="18" t="s">
        <v>513</v>
      </c>
    </row>
    <row r="8" spans="1:5">
      <c r="A8" s="27" t="s">
        <v>673</v>
      </c>
      <c r="B8" s="107">
        <v>4</v>
      </c>
      <c r="C8" s="27" t="s">
        <v>159</v>
      </c>
      <c r="E8" s="85" t="s">
        <v>720</v>
      </c>
    </row>
    <row r="9" spans="1:5">
      <c r="A9" s="27" t="s">
        <v>674</v>
      </c>
      <c r="B9" s="107">
        <v>3.34</v>
      </c>
      <c r="C9" s="27" t="s">
        <v>159</v>
      </c>
      <c r="E9" s="18" t="s">
        <v>516</v>
      </c>
    </row>
    <row r="10" spans="1:5">
      <c r="A10" s="27" t="s">
        <v>670</v>
      </c>
      <c r="B10" s="107">
        <v>20</v>
      </c>
      <c r="C10" t="s">
        <v>427</v>
      </c>
      <c r="E10" s="35" t="s">
        <v>517</v>
      </c>
    </row>
    <row r="11" spans="1:5">
      <c r="A11" s="27" t="s">
        <v>671</v>
      </c>
      <c r="B11" s="107">
        <v>12270</v>
      </c>
      <c r="C11" t="s">
        <v>366</v>
      </c>
    </row>
    <row r="12" spans="1:5">
      <c r="A12" s="27" t="s">
        <v>693</v>
      </c>
      <c r="B12" s="107">
        <v>100</v>
      </c>
      <c r="C12" t="s">
        <v>366</v>
      </c>
      <c r="E12" s="193" t="s">
        <v>830</v>
      </c>
    </row>
    <row r="13" spans="1:5">
      <c r="A13" s="27" t="s">
        <v>325</v>
      </c>
      <c r="B13" s="107">
        <v>13.2</v>
      </c>
      <c r="C13" t="s">
        <v>386</v>
      </c>
    </row>
    <row r="14" spans="1:5">
      <c r="A14" s="27" t="s">
        <v>672</v>
      </c>
      <c r="B14" s="107">
        <v>9972</v>
      </c>
      <c r="C14" t="s">
        <v>366</v>
      </c>
    </row>
    <row r="15" spans="1:5">
      <c r="A15" s="146" t="s">
        <v>692</v>
      </c>
      <c r="B15" s="107" t="s">
        <v>732</v>
      </c>
    </row>
    <row r="17" spans="1:3">
      <c r="A17" s="27" t="s">
        <v>77</v>
      </c>
      <c r="B17" s="119">
        <f>3.32*LOG10(B4/B3)</f>
        <v>0.76689386846667074</v>
      </c>
    </row>
    <row r="18" spans="1:3">
      <c r="A18" s="27" t="s">
        <v>6</v>
      </c>
      <c r="B18" s="119">
        <f>B3/511^B17</f>
        <v>0.39357406863431127</v>
      </c>
    </row>
    <row r="19" spans="1:3">
      <c r="A19" s="27" t="str">
        <f>IF(B15="Closed Ended Pipe","Fluid volocity around drill pipe (Closed ended pipe (plugged flow))","")</f>
        <v/>
      </c>
      <c r="B19" s="121" t="str">
        <f>IF(A19&lt;&gt;"",(0.45+((B8^2)/(B5^2-B8^2)))*B10,"")</f>
        <v/>
      </c>
      <c r="C19" t="str">
        <f>IF(B19="","","ft/min")</f>
        <v/>
      </c>
    </row>
    <row r="20" spans="1:3">
      <c r="A20" s="27" t="str">
        <f>IF(B15="Open Ended Pipe","Fluid volocity around drill pipe (Open ended pipe)","")</f>
        <v>Fluid volocity around drill pipe (Open ended pipe)</v>
      </c>
      <c r="B20" s="121">
        <f>IF(A20&lt;&gt;"",(0.45+((B8^2-B9^2)/(B5^2-B8^2+B9^2)))*B10,"")</f>
        <v>11.730924147572727</v>
      </c>
      <c r="C20" t="str">
        <f>IF(B20="","","ft/min")</f>
        <v>ft/min</v>
      </c>
    </row>
    <row r="21" spans="1:3">
      <c r="A21" s="27" t="s">
        <v>682</v>
      </c>
      <c r="B21" s="121">
        <f>IF(B19&lt;&gt;"",B19*1.5,B20*1.5)</f>
        <v>17.59638622135909</v>
      </c>
      <c r="C21" t="s">
        <v>427</v>
      </c>
    </row>
    <row r="22" spans="1:3">
      <c r="A22" s="147" t="s">
        <v>690</v>
      </c>
      <c r="B22" s="148">
        <f>((2.4*B21/(B5-B8)*((2*B17+1)/(3*B17)))^B17)*(B18*B11/(300*(B5-B8)))</f>
        <v>67.599724433582054</v>
      </c>
      <c r="C22" t="s">
        <v>367</v>
      </c>
    </row>
    <row r="23" spans="1:3">
      <c r="A23" s="27" t="str">
        <f>IF(B15="Closed Ended Pipe","Fluid volocity around drill collar (Closed ended pipe (plugged flow))","")</f>
        <v/>
      </c>
      <c r="B23" s="121" t="str">
        <f>IF(A23&lt;&gt;"",(0.45+((B6^2)/(B5^2-B6^2)))*B10,"")</f>
        <v/>
      </c>
      <c r="C23" t="str">
        <f>IF(B23="","","ft/min")</f>
        <v/>
      </c>
    </row>
    <row r="24" spans="1:3">
      <c r="A24" s="27" t="str">
        <f>IF(B15="Open Ended Pipe","Fluid volocity around drill collar (Open ended pipe)","")</f>
        <v>Fluid volocity around drill collar (Open ended pipe)</v>
      </c>
      <c r="B24" s="121">
        <f>IF(A24&lt;&gt;"",(0.45+((B6^2-B7^2)/(B5^2-B6^2+B7^2)))*B10,"")</f>
        <v>28.560951680156982</v>
      </c>
      <c r="C24" t="str">
        <f>IF(B24="","","ft/min")</f>
        <v>ft/min</v>
      </c>
    </row>
    <row r="25" spans="1:3">
      <c r="A25" s="27" t="s">
        <v>683</v>
      </c>
      <c r="B25" s="121">
        <f>IF(B23&lt;&gt;"",B23*1.5,B24*1.5)</f>
        <v>42.84142752023547</v>
      </c>
      <c r="C25" t="s">
        <v>427</v>
      </c>
    </row>
    <row r="26" spans="1:3">
      <c r="A26" s="147" t="s">
        <v>691</v>
      </c>
      <c r="B26" s="148">
        <f>((2.4*B25/(B5-B6)*((2*B17+1)/(3*B17)))^B17)*(B18*B12/(300*(B5-B6)))</f>
        <v>2.9027575748713232</v>
      </c>
      <c r="C26" t="s">
        <v>367</v>
      </c>
    </row>
    <row r="27" spans="1:3">
      <c r="A27" s="149" t="s">
        <v>694</v>
      </c>
      <c r="B27" s="150">
        <f>B22+B26</f>
        <v>70.50248200845337</v>
      </c>
      <c r="C27" t="s">
        <v>367</v>
      </c>
    </row>
    <row r="28" spans="1:3">
      <c r="A28" s="18" t="s">
        <v>710</v>
      </c>
      <c r="B28" s="136">
        <f>(0.052*B14*B13)+B27</f>
        <v>6915.2832820084532</v>
      </c>
      <c r="C28" s="18" t="s">
        <v>367</v>
      </c>
    </row>
    <row r="29" spans="1:3">
      <c r="A29" s="18" t="s">
        <v>711</v>
      </c>
      <c r="B29" s="136">
        <f>B28/(0.052*B14)</f>
        <v>13.335962390864523</v>
      </c>
      <c r="C29" s="18" t="s">
        <v>386</v>
      </c>
    </row>
    <row r="30" spans="1:3">
      <c r="A30" s="18" t="s">
        <v>712</v>
      </c>
      <c r="B30" s="136">
        <f>(0.052*B14*B13)-B27</f>
        <v>6774.2783179915459</v>
      </c>
      <c r="C30" s="18" t="s">
        <v>367</v>
      </c>
    </row>
    <row r="31" spans="1:3">
      <c r="A31" s="18" t="s">
        <v>713</v>
      </c>
      <c r="B31" s="136">
        <f>B30/(0.052*B14)</f>
        <v>13.064037609135475</v>
      </c>
      <c r="C31" s="18" t="s">
        <v>386</v>
      </c>
    </row>
  </sheetData>
  <sheetProtection password="EFD6" sheet="1" selectLockedCells="1"/>
  <dataValidations count="1">
    <dataValidation type="list" allowBlank="1" showInputMessage="1" showErrorMessage="1" sqref="B15">
      <formula1>"Closed Ended Pipe,Open Ended Pipe"</formula1>
    </dataValidation>
  </dataValidations>
  <hyperlinks>
    <hyperlink ref="E5" location="'Index Page'!A1" display="Back to the first page"/>
    <hyperlink ref="E8" r:id="rId1"/>
    <hyperlink ref="E10" r:id="rId2"/>
    <hyperlink ref="E12" r:id="rId3"/>
  </hyperlinks>
  <pageMargins left="0.7" right="0.7" top="0.75" bottom="0.75" header="0.3" footer="0.3"/>
  <pageSetup paperSize="9" orientation="portrait" horizontalDpi="1200" verticalDpi="1200" r:id="rId4"/>
</worksheet>
</file>

<file path=xl/worksheets/sheet53.xml><?xml version="1.0" encoding="utf-8"?>
<worksheet xmlns="http://schemas.openxmlformats.org/spreadsheetml/2006/main" xmlns:r="http://schemas.openxmlformats.org/officeDocument/2006/relationships">
  <dimension ref="A1:F17"/>
  <sheetViews>
    <sheetView showGridLines="0" workbookViewId="0">
      <selection activeCell="F12" sqref="F12"/>
    </sheetView>
  </sheetViews>
  <sheetFormatPr defaultRowHeight="12.75"/>
  <cols>
    <col min="1" max="1" width="20.5703125" bestFit="1" customWidth="1"/>
    <col min="2" max="2" width="8.7109375" customWidth="1"/>
    <col min="4" max="4" width="11.5703125" bestFit="1" customWidth="1"/>
    <col min="6" max="6" width="53.7109375" customWidth="1"/>
  </cols>
  <sheetData>
    <row r="1" spans="1:6" ht="23.25">
      <c r="A1" s="135" t="s">
        <v>696</v>
      </c>
    </row>
    <row r="2" spans="1:6">
      <c r="A2" s="27"/>
    </row>
    <row r="3" spans="1:6">
      <c r="A3" s="80" t="s">
        <v>665</v>
      </c>
      <c r="B3" s="154">
        <v>32</v>
      </c>
      <c r="F3" s="137" t="s">
        <v>631</v>
      </c>
    </row>
    <row r="4" spans="1:6">
      <c r="A4" s="80" t="s">
        <v>664</v>
      </c>
      <c r="B4" s="154">
        <v>49</v>
      </c>
      <c r="F4" s="46" t="s">
        <v>632</v>
      </c>
    </row>
    <row r="5" spans="1:6">
      <c r="A5" s="27" t="s">
        <v>653</v>
      </c>
      <c r="B5" s="154">
        <v>600</v>
      </c>
      <c r="C5" s="27" t="s">
        <v>429</v>
      </c>
      <c r="F5" s="85" t="s">
        <v>24</v>
      </c>
    </row>
    <row r="6" spans="1:6">
      <c r="A6" s="27" t="s">
        <v>666</v>
      </c>
      <c r="B6" s="155">
        <v>11.5</v>
      </c>
      <c r="C6" s="27" t="s">
        <v>159</v>
      </c>
      <c r="F6" s="85"/>
    </row>
    <row r="7" spans="1:6">
      <c r="A7" s="27" t="s">
        <v>342</v>
      </c>
      <c r="B7" s="154">
        <v>5</v>
      </c>
      <c r="C7" s="27" t="s">
        <v>159</v>
      </c>
      <c r="F7" s="18" t="s">
        <v>513</v>
      </c>
    </row>
    <row r="8" spans="1:6">
      <c r="A8" t="s">
        <v>657</v>
      </c>
      <c r="B8" s="154">
        <v>0.75</v>
      </c>
      <c r="C8" t="s">
        <v>159</v>
      </c>
      <c r="F8" s="85" t="s">
        <v>719</v>
      </c>
    </row>
    <row r="9" spans="1:6">
      <c r="A9" t="s">
        <v>658</v>
      </c>
      <c r="B9" s="154">
        <v>21.5</v>
      </c>
      <c r="C9" t="s">
        <v>386</v>
      </c>
      <c r="F9" s="18" t="s">
        <v>516</v>
      </c>
    </row>
    <row r="10" spans="1:6">
      <c r="A10" t="s">
        <v>470</v>
      </c>
      <c r="B10" s="154">
        <v>9.1999999999999993</v>
      </c>
      <c r="C10" t="s">
        <v>386</v>
      </c>
      <c r="F10" s="35" t="s">
        <v>517</v>
      </c>
    </row>
    <row r="12" spans="1:6">
      <c r="A12" s="27" t="s">
        <v>77</v>
      </c>
      <c r="B12" s="141">
        <f>3.32*LOG10(B4/B3)</f>
        <v>0.61435305767257753</v>
      </c>
      <c r="F12" s="193" t="s">
        <v>830</v>
      </c>
    </row>
    <row r="13" spans="1:6">
      <c r="A13" s="27" t="s">
        <v>6</v>
      </c>
      <c r="B13" s="141">
        <f>B3/(511^B12)</f>
        <v>0.69378246146296862</v>
      </c>
    </row>
    <row r="14" spans="1:6">
      <c r="A14" s="27" t="s">
        <v>667</v>
      </c>
      <c r="B14" s="139">
        <f>((2.4*B15/(B6-B7))*((2*B12+1)/(3*B12)))^B12*((200*B13*(B6-B7))/B15)</f>
        <v>82.40063559982822</v>
      </c>
      <c r="C14" s="27" t="s">
        <v>668</v>
      </c>
    </row>
    <row r="15" spans="1:6">
      <c r="A15" s="27" t="s">
        <v>659</v>
      </c>
      <c r="B15" s="142">
        <f>24.5*B5/(B6^2-B7^2)</f>
        <v>137.06293706293707</v>
      </c>
      <c r="C15" t="s">
        <v>427</v>
      </c>
      <c r="D15" t="s">
        <v>662</v>
      </c>
    </row>
    <row r="16" spans="1:6">
      <c r="A16" s="27" t="s">
        <v>660</v>
      </c>
      <c r="B16" s="143">
        <f>((B9-B10)^0.667*175*B8)/(B10^0.333*B14^0.333)</f>
        <v>76.934263017776587</v>
      </c>
      <c r="C16" t="s">
        <v>427</v>
      </c>
      <c r="D16" t="s">
        <v>661</v>
      </c>
    </row>
    <row r="17" spans="1:4">
      <c r="A17" t="s">
        <v>663</v>
      </c>
      <c r="B17" s="144">
        <f>B15-B16</f>
        <v>60.12867404516048</v>
      </c>
      <c r="C17" t="s">
        <v>427</v>
      </c>
      <c r="D17" s="145" t="str">
        <f>IF(B17&gt;=0,"Good","Bad")</f>
        <v>Good</v>
      </c>
    </row>
  </sheetData>
  <sheetProtection password="EFD6" sheet="1" selectLockedCells="1"/>
  <hyperlinks>
    <hyperlink ref="F5" location="'Index Page'!A1" display="Back to the first page"/>
    <hyperlink ref="F8" r:id="rId1"/>
    <hyperlink ref="F10" r:id="rId2"/>
    <hyperlink ref="F12" r:id="rId3"/>
  </hyperlinks>
  <pageMargins left="0.7" right="0.7" top="0.75" bottom="0.75" header="0.3" footer="0.3"/>
  <pageSetup paperSize="9" orientation="portrait" r:id="rId4"/>
</worksheet>
</file>

<file path=xl/worksheets/sheet54.xml><?xml version="1.0" encoding="utf-8"?>
<worksheet xmlns="http://schemas.openxmlformats.org/spreadsheetml/2006/main" xmlns:r="http://schemas.openxmlformats.org/officeDocument/2006/relationships">
  <dimension ref="A1:F13"/>
  <sheetViews>
    <sheetView showGridLines="0" workbookViewId="0">
      <selection activeCell="F12" sqref="F12"/>
    </sheetView>
  </sheetViews>
  <sheetFormatPr defaultRowHeight="12.75"/>
  <cols>
    <col min="1" max="1" width="20.5703125" bestFit="1" customWidth="1"/>
    <col min="2" max="2" width="16.7109375" bestFit="1" customWidth="1"/>
    <col min="4" max="4" width="11.5703125" bestFit="1" customWidth="1"/>
    <col min="6" max="6" width="53.85546875" customWidth="1"/>
  </cols>
  <sheetData>
    <row r="1" spans="1:6" ht="23.25">
      <c r="A1" s="135" t="s">
        <v>695</v>
      </c>
    </row>
    <row r="2" spans="1:6" ht="9" customHeight="1">
      <c r="A2" s="135"/>
    </row>
    <row r="3" spans="1:6">
      <c r="A3" t="s">
        <v>653</v>
      </c>
      <c r="B3" s="154">
        <v>600</v>
      </c>
      <c r="C3" t="s">
        <v>429</v>
      </c>
      <c r="F3" s="45" t="s">
        <v>631</v>
      </c>
    </row>
    <row r="4" spans="1:6">
      <c r="A4" t="s">
        <v>341</v>
      </c>
      <c r="B4" s="154">
        <v>11.5</v>
      </c>
      <c r="C4" t="s">
        <v>159</v>
      </c>
      <c r="F4" s="46" t="s">
        <v>632</v>
      </c>
    </row>
    <row r="5" spans="1:6">
      <c r="A5" t="s">
        <v>654</v>
      </c>
      <c r="B5" s="154">
        <v>5</v>
      </c>
      <c r="C5" t="s">
        <v>159</v>
      </c>
      <c r="F5" s="85" t="s">
        <v>24</v>
      </c>
    </row>
    <row r="6" spans="1:6">
      <c r="A6" t="s">
        <v>70</v>
      </c>
      <c r="B6" s="154">
        <v>17</v>
      </c>
      <c r="C6" t="s">
        <v>655</v>
      </c>
      <c r="F6" s="85"/>
    </row>
    <row r="7" spans="1:6">
      <c r="A7" t="s">
        <v>656</v>
      </c>
      <c r="B7" s="154">
        <v>9.1999999999999993</v>
      </c>
      <c r="C7" t="s">
        <v>386</v>
      </c>
      <c r="F7" s="18" t="s">
        <v>513</v>
      </c>
    </row>
    <row r="8" spans="1:6">
      <c r="A8" t="s">
        <v>657</v>
      </c>
      <c r="B8" s="155">
        <v>0.75</v>
      </c>
      <c r="C8" t="s">
        <v>159</v>
      </c>
      <c r="F8" s="85" t="s">
        <v>718</v>
      </c>
    </row>
    <row r="9" spans="1:6">
      <c r="A9" t="s">
        <v>658</v>
      </c>
      <c r="B9" s="172">
        <v>21.5</v>
      </c>
      <c r="C9" t="s">
        <v>386</v>
      </c>
      <c r="F9" s="18" t="s">
        <v>516</v>
      </c>
    </row>
    <row r="10" spans="1:6">
      <c r="F10" s="35" t="s">
        <v>517</v>
      </c>
    </row>
    <row r="11" spans="1:6">
      <c r="A11" t="s">
        <v>659</v>
      </c>
      <c r="B11" s="138">
        <f>(24.5*B3)/(B4^2-B5^2)</f>
        <v>137.06293706293707</v>
      </c>
      <c r="C11" t="s">
        <v>427</v>
      </c>
      <c r="D11" t="s">
        <v>662</v>
      </c>
    </row>
    <row r="12" spans="1:6">
      <c r="A12" t="s">
        <v>660</v>
      </c>
      <c r="B12" s="139">
        <f>0.45*(B6/(B7*B8))*(((36800/((B6/(B7*B8))^2)*B8*((B9/B7)-1)+1))^0.5-1)</f>
        <v>85.340591250895173</v>
      </c>
      <c r="C12" t="s">
        <v>427</v>
      </c>
      <c r="D12" t="s">
        <v>661</v>
      </c>
      <c r="F12" s="193" t="s">
        <v>830</v>
      </c>
    </row>
    <row r="13" spans="1:6">
      <c r="A13" t="s">
        <v>663</v>
      </c>
      <c r="B13" s="140">
        <f>B11-B12</f>
        <v>51.722345812041894</v>
      </c>
      <c r="C13" t="s">
        <v>427</v>
      </c>
      <c r="D13" s="145" t="str">
        <f>IF(B13&gt;=0,"Good","Bad")</f>
        <v>Good</v>
      </c>
    </row>
  </sheetData>
  <sheetProtection password="EFD6" sheet="1" selectLockedCells="1"/>
  <hyperlinks>
    <hyperlink ref="F5" location="'Index Page'!A1" display="Back to the first page"/>
    <hyperlink ref="F8" r:id="rId1"/>
    <hyperlink ref="F10" r:id="rId2"/>
    <hyperlink ref="F12" r:id="rId3"/>
  </hyperlinks>
  <pageMargins left="0.7" right="0.7" top="0.75" bottom="0.75" header="0.3" footer="0.3"/>
  <pageSetup paperSize="9" orientation="portrait" horizontalDpi="1200" verticalDpi="1200" r:id="rId4"/>
</worksheet>
</file>

<file path=xl/worksheets/sheet55.xml><?xml version="1.0" encoding="utf-8"?>
<worksheet xmlns="http://schemas.openxmlformats.org/spreadsheetml/2006/main" xmlns:r="http://schemas.openxmlformats.org/officeDocument/2006/relationships">
  <dimension ref="A1:E13"/>
  <sheetViews>
    <sheetView showGridLines="0" workbookViewId="0">
      <selection activeCell="E13" sqref="E13"/>
    </sheetView>
  </sheetViews>
  <sheetFormatPr defaultRowHeight="12.75"/>
  <cols>
    <col min="1" max="1" width="29.5703125" customWidth="1"/>
    <col min="3" max="3" width="6.5703125" customWidth="1"/>
    <col min="4" max="4" width="5.42578125" customWidth="1"/>
    <col min="5" max="5" width="56.5703125" bestFit="1" customWidth="1"/>
  </cols>
  <sheetData>
    <row r="1" spans="1:5">
      <c r="A1" s="18" t="s">
        <v>652</v>
      </c>
    </row>
    <row r="3" spans="1:5">
      <c r="A3" s="30" t="s">
        <v>647</v>
      </c>
      <c r="B3" s="107">
        <v>3620</v>
      </c>
      <c r="C3" t="s">
        <v>367</v>
      </c>
      <c r="E3" s="45" t="s">
        <v>631</v>
      </c>
    </row>
    <row r="4" spans="1:5">
      <c r="A4" s="27" t="s">
        <v>639</v>
      </c>
      <c r="B4" s="107">
        <v>20</v>
      </c>
      <c r="C4" t="s">
        <v>364</v>
      </c>
      <c r="E4" s="46" t="s">
        <v>632</v>
      </c>
    </row>
    <row r="5" spans="1:5">
      <c r="A5" s="30" t="s">
        <v>634</v>
      </c>
      <c r="B5" s="107">
        <v>14.5</v>
      </c>
      <c r="C5" t="s">
        <v>386</v>
      </c>
      <c r="E5" s="85" t="s">
        <v>24</v>
      </c>
    </row>
    <row r="6" spans="1:5">
      <c r="A6" s="30" t="s">
        <v>640</v>
      </c>
      <c r="B6" s="107">
        <v>0.1215</v>
      </c>
      <c r="C6" t="s">
        <v>361</v>
      </c>
    </row>
    <row r="7" spans="1:5">
      <c r="A7" s="18" t="s">
        <v>651</v>
      </c>
      <c r="B7" s="121">
        <f>4*((B3*B4*B6/B5))^0.5</f>
        <v>98.522043743764655</v>
      </c>
      <c r="C7" t="s">
        <v>364</v>
      </c>
    </row>
    <row r="8" spans="1:5">
      <c r="E8" s="18" t="s">
        <v>513</v>
      </c>
    </row>
    <row r="9" spans="1:5">
      <c r="E9" s="85" t="s">
        <v>650</v>
      </c>
    </row>
    <row r="10" spans="1:5">
      <c r="E10" s="18" t="s">
        <v>516</v>
      </c>
    </row>
    <row r="11" spans="1:5">
      <c r="E11" s="35" t="s">
        <v>517</v>
      </c>
    </row>
    <row r="13" spans="1:5">
      <c r="E13" s="193" t="s">
        <v>830</v>
      </c>
    </row>
  </sheetData>
  <sheetProtection password="EFD6" sheet="1" selectLockedCells="1"/>
  <phoneticPr fontId="44" type="noConversion"/>
  <hyperlinks>
    <hyperlink ref="E5" location="'Index Page'!A1" display="Back to the first page"/>
    <hyperlink ref="E11" r:id="rId1"/>
    <hyperlink ref="A3" location="'formation pressure well shut in'!A1" display="Expected formation pressure"/>
    <hyperlink ref="A5" location="KWM!A1" display="Kill Weight Mud"/>
    <hyperlink ref="A6" location="'Annular Capacity'!A1" display="Annular Capacity"/>
    <hyperlink ref="E9" r:id="rId2"/>
    <hyperlink ref="E13" r:id="rId3"/>
  </hyperlinks>
  <pageMargins left="0.75" right="0.75" top="1" bottom="1" header="0.5" footer="0.5"/>
  <headerFooter alignWithMargins="0"/>
</worksheet>
</file>

<file path=xl/worksheets/sheet56.xml><?xml version="1.0" encoding="utf-8"?>
<worksheet xmlns="http://schemas.openxmlformats.org/spreadsheetml/2006/main" xmlns:r="http://schemas.openxmlformats.org/officeDocument/2006/relationships">
  <dimension ref="A1:E13"/>
  <sheetViews>
    <sheetView showGridLines="0" workbookViewId="0">
      <selection activeCell="E13" sqref="E13"/>
    </sheetView>
  </sheetViews>
  <sheetFormatPr defaultRowHeight="12.75"/>
  <cols>
    <col min="1" max="1" width="39.5703125" bestFit="1" customWidth="1"/>
    <col min="3" max="3" width="6.5703125" customWidth="1"/>
    <col min="4" max="4" width="5.42578125" customWidth="1"/>
    <col min="5" max="5" width="56.5703125" bestFit="1" customWidth="1"/>
  </cols>
  <sheetData>
    <row r="1" spans="1:5">
      <c r="A1" s="18" t="s">
        <v>646</v>
      </c>
    </row>
    <row r="3" spans="1:5">
      <c r="A3" s="30" t="s">
        <v>647</v>
      </c>
      <c r="B3" s="107">
        <v>6378</v>
      </c>
      <c r="C3" t="s">
        <v>367</v>
      </c>
      <c r="E3" s="45" t="s">
        <v>631</v>
      </c>
    </row>
    <row r="4" spans="1:5">
      <c r="A4" s="27" t="s">
        <v>639</v>
      </c>
      <c r="B4" s="107">
        <v>25</v>
      </c>
      <c r="C4" t="s">
        <v>364</v>
      </c>
      <c r="E4" s="46" t="s">
        <v>632</v>
      </c>
    </row>
    <row r="5" spans="1:5">
      <c r="A5" s="30" t="s">
        <v>634</v>
      </c>
      <c r="B5" s="107">
        <v>13</v>
      </c>
      <c r="C5" t="s">
        <v>386</v>
      </c>
      <c r="E5" s="85" t="s">
        <v>24</v>
      </c>
    </row>
    <row r="6" spans="1:5">
      <c r="A6" s="30" t="s">
        <v>640</v>
      </c>
      <c r="B6" s="107">
        <v>4.5900000000000003E-2</v>
      </c>
      <c r="C6" t="s">
        <v>361</v>
      </c>
    </row>
    <row r="7" spans="1:5">
      <c r="A7" s="18" t="s">
        <v>648</v>
      </c>
      <c r="B7" s="53">
        <f>0.2*((B3*B4*B5/B6))^0.5</f>
        <v>1344.0257544995818</v>
      </c>
      <c r="C7" t="s">
        <v>367</v>
      </c>
    </row>
    <row r="8" spans="1:5">
      <c r="E8" s="18" t="s">
        <v>513</v>
      </c>
    </row>
    <row r="9" spans="1:5">
      <c r="E9" s="35" t="s">
        <v>649</v>
      </c>
    </row>
    <row r="10" spans="1:5">
      <c r="E10" s="18" t="s">
        <v>516</v>
      </c>
    </row>
    <row r="11" spans="1:5">
      <c r="E11" s="35" t="s">
        <v>517</v>
      </c>
    </row>
    <row r="13" spans="1:5">
      <c r="E13" s="193" t="s">
        <v>830</v>
      </c>
    </row>
  </sheetData>
  <sheetProtection password="EFD6" sheet="1" objects="1" scenarios="1" selectLockedCells="1"/>
  <phoneticPr fontId="44" type="noConversion"/>
  <hyperlinks>
    <hyperlink ref="E5" location="'Index Page'!A1" display="Back to the first page"/>
    <hyperlink ref="E11" r:id="rId1"/>
    <hyperlink ref="A3" location="'formation pressure well shut in'!A1" display="Expected formation pressure"/>
    <hyperlink ref="A5" location="KWM!A1" display="Kill Weight Mud"/>
    <hyperlink ref="A6" location="'Annular Capacity'!A1" display="Annular Capacity"/>
    <hyperlink ref="E9" r:id="rId2"/>
    <hyperlink ref="E13" r:id="rId3"/>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dimension ref="A1:E13"/>
  <sheetViews>
    <sheetView showGridLines="0" workbookViewId="0">
      <selection activeCell="E13" sqref="E13"/>
    </sheetView>
  </sheetViews>
  <sheetFormatPr defaultRowHeight="12.75"/>
  <cols>
    <col min="1" max="1" width="39.5703125" bestFit="1" customWidth="1"/>
    <col min="3" max="3" width="6.5703125" customWidth="1"/>
    <col min="4" max="4" width="5.42578125" customWidth="1"/>
    <col min="5" max="5" width="56.5703125" bestFit="1" customWidth="1"/>
  </cols>
  <sheetData>
    <row r="1" spans="1:5" ht="15">
      <c r="A1" s="133" t="s">
        <v>644</v>
      </c>
    </row>
    <row r="3" spans="1:5">
      <c r="A3" s="27" t="s">
        <v>384</v>
      </c>
      <c r="B3" s="107">
        <v>12</v>
      </c>
      <c r="C3" t="s">
        <v>386</v>
      </c>
      <c r="E3" s="45" t="s">
        <v>631</v>
      </c>
    </row>
    <row r="4" spans="1:5">
      <c r="A4" s="132" t="s">
        <v>640</v>
      </c>
      <c r="B4" s="107">
        <v>3.5200000000000002E-2</v>
      </c>
      <c r="C4" t="s">
        <v>361</v>
      </c>
      <c r="E4" s="46" t="s">
        <v>632</v>
      </c>
    </row>
    <row r="5" spans="1:5">
      <c r="A5" s="27" t="s">
        <v>639</v>
      </c>
      <c r="B5" s="107">
        <v>15</v>
      </c>
      <c r="C5" t="s">
        <v>364</v>
      </c>
      <c r="E5" s="85" t="s">
        <v>24</v>
      </c>
    </row>
    <row r="6" spans="1:5">
      <c r="A6" s="18" t="s">
        <v>644</v>
      </c>
      <c r="B6" s="53">
        <f>((B3*0.052)/B4)*B5</f>
        <v>265.90909090909088</v>
      </c>
      <c r="C6" t="s">
        <v>366</v>
      </c>
    </row>
    <row r="8" spans="1:5">
      <c r="E8" s="18" t="s">
        <v>513</v>
      </c>
    </row>
    <row r="9" spans="1:5">
      <c r="E9" s="35" t="s">
        <v>645</v>
      </c>
    </row>
    <row r="10" spans="1:5">
      <c r="E10" s="18" t="s">
        <v>516</v>
      </c>
    </row>
    <row r="11" spans="1:5">
      <c r="E11" s="35" t="s">
        <v>517</v>
      </c>
    </row>
    <row r="13" spans="1:5">
      <c r="E13" s="193" t="s">
        <v>830</v>
      </c>
    </row>
  </sheetData>
  <sheetProtection password="EFD6" sheet="1" objects="1" scenarios="1" selectLockedCells="1"/>
  <phoneticPr fontId="44" type="noConversion"/>
  <hyperlinks>
    <hyperlink ref="A4" location="'Annular Capacity'!A1" display="Annular Capacity"/>
    <hyperlink ref="E5" location="'Index Page'!A1" display="Back to the first page"/>
    <hyperlink ref="E11" r:id="rId1"/>
    <hyperlink ref="E9" r:id="rId2"/>
    <hyperlink ref="E13" r:id="rId3"/>
  </hyperlinks>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dimension ref="A1:E13"/>
  <sheetViews>
    <sheetView showGridLines="0" workbookViewId="0">
      <selection activeCell="E13" sqref="E13"/>
    </sheetView>
  </sheetViews>
  <sheetFormatPr defaultRowHeight="12.75"/>
  <cols>
    <col min="1" max="1" width="22.140625" bestFit="1" customWidth="1"/>
    <col min="5" max="5" width="54.140625" customWidth="1"/>
  </cols>
  <sheetData>
    <row r="1" spans="1:5">
      <c r="A1" s="58" t="s">
        <v>638</v>
      </c>
    </row>
    <row r="3" spans="1:5">
      <c r="A3" s="18" t="s">
        <v>639</v>
      </c>
      <c r="B3" s="33">
        <v>12</v>
      </c>
      <c r="C3" t="s">
        <v>364</v>
      </c>
      <c r="E3" s="45" t="s">
        <v>631</v>
      </c>
    </row>
    <row r="4" spans="1:5">
      <c r="A4" s="18" t="s">
        <v>640</v>
      </c>
      <c r="B4" s="33">
        <v>4.5900000000000003E-2</v>
      </c>
      <c r="C4" t="s">
        <v>361</v>
      </c>
      <c r="E4" s="46" t="s">
        <v>632</v>
      </c>
    </row>
    <row r="5" spans="1:5">
      <c r="A5" s="18" t="s">
        <v>641</v>
      </c>
      <c r="B5" s="28">
        <f>B3/B4</f>
        <v>261.43790849673201</v>
      </c>
      <c r="C5" t="s">
        <v>366</v>
      </c>
      <c r="E5" s="85" t="s">
        <v>24</v>
      </c>
    </row>
    <row r="8" spans="1:5">
      <c r="E8" s="18" t="s">
        <v>513</v>
      </c>
    </row>
    <row r="9" spans="1:5">
      <c r="E9" s="131" t="s">
        <v>642</v>
      </c>
    </row>
    <row r="10" spans="1:5">
      <c r="E10" s="18" t="s">
        <v>516</v>
      </c>
    </row>
    <row r="11" spans="1:5">
      <c r="E11" s="35" t="s">
        <v>517</v>
      </c>
    </row>
    <row r="13" spans="1:5">
      <c r="E13" s="193" t="s">
        <v>830</v>
      </c>
    </row>
  </sheetData>
  <sheetProtection password="EFD6" sheet="1" objects="1" scenarios="1" selectLockedCells="1"/>
  <phoneticPr fontId="44" type="noConversion"/>
  <hyperlinks>
    <hyperlink ref="E5" location="'Index Page'!A1" display="Back to the first page"/>
    <hyperlink ref="E11" r:id="rId1"/>
    <hyperlink ref="E9" r:id="rId2"/>
    <hyperlink ref="E13" r:id="rId3"/>
  </hyperlinks>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dimension ref="A1:E13"/>
  <sheetViews>
    <sheetView showGridLines="0" workbookViewId="0">
      <selection activeCell="E5" sqref="E5"/>
    </sheetView>
  </sheetViews>
  <sheetFormatPr defaultRowHeight="12.75"/>
  <cols>
    <col min="1" max="1" width="22.42578125" bestFit="1" customWidth="1"/>
    <col min="5" max="5" width="54.85546875" customWidth="1"/>
  </cols>
  <sheetData>
    <row r="1" spans="1:5">
      <c r="A1" s="18" t="s">
        <v>635</v>
      </c>
    </row>
    <row r="3" spans="1:5">
      <c r="A3" t="s">
        <v>636</v>
      </c>
      <c r="B3" s="107">
        <v>500</v>
      </c>
      <c r="C3" t="s">
        <v>367</v>
      </c>
      <c r="E3" s="45" t="s">
        <v>631</v>
      </c>
    </row>
    <row r="4" spans="1:5">
      <c r="A4" t="s">
        <v>325</v>
      </c>
      <c r="B4" s="107">
        <v>9.5</v>
      </c>
      <c r="C4" t="s">
        <v>386</v>
      </c>
      <c r="E4" s="46" t="s">
        <v>632</v>
      </c>
    </row>
    <row r="5" spans="1:5">
      <c r="A5" t="s">
        <v>328</v>
      </c>
      <c r="B5" s="107">
        <v>9000</v>
      </c>
      <c r="C5" t="s">
        <v>366</v>
      </c>
      <c r="E5" s="85" t="s">
        <v>24</v>
      </c>
    </row>
    <row r="6" spans="1:5">
      <c r="A6" s="18" t="s">
        <v>635</v>
      </c>
      <c r="B6" s="89">
        <f>ROUNDUP(B4+(B3/(0.052*B5)),1)</f>
        <v>10.6</v>
      </c>
      <c r="C6" t="s">
        <v>386</v>
      </c>
    </row>
    <row r="8" spans="1:5">
      <c r="E8" s="18" t="s">
        <v>513</v>
      </c>
    </row>
    <row r="9" spans="1:5">
      <c r="E9" s="131" t="s">
        <v>637</v>
      </c>
    </row>
    <row r="10" spans="1:5">
      <c r="E10" s="18" t="s">
        <v>516</v>
      </c>
    </row>
    <row r="11" spans="1:5">
      <c r="E11" s="35" t="s">
        <v>517</v>
      </c>
    </row>
    <row r="13" spans="1:5">
      <c r="E13" s="193" t="s">
        <v>830</v>
      </c>
    </row>
  </sheetData>
  <sheetProtection password="EFD6" sheet="1"/>
  <phoneticPr fontId="44" type="noConversion"/>
  <hyperlinks>
    <hyperlink ref="E5" location="'Index Page'!A1" display="Back to the first page"/>
    <hyperlink ref="E11" r:id="rId1"/>
    <hyperlink ref="E9" r:id="rId2"/>
    <hyperlink ref="E13" r:id="rId3"/>
  </hyperlinks>
  <pageMargins left="0.75" right="0.75" top="1" bottom="1" header="0.5" footer="0.5"/>
  <pageSetup paperSize="9" orientation="portrait" r:id="rId4"/>
  <headerFooter alignWithMargins="0"/>
</worksheet>
</file>

<file path=xl/worksheets/sheet6.xml><?xml version="1.0" encoding="utf-8"?>
<worksheet xmlns="http://schemas.openxmlformats.org/spreadsheetml/2006/main" xmlns:r="http://schemas.openxmlformats.org/officeDocument/2006/relationships">
  <sheetPr>
    <tabColor rgb="FFFFFF00"/>
  </sheetPr>
  <dimension ref="A1:F17"/>
  <sheetViews>
    <sheetView showGridLines="0" workbookViewId="0">
      <selection activeCell="F4" sqref="F4"/>
    </sheetView>
  </sheetViews>
  <sheetFormatPr defaultRowHeight="12.75"/>
  <cols>
    <col min="1" max="1" width="25" customWidth="1"/>
    <col min="5" max="5" width="17.85546875" customWidth="1"/>
    <col min="6" max="6" width="21" customWidth="1"/>
  </cols>
  <sheetData>
    <row r="1" spans="1:6">
      <c r="A1" s="18" t="s">
        <v>1025</v>
      </c>
    </row>
    <row r="2" spans="1:6">
      <c r="F2" s="13" t="s">
        <v>373</v>
      </c>
    </row>
    <row r="3" spans="1:6">
      <c r="A3" s="27" t="s">
        <v>1024</v>
      </c>
      <c r="B3" s="223">
        <v>16000</v>
      </c>
      <c r="C3" s="27"/>
      <c r="F3" s="12" t="s">
        <v>372</v>
      </c>
    </row>
    <row r="4" spans="1:6">
      <c r="A4" s="27" t="s">
        <v>1026</v>
      </c>
      <c r="B4" s="223">
        <v>15000</v>
      </c>
      <c r="C4" s="27"/>
      <c r="F4" s="35" t="s">
        <v>24</v>
      </c>
    </row>
    <row r="5" spans="1:6">
      <c r="A5" s="27" t="s">
        <v>1013</v>
      </c>
      <c r="B5" s="155">
        <v>12.25</v>
      </c>
      <c r="C5" s="27"/>
      <c r="F5" s="35"/>
    </row>
    <row r="6" spans="1:6">
      <c r="A6" s="18" t="s">
        <v>1027</v>
      </c>
      <c r="B6" s="255">
        <f>(36*B3)/(B4*B5)</f>
        <v>3.1346938775510202</v>
      </c>
      <c r="C6" s="27"/>
      <c r="F6" s="194"/>
    </row>
    <row r="7" spans="1:6">
      <c r="C7" s="27"/>
      <c r="F7" s="194"/>
    </row>
    <row r="8" spans="1:6">
      <c r="A8" s="86"/>
      <c r="B8" s="29"/>
    </row>
    <row r="9" spans="1:6">
      <c r="A9" s="18"/>
      <c r="B9" s="232"/>
    </row>
    <row r="10" spans="1:6">
      <c r="A10" s="122"/>
      <c r="B10" s="233"/>
      <c r="C10" s="29"/>
    </row>
    <row r="11" spans="1:6">
      <c r="A11" s="122"/>
      <c r="B11" s="233"/>
      <c r="C11" s="29"/>
    </row>
    <row r="12" spans="1:6">
      <c r="A12" s="122"/>
      <c r="B12" s="110"/>
      <c r="C12" s="29"/>
    </row>
    <row r="13" spans="1:6">
      <c r="A13" s="122"/>
      <c r="B13" s="110"/>
      <c r="C13" s="122"/>
      <c r="F13" s="35"/>
    </row>
    <row r="14" spans="1:6">
      <c r="A14" s="122"/>
      <c r="B14" s="227"/>
      <c r="C14" s="29"/>
    </row>
    <row r="15" spans="1:6">
      <c r="A15" s="122"/>
      <c r="B15" s="233"/>
    </row>
    <row r="16" spans="1:6">
      <c r="A16" s="29"/>
      <c r="B16" s="29"/>
    </row>
    <row r="17" spans="1:2">
      <c r="A17" s="29"/>
      <c r="B17" s="29"/>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dimension ref="A1:E11"/>
  <sheetViews>
    <sheetView showGridLines="0" workbookViewId="0">
      <selection activeCell="E4" sqref="E4"/>
    </sheetView>
  </sheetViews>
  <sheetFormatPr defaultRowHeight="12.75"/>
  <cols>
    <col min="1" max="1" width="22.140625" bestFit="1" customWidth="1"/>
    <col min="5" max="5" width="53.28515625" customWidth="1"/>
  </cols>
  <sheetData>
    <row r="1" spans="1:5">
      <c r="A1" s="18" t="s">
        <v>628</v>
      </c>
    </row>
    <row r="2" spans="1:5">
      <c r="E2" s="45" t="s">
        <v>631</v>
      </c>
    </row>
    <row r="3" spans="1:5">
      <c r="A3" s="27" t="s">
        <v>629</v>
      </c>
      <c r="B3" s="33">
        <v>150</v>
      </c>
      <c r="C3" s="27" t="s">
        <v>630</v>
      </c>
      <c r="E3" s="46" t="s">
        <v>632</v>
      </c>
    </row>
    <row r="4" spans="1:5">
      <c r="A4" s="27" t="s">
        <v>470</v>
      </c>
      <c r="B4" s="33">
        <v>11</v>
      </c>
      <c r="C4" s="27" t="s">
        <v>386</v>
      </c>
      <c r="E4" s="85" t="s">
        <v>24</v>
      </c>
    </row>
    <row r="5" spans="1:5">
      <c r="A5" s="27" t="s">
        <v>628</v>
      </c>
      <c r="B5" s="28">
        <f>B3/(B4*0.052)</f>
        <v>262.23776223776224</v>
      </c>
      <c r="C5" s="27" t="s">
        <v>505</v>
      </c>
    </row>
    <row r="6" spans="1:5">
      <c r="E6" s="18" t="s">
        <v>513</v>
      </c>
    </row>
    <row r="7" spans="1:5">
      <c r="E7" s="35" t="s">
        <v>633</v>
      </c>
    </row>
    <row r="8" spans="1:5">
      <c r="E8" s="18" t="s">
        <v>516</v>
      </c>
    </row>
    <row r="9" spans="1:5">
      <c r="E9" s="35" t="s">
        <v>517</v>
      </c>
    </row>
    <row r="11" spans="1:5">
      <c r="E11" s="193" t="s">
        <v>830</v>
      </c>
    </row>
  </sheetData>
  <sheetProtection password="EFD6" sheet="1" objects="1" scenarios="1" selectLockedCells="1"/>
  <phoneticPr fontId="0" type="noConversion"/>
  <hyperlinks>
    <hyperlink ref="E7" r:id="rId1"/>
    <hyperlink ref="E9" r:id="rId2"/>
    <hyperlink ref="E4" location="'Index Page'!A1" display="Back to the first page"/>
    <hyperlink ref="E11" r:id="rId3"/>
  </hyperlinks>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E12"/>
  <sheetViews>
    <sheetView showGridLines="0" workbookViewId="0">
      <selection activeCell="E12" sqref="E12"/>
    </sheetView>
  </sheetViews>
  <sheetFormatPr defaultRowHeight="12.75"/>
  <cols>
    <col min="1" max="1" width="20.5703125" customWidth="1"/>
    <col min="2" max="2" width="9.5703125" bestFit="1" customWidth="1"/>
    <col min="5" max="5" width="53.85546875" customWidth="1"/>
  </cols>
  <sheetData>
    <row r="1" spans="1:5">
      <c r="A1" s="18" t="s">
        <v>502</v>
      </c>
    </row>
    <row r="3" spans="1:5">
      <c r="A3" s="18" t="s">
        <v>325</v>
      </c>
      <c r="B3" s="127">
        <v>12</v>
      </c>
      <c r="C3" s="18" t="s">
        <v>386</v>
      </c>
      <c r="E3" s="83" t="s">
        <v>373</v>
      </c>
    </row>
    <row r="4" spans="1:5">
      <c r="A4" s="18" t="s">
        <v>504</v>
      </c>
      <c r="B4" s="93">
        <f>12*EXP(-0.37*B3)</f>
        <v>0.14155126223701886</v>
      </c>
      <c r="C4" s="18" t="s">
        <v>440</v>
      </c>
      <c r="E4" s="84" t="s">
        <v>179</v>
      </c>
    </row>
    <row r="5" spans="1:5">
      <c r="A5" s="18" t="s">
        <v>504</v>
      </c>
      <c r="B5" s="92">
        <f>B4*60*60</f>
        <v>509.58454405326785</v>
      </c>
      <c r="C5" s="18" t="s">
        <v>505</v>
      </c>
      <c r="E5" s="85" t="s">
        <v>24</v>
      </c>
    </row>
    <row r="7" spans="1:5">
      <c r="E7" s="58" t="s">
        <v>513</v>
      </c>
    </row>
    <row r="8" spans="1:5">
      <c r="E8" s="35" t="s">
        <v>616</v>
      </c>
    </row>
    <row r="9" spans="1:5">
      <c r="E9" s="58" t="s">
        <v>516</v>
      </c>
    </row>
    <row r="10" spans="1:5">
      <c r="E10" s="35" t="s">
        <v>517</v>
      </c>
    </row>
    <row r="12" spans="1:5">
      <c r="E12" s="193" t="s">
        <v>830</v>
      </c>
    </row>
  </sheetData>
  <sheetProtection password="EFD6" sheet="1" selectLockedCells="1"/>
  <phoneticPr fontId="0" type="noConversion"/>
  <hyperlinks>
    <hyperlink ref="E5" location="'Index Page'!A1" display="Back to the first page"/>
    <hyperlink ref="E10" r:id="rId1"/>
    <hyperlink ref="E8" r:id="rId2"/>
    <hyperlink ref="E12" r:id="rId3"/>
  </hyperlinks>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D12"/>
  <sheetViews>
    <sheetView showGridLines="0" workbookViewId="0">
      <selection activeCell="B3" sqref="B3"/>
    </sheetView>
  </sheetViews>
  <sheetFormatPr defaultRowHeight="12.75"/>
  <cols>
    <col min="1" max="1" width="27.5703125" bestFit="1" customWidth="1"/>
    <col min="2" max="2" width="10.140625" bestFit="1" customWidth="1"/>
    <col min="4" max="4" width="54.140625" customWidth="1"/>
  </cols>
  <sheetData>
    <row r="1" spans="1:4">
      <c r="A1" s="18" t="s">
        <v>497</v>
      </c>
    </row>
    <row r="3" spans="1:4">
      <c r="A3" s="18" t="s">
        <v>498</v>
      </c>
      <c r="B3" s="107">
        <v>1050</v>
      </c>
      <c r="C3" s="27" t="s">
        <v>367</v>
      </c>
      <c r="D3" s="83" t="s">
        <v>373</v>
      </c>
    </row>
    <row r="4" spans="1:4">
      <c r="A4" s="18" t="s">
        <v>277</v>
      </c>
      <c r="B4" s="107">
        <v>750</v>
      </c>
      <c r="C4" s="27" t="s">
        <v>367</v>
      </c>
      <c r="D4" s="84" t="s">
        <v>179</v>
      </c>
    </row>
    <row r="5" spans="1:4">
      <c r="A5" s="18" t="s">
        <v>499</v>
      </c>
      <c r="B5" s="107">
        <v>450</v>
      </c>
      <c r="C5" s="27" t="s">
        <v>366</v>
      </c>
      <c r="D5" s="85" t="s">
        <v>24</v>
      </c>
    </row>
    <row r="6" spans="1:4">
      <c r="A6" s="18" t="s">
        <v>325</v>
      </c>
      <c r="B6" s="107">
        <v>14</v>
      </c>
      <c r="C6" s="27" t="s">
        <v>386</v>
      </c>
    </row>
    <row r="7" spans="1:4">
      <c r="A7" s="18" t="s">
        <v>500</v>
      </c>
      <c r="B7" s="94">
        <f>B6-((B3-B4)/(0.052*B5))</f>
        <v>1.1794871794871788</v>
      </c>
      <c r="C7" s="27" t="s">
        <v>386</v>
      </c>
      <c r="D7" s="58" t="s">
        <v>513</v>
      </c>
    </row>
    <row r="8" spans="1:4">
      <c r="A8" s="18" t="s">
        <v>501</v>
      </c>
      <c r="B8" s="84" t="str">
        <f>IF(B7&lt;=3,"Gas Influx",IF(B7&lt;=7,"Oil Influx or Combination between gas and oil kick","Water Kick"))</f>
        <v>Gas Influx</v>
      </c>
      <c r="D8" s="35" t="s">
        <v>617</v>
      </c>
    </row>
    <row r="9" spans="1:4">
      <c r="D9" s="58" t="s">
        <v>516</v>
      </c>
    </row>
    <row r="10" spans="1:4">
      <c r="D10" s="35" t="s">
        <v>517</v>
      </c>
    </row>
    <row r="12" spans="1:4">
      <c r="D12" s="193" t="s">
        <v>830</v>
      </c>
    </row>
  </sheetData>
  <sheetProtection password="EFD6" sheet="1" selectLockedCells="1"/>
  <phoneticPr fontId="0" type="noConversion"/>
  <hyperlinks>
    <hyperlink ref="D5" location="'Index Page'!A1" display="Back to the first page"/>
    <hyperlink ref="D10" r:id="rId1"/>
    <hyperlink ref="D12" r:id="rId2"/>
  </hyperlinks>
  <pageMargins left="0.7" right="0.7" top="0.75" bottom="0.75" header="0.3" footer="0.3"/>
  <pageSetup paperSize="9" orientation="portrait" horizontalDpi="1200" verticalDpi="1200" r:id="rId3"/>
</worksheet>
</file>

<file path=xl/worksheets/sheet63.xml><?xml version="1.0" encoding="utf-8"?>
<worksheet xmlns="http://schemas.openxmlformats.org/spreadsheetml/2006/main" xmlns:r="http://schemas.openxmlformats.org/officeDocument/2006/relationships">
  <dimension ref="A1:E12"/>
  <sheetViews>
    <sheetView showGridLines="0" workbookViewId="0">
      <selection activeCell="E5" sqref="E5"/>
    </sheetView>
  </sheetViews>
  <sheetFormatPr defaultRowHeight="12.75"/>
  <cols>
    <col min="1" max="1" width="25" customWidth="1"/>
    <col min="3" max="3" width="9.140625" style="29"/>
    <col min="5" max="5" width="53.85546875" customWidth="1"/>
  </cols>
  <sheetData>
    <row r="1" spans="1:5">
      <c r="A1" s="90" t="s">
        <v>276</v>
      </c>
    </row>
    <row r="3" spans="1:5">
      <c r="A3" s="18" t="s">
        <v>277</v>
      </c>
      <c r="B3" s="107">
        <v>550</v>
      </c>
      <c r="C3" s="91" t="s">
        <v>367</v>
      </c>
      <c r="E3" s="111" t="s">
        <v>373</v>
      </c>
    </row>
    <row r="4" spans="1:5">
      <c r="A4" s="18" t="s">
        <v>328</v>
      </c>
      <c r="B4" s="107">
        <v>6000</v>
      </c>
      <c r="C4" s="91" t="s">
        <v>366</v>
      </c>
      <c r="E4" s="112" t="s">
        <v>179</v>
      </c>
    </row>
    <row r="5" spans="1:5">
      <c r="A5" s="18" t="s">
        <v>325</v>
      </c>
      <c r="B5" s="107">
        <v>10.199999999999999</v>
      </c>
      <c r="C5" s="91" t="s">
        <v>386</v>
      </c>
      <c r="E5" s="85" t="s">
        <v>24</v>
      </c>
    </row>
    <row r="6" spans="1:5">
      <c r="A6" s="18" t="s">
        <v>278</v>
      </c>
      <c r="B6" s="128">
        <f>B3+(0.052*B4*B5)</f>
        <v>3732.3999999999996</v>
      </c>
      <c r="C6" s="91" t="s">
        <v>367</v>
      </c>
    </row>
    <row r="7" spans="1:5">
      <c r="E7" s="58" t="s">
        <v>513</v>
      </c>
    </row>
    <row r="8" spans="1:5">
      <c r="E8" s="35" t="s">
        <v>618</v>
      </c>
    </row>
    <row r="9" spans="1:5">
      <c r="E9" s="58" t="s">
        <v>516</v>
      </c>
    </row>
    <row r="10" spans="1:5">
      <c r="E10" s="35" t="s">
        <v>517</v>
      </c>
    </row>
    <row r="12" spans="1:5">
      <c r="E12" s="193" t="s">
        <v>830</v>
      </c>
    </row>
  </sheetData>
  <sheetProtection password="EFD6" sheet="1" selectLockedCells="1"/>
  <phoneticPr fontId="34" type="noConversion"/>
  <hyperlinks>
    <hyperlink ref="E5" location="'Index Page'!A1" display="Back to the first page"/>
    <hyperlink ref="E10" r:id="rId1"/>
    <hyperlink ref="E8" r:id="rId2"/>
    <hyperlink ref="E12" r:id="rId3"/>
  </hyperlinks>
  <pageMargins left="0.75" right="0.75" top="1" bottom="1" header="0.5" footer="0.5"/>
  <pageSetup paperSize="9" orientation="portrait" r:id="rId4"/>
  <headerFooter alignWithMargins="0"/>
</worksheet>
</file>

<file path=xl/worksheets/sheet64.xml><?xml version="1.0" encoding="utf-8"?>
<worksheet xmlns="http://schemas.openxmlformats.org/spreadsheetml/2006/main" xmlns:r="http://schemas.openxmlformats.org/officeDocument/2006/relationships">
  <dimension ref="A1:E12"/>
  <sheetViews>
    <sheetView showGridLines="0" workbookViewId="0">
      <selection activeCell="B3" sqref="B3"/>
    </sheetView>
  </sheetViews>
  <sheetFormatPr defaultRowHeight="12.75"/>
  <cols>
    <col min="1" max="1" width="22.5703125" customWidth="1"/>
    <col min="5" max="5" width="53.7109375" customWidth="1"/>
  </cols>
  <sheetData>
    <row r="1" spans="1:5">
      <c r="A1" s="18" t="s">
        <v>621</v>
      </c>
    </row>
    <row r="3" spans="1:5">
      <c r="A3" t="s">
        <v>330</v>
      </c>
      <c r="B3" s="33">
        <v>1000</v>
      </c>
      <c r="C3" t="s">
        <v>367</v>
      </c>
      <c r="E3" s="83" t="s">
        <v>373</v>
      </c>
    </row>
    <row r="4" spans="1:5">
      <c r="A4" t="s">
        <v>346</v>
      </c>
      <c r="B4" s="33">
        <v>4500</v>
      </c>
      <c r="C4" t="s">
        <v>366</v>
      </c>
      <c r="E4" s="84" t="s">
        <v>179</v>
      </c>
    </row>
    <row r="5" spans="1:5">
      <c r="A5" t="s">
        <v>324</v>
      </c>
      <c r="B5" s="33">
        <v>9.5</v>
      </c>
      <c r="C5" t="s">
        <v>386</v>
      </c>
      <c r="E5" s="85" t="s">
        <v>24</v>
      </c>
    </row>
    <row r="6" spans="1:5">
      <c r="A6" t="s">
        <v>325</v>
      </c>
      <c r="B6" s="33">
        <v>12</v>
      </c>
      <c r="C6" t="s">
        <v>386</v>
      </c>
    </row>
    <row r="7" spans="1:5">
      <c r="A7" t="s">
        <v>326</v>
      </c>
      <c r="B7" s="89">
        <f>B3-(B4*(B6-B5)*0.052)</f>
        <v>415</v>
      </c>
      <c r="C7" t="s">
        <v>367</v>
      </c>
      <c r="E7" s="58" t="s">
        <v>513</v>
      </c>
    </row>
    <row r="8" spans="1:5">
      <c r="E8" s="35" t="s">
        <v>620</v>
      </c>
    </row>
    <row r="9" spans="1:5">
      <c r="E9" s="58" t="s">
        <v>516</v>
      </c>
    </row>
    <row r="10" spans="1:5">
      <c r="E10" s="35" t="s">
        <v>517</v>
      </c>
    </row>
    <row r="12" spans="1:5">
      <c r="E12" s="193" t="s">
        <v>830</v>
      </c>
    </row>
  </sheetData>
  <sheetProtection password="EFD6" sheet="1" selectLockedCells="1"/>
  <phoneticPr fontId="34" type="noConversion"/>
  <hyperlinks>
    <hyperlink ref="E5" location="'Index Page'!A1" display="Back to the first page"/>
    <hyperlink ref="E10" r:id="rId1"/>
    <hyperlink ref="E8" r:id="rId2"/>
    <hyperlink ref="E12" r:id="rId3"/>
  </hyperlinks>
  <pageMargins left="0.75" right="0.75" top="1" bottom="1" header="0.5" footer="0.5"/>
  <pageSetup paperSize="9" orientation="portrait" r:id="rId4"/>
  <headerFooter alignWithMargins="0"/>
</worksheet>
</file>

<file path=xl/worksheets/sheet65.xml><?xml version="1.0" encoding="utf-8"?>
<worksheet xmlns="http://schemas.openxmlformats.org/spreadsheetml/2006/main" xmlns:r="http://schemas.openxmlformats.org/officeDocument/2006/relationships">
  <dimension ref="A1:E12"/>
  <sheetViews>
    <sheetView showGridLines="0" workbookViewId="0">
      <selection activeCell="E12" sqref="E12"/>
    </sheetView>
  </sheetViews>
  <sheetFormatPr defaultRowHeight="12.75"/>
  <cols>
    <col min="1" max="1" width="51.140625" customWidth="1"/>
    <col min="5" max="5" width="53.5703125" customWidth="1"/>
  </cols>
  <sheetData>
    <row r="1" spans="1:5">
      <c r="A1" s="18" t="s">
        <v>333</v>
      </c>
    </row>
    <row r="3" spans="1:5">
      <c r="A3" s="18" t="s">
        <v>334</v>
      </c>
      <c r="B3" s="33">
        <v>874</v>
      </c>
      <c r="C3" t="s">
        <v>367</v>
      </c>
      <c r="E3" s="83" t="s">
        <v>373</v>
      </c>
    </row>
    <row r="4" spans="1:5">
      <c r="A4" s="18" t="s">
        <v>335</v>
      </c>
      <c r="B4" s="33">
        <v>0.52</v>
      </c>
      <c r="C4" t="s">
        <v>371</v>
      </c>
      <c r="E4" s="84" t="s">
        <v>179</v>
      </c>
    </row>
    <row r="5" spans="1:5">
      <c r="A5" s="18" t="s">
        <v>336</v>
      </c>
      <c r="B5" s="33">
        <v>0.12</v>
      </c>
      <c r="C5" t="s">
        <v>371</v>
      </c>
      <c r="E5" s="85" t="s">
        <v>24</v>
      </c>
    </row>
    <row r="6" spans="1:5">
      <c r="A6" s="18" t="s">
        <v>337</v>
      </c>
      <c r="B6" s="12">
        <f>B3/(B4-B5)</f>
        <v>2185</v>
      </c>
      <c r="C6" t="s">
        <v>366</v>
      </c>
    </row>
    <row r="7" spans="1:5">
      <c r="E7" s="58" t="s">
        <v>513</v>
      </c>
    </row>
    <row r="8" spans="1:5">
      <c r="E8" s="35" t="s">
        <v>625</v>
      </c>
    </row>
    <row r="9" spans="1:5">
      <c r="E9" s="58" t="s">
        <v>516</v>
      </c>
    </row>
    <row r="10" spans="1:5">
      <c r="E10" s="35" t="s">
        <v>517</v>
      </c>
    </row>
    <row r="12" spans="1:5">
      <c r="E12" s="193" t="s">
        <v>830</v>
      </c>
    </row>
  </sheetData>
  <sheetProtection password="EFD6" sheet="1" selectLockedCells="1"/>
  <phoneticPr fontId="32" type="noConversion"/>
  <hyperlinks>
    <hyperlink ref="E5" location="'Index Page'!A1" display="Back to the first page"/>
    <hyperlink ref="E10" r:id="rId1"/>
    <hyperlink ref="E8" r:id="rId2"/>
    <hyperlink ref="E12" r:id="rId3"/>
  </hyperlinks>
  <pageMargins left="0.75" right="0.75" top="1" bottom="1" header="0.5" footer="0.5"/>
  <headerFooter alignWithMargins="0"/>
</worksheet>
</file>

<file path=xl/worksheets/sheet66.xml><?xml version="1.0" encoding="utf-8"?>
<worksheet xmlns="http://schemas.openxmlformats.org/spreadsheetml/2006/main" xmlns:r="http://schemas.openxmlformats.org/officeDocument/2006/relationships">
  <dimension ref="A1:D10"/>
  <sheetViews>
    <sheetView showGridLines="0" workbookViewId="0">
      <selection activeCell="D10" sqref="D10"/>
    </sheetView>
  </sheetViews>
  <sheetFormatPr defaultRowHeight="12.75"/>
  <cols>
    <col min="1" max="1" width="44.42578125" customWidth="1"/>
    <col min="4" max="4" width="53.85546875" customWidth="1"/>
  </cols>
  <sheetData>
    <row r="1" spans="1:4">
      <c r="A1" s="49" t="s">
        <v>622</v>
      </c>
      <c r="D1" s="83" t="s">
        <v>373</v>
      </c>
    </row>
    <row r="2" spans="1:4">
      <c r="A2" s="6"/>
      <c r="D2" s="84" t="s">
        <v>179</v>
      </c>
    </row>
    <row r="3" spans="1:4">
      <c r="A3" s="88" t="s">
        <v>330</v>
      </c>
      <c r="B3" s="33">
        <v>15</v>
      </c>
      <c r="C3" t="s">
        <v>386</v>
      </c>
      <c r="D3" s="85" t="s">
        <v>24</v>
      </c>
    </row>
    <row r="4" spans="1:4">
      <c r="A4" s="88" t="s">
        <v>348</v>
      </c>
      <c r="B4" s="33">
        <v>12.2</v>
      </c>
      <c r="C4" t="s">
        <v>386</v>
      </c>
    </row>
    <row r="5" spans="1:4">
      <c r="A5" s="88" t="s">
        <v>331</v>
      </c>
      <c r="B5" s="33">
        <v>4000</v>
      </c>
      <c r="C5" t="s">
        <v>366</v>
      </c>
      <c r="D5" s="58" t="s">
        <v>513</v>
      </c>
    </row>
    <row r="6" spans="1:4">
      <c r="A6" s="49" t="s">
        <v>327</v>
      </c>
      <c r="B6" s="12">
        <f>0.052*(B3-B4)*B5</f>
        <v>582.40000000000009</v>
      </c>
      <c r="C6" t="s">
        <v>367</v>
      </c>
      <c r="D6" s="35" t="s">
        <v>623</v>
      </c>
    </row>
    <row r="7" spans="1:4">
      <c r="D7" s="58" t="s">
        <v>516</v>
      </c>
    </row>
    <row r="8" spans="1:4">
      <c r="D8" s="35" t="s">
        <v>517</v>
      </c>
    </row>
    <row r="10" spans="1:4">
      <c r="D10" s="193" t="s">
        <v>830</v>
      </c>
    </row>
  </sheetData>
  <sheetProtection password="EFD6" sheet="1" selectLockedCells="1"/>
  <phoneticPr fontId="32" type="noConversion"/>
  <hyperlinks>
    <hyperlink ref="D3" location="'Index Page'!A1" display="Back to the first page"/>
    <hyperlink ref="D8" r:id="rId1"/>
    <hyperlink ref="D6" r:id="rId2"/>
    <hyperlink ref="D10" r:id="rId3"/>
  </hyperlinks>
  <pageMargins left="0.75" right="0.75" top="1" bottom="1" header="0.5" footer="0.5"/>
  <pageSetup paperSize="9" orientation="portrait" r:id="rId4"/>
  <headerFooter alignWithMargins="0"/>
</worksheet>
</file>

<file path=xl/worksheets/sheet67.xml><?xml version="1.0" encoding="utf-8"?>
<worksheet xmlns="http://schemas.openxmlformats.org/spreadsheetml/2006/main" xmlns:r="http://schemas.openxmlformats.org/officeDocument/2006/relationships">
  <dimension ref="A1:E12"/>
  <sheetViews>
    <sheetView showGridLines="0" workbookViewId="0">
      <selection activeCell="E12" sqref="E12"/>
    </sheetView>
  </sheetViews>
  <sheetFormatPr defaultRowHeight="12.75"/>
  <cols>
    <col min="1" max="1" width="28.140625" customWidth="1"/>
    <col min="2" max="2" width="9.28515625" bestFit="1" customWidth="1"/>
    <col min="5" max="5" width="53.7109375" customWidth="1"/>
  </cols>
  <sheetData>
    <row r="1" spans="1:5">
      <c r="A1" s="18" t="s">
        <v>354</v>
      </c>
    </row>
    <row r="3" spans="1:5">
      <c r="A3" s="18" t="s">
        <v>350</v>
      </c>
      <c r="B3" s="33">
        <v>1.68</v>
      </c>
      <c r="C3" s="18" t="s">
        <v>386</v>
      </c>
      <c r="E3" s="83" t="s">
        <v>373</v>
      </c>
    </row>
    <row r="4" spans="1:5">
      <c r="A4" s="18" t="s">
        <v>384</v>
      </c>
      <c r="B4" s="33">
        <v>10</v>
      </c>
      <c r="C4" s="18" t="s">
        <v>386</v>
      </c>
      <c r="E4" s="84" t="s">
        <v>179</v>
      </c>
    </row>
    <row r="5" spans="1:5">
      <c r="A5" s="18" t="s">
        <v>328</v>
      </c>
      <c r="B5" s="33">
        <v>10000</v>
      </c>
      <c r="C5" s="18" t="s">
        <v>366</v>
      </c>
      <c r="E5" s="85" t="s">
        <v>24</v>
      </c>
    </row>
    <row r="6" spans="1:5">
      <c r="A6" s="18" t="s">
        <v>329</v>
      </c>
      <c r="B6" s="87">
        <f>0.052*(B3+B4)*B5</f>
        <v>6073.6</v>
      </c>
      <c r="C6" s="18" t="s">
        <v>367</v>
      </c>
    </row>
    <row r="7" spans="1:5">
      <c r="E7" s="58" t="s">
        <v>513</v>
      </c>
    </row>
    <row r="8" spans="1:5">
      <c r="E8" s="35" t="s">
        <v>624</v>
      </c>
    </row>
    <row r="9" spans="1:5">
      <c r="E9" s="58" t="s">
        <v>516</v>
      </c>
    </row>
    <row r="10" spans="1:5">
      <c r="E10" s="35" t="s">
        <v>517</v>
      </c>
    </row>
    <row r="12" spans="1:5">
      <c r="E12" s="193" t="s">
        <v>830</v>
      </c>
    </row>
  </sheetData>
  <sheetProtection password="EFD6" sheet="1" selectLockedCells="1"/>
  <phoneticPr fontId="32" type="noConversion"/>
  <hyperlinks>
    <hyperlink ref="E5" location="'Index Page'!A1" display="Back to the first page"/>
    <hyperlink ref="E10" r:id="rId1"/>
    <hyperlink ref="E8" r:id="rId2"/>
    <hyperlink ref="E12" r:id="rId3"/>
  </hyperlinks>
  <pageMargins left="0.75" right="0.75" top="1" bottom="1" header="0.5" footer="0.5"/>
  <pageSetup paperSize="9" orientation="portrait" r:id="rId4"/>
  <headerFooter alignWithMargins="0"/>
</worksheet>
</file>

<file path=xl/worksheets/sheet68.xml><?xml version="1.0" encoding="utf-8"?>
<worksheet xmlns="http://schemas.openxmlformats.org/spreadsheetml/2006/main" xmlns:r="http://schemas.openxmlformats.org/officeDocument/2006/relationships">
  <dimension ref="A1:E11"/>
  <sheetViews>
    <sheetView showGridLines="0" workbookViewId="0">
      <selection activeCell="E11" sqref="E11"/>
    </sheetView>
  </sheetViews>
  <sheetFormatPr defaultRowHeight="12.75"/>
  <cols>
    <col min="1" max="1" width="22.140625" customWidth="1"/>
    <col min="5" max="5" width="53.85546875" customWidth="1"/>
  </cols>
  <sheetData>
    <row r="1" spans="1:5">
      <c r="A1" s="129" t="s">
        <v>351</v>
      </c>
    </row>
    <row r="3" spans="1:5">
      <c r="A3" s="86" t="s">
        <v>350</v>
      </c>
      <c r="B3" s="33">
        <v>1.68</v>
      </c>
      <c r="C3" s="18" t="s">
        <v>386</v>
      </c>
      <c r="E3" s="83" t="s">
        <v>373</v>
      </c>
    </row>
    <row r="4" spans="1:5">
      <c r="A4" s="86" t="s">
        <v>352</v>
      </c>
      <c r="B4" s="33">
        <v>10000</v>
      </c>
      <c r="C4" s="18" t="s">
        <v>366</v>
      </c>
      <c r="E4" s="84" t="s">
        <v>179</v>
      </c>
    </row>
    <row r="5" spans="1:5">
      <c r="A5" s="18" t="s">
        <v>349</v>
      </c>
      <c r="B5" s="12">
        <f>0.052*B3*B4</f>
        <v>873.59999999999991</v>
      </c>
      <c r="C5" s="18" t="s">
        <v>367</v>
      </c>
      <c r="E5" s="85" t="s">
        <v>24</v>
      </c>
    </row>
    <row r="6" spans="1:5">
      <c r="E6" s="58" t="s">
        <v>513</v>
      </c>
    </row>
    <row r="7" spans="1:5">
      <c r="E7" s="35" t="s">
        <v>626</v>
      </c>
    </row>
    <row r="8" spans="1:5">
      <c r="E8" s="58" t="s">
        <v>516</v>
      </c>
    </row>
    <row r="9" spans="1:5">
      <c r="E9" s="35" t="s">
        <v>517</v>
      </c>
    </row>
    <row r="11" spans="1:5">
      <c r="E11" s="193" t="s">
        <v>830</v>
      </c>
    </row>
  </sheetData>
  <sheetProtection password="EFD6" sheet="1" selectLockedCells="1"/>
  <phoneticPr fontId="32" type="noConversion"/>
  <hyperlinks>
    <hyperlink ref="E5" location="'Index Page'!A1" display="Back to the first page"/>
    <hyperlink ref="E9" r:id="rId1"/>
    <hyperlink ref="E7" r:id="rId2"/>
    <hyperlink ref="E11" r:id="rId3"/>
  </hyperlinks>
  <pageMargins left="0.75" right="0.75" top="1" bottom="1" header="0.5" footer="0.5"/>
  <headerFooter alignWithMargins="0"/>
</worksheet>
</file>

<file path=xl/worksheets/sheet69.xml><?xml version="1.0" encoding="utf-8"?>
<worksheet xmlns="http://schemas.openxmlformats.org/spreadsheetml/2006/main" xmlns:r="http://schemas.openxmlformats.org/officeDocument/2006/relationships">
  <dimension ref="A1:D12"/>
  <sheetViews>
    <sheetView showGridLines="0" workbookViewId="0">
      <pane xSplit="1" ySplit="1" topLeftCell="B2" activePane="bottomRight" state="frozen"/>
      <selection pane="topRight" activeCell="B1" sqref="B1"/>
      <selection pane="bottomLeft" activeCell="A2" sqref="A2"/>
      <selection pane="bottomRight" activeCell="D5" sqref="D5"/>
    </sheetView>
  </sheetViews>
  <sheetFormatPr defaultRowHeight="12.75"/>
  <cols>
    <col min="1" max="1" width="31.5703125" bestFit="1" customWidth="1"/>
    <col min="2" max="2" width="10.28515625" bestFit="1" customWidth="1"/>
    <col min="4" max="4" width="53.28515625" customWidth="1"/>
  </cols>
  <sheetData>
    <row r="1" spans="1:4">
      <c r="A1" s="49" t="s">
        <v>344</v>
      </c>
    </row>
    <row r="2" spans="1:4">
      <c r="B2" s="29"/>
    </row>
    <row r="3" spans="1:4">
      <c r="A3" s="18" t="s">
        <v>346</v>
      </c>
      <c r="B3" s="107">
        <v>4000</v>
      </c>
      <c r="C3" s="18" t="s">
        <v>366</v>
      </c>
      <c r="D3" s="83" t="s">
        <v>373</v>
      </c>
    </row>
    <row r="4" spans="1:4">
      <c r="A4" s="18" t="s">
        <v>345</v>
      </c>
      <c r="B4" s="107">
        <v>10000</v>
      </c>
      <c r="C4" s="18" t="s">
        <v>366</v>
      </c>
      <c r="D4" s="84" t="s">
        <v>179</v>
      </c>
    </row>
    <row r="5" spans="1:4">
      <c r="A5" s="18" t="s">
        <v>347</v>
      </c>
      <c r="B5" s="107">
        <v>14.2</v>
      </c>
      <c r="C5" s="18" t="s">
        <v>386</v>
      </c>
      <c r="D5" s="85" t="s">
        <v>24</v>
      </c>
    </row>
    <row r="6" spans="1:4">
      <c r="A6" s="18" t="s">
        <v>348</v>
      </c>
      <c r="B6" s="107">
        <v>10</v>
      </c>
      <c r="C6" s="18" t="s">
        <v>386</v>
      </c>
    </row>
    <row r="7" spans="1:4">
      <c r="A7" s="49" t="s">
        <v>344</v>
      </c>
      <c r="B7" s="112">
        <f>(B3/B4)*(B5-B6)</f>
        <v>1.6799999999999997</v>
      </c>
      <c r="C7" s="18" t="s">
        <v>386</v>
      </c>
      <c r="D7" s="58" t="s">
        <v>513</v>
      </c>
    </row>
    <row r="8" spans="1:4">
      <c r="D8" s="35" t="s">
        <v>619</v>
      </c>
    </row>
    <row r="9" spans="1:4">
      <c r="D9" s="58" t="s">
        <v>516</v>
      </c>
    </row>
    <row r="10" spans="1:4">
      <c r="D10" s="35" t="s">
        <v>517</v>
      </c>
    </row>
    <row r="12" spans="1:4">
      <c r="D12" s="193" t="s">
        <v>830</v>
      </c>
    </row>
  </sheetData>
  <sheetProtection password="EFD6" sheet="1" selectLockedCells="1"/>
  <phoneticPr fontId="32" type="noConversion"/>
  <hyperlinks>
    <hyperlink ref="D5" location="'Index Page'!A1" display="Back to the first page"/>
    <hyperlink ref="D10" r:id="rId1"/>
    <hyperlink ref="D8" r:id="rId2"/>
    <hyperlink ref="D12" r:id="rId3"/>
  </hyperlinks>
  <pageMargins left="0.75" right="0.75" top="1" bottom="1" header="0.5" footer="0.5"/>
  <pageSetup paperSize="9" orientation="portrait" r:id="rId4"/>
  <headerFooter alignWithMargins="0"/>
</worksheet>
</file>

<file path=xl/worksheets/sheet7.xml><?xml version="1.0" encoding="utf-8"?>
<worksheet xmlns="http://schemas.openxmlformats.org/spreadsheetml/2006/main" xmlns:r="http://schemas.openxmlformats.org/officeDocument/2006/relationships">
  <sheetPr>
    <tabColor rgb="FFFFFF00"/>
  </sheetPr>
  <dimension ref="A1:F19"/>
  <sheetViews>
    <sheetView showGridLines="0" workbookViewId="0">
      <selection activeCell="F4" sqref="F4"/>
    </sheetView>
  </sheetViews>
  <sheetFormatPr defaultRowHeight="12.75"/>
  <cols>
    <col min="1" max="1" width="36.28515625" customWidth="1"/>
    <col min="5" max="5" width="17.85546875" customWidth="1"/>
    <col min="6" max="6" width="55.42578125" bestFit="1" customWidth="1"/>
  </cols>
  <sheetData>
    <row r="1" spans="1:6">
      <c r="A1" s="18" t="s">
        <v>1016</v>
      </c>
    </row>
    <row r="2" spans="1:6">
      <c r="F2" s="13" t="s">
        <v>373</v>
      </c>
    </row>
    <row r="3" spans="1:6">
      <c r="A3" s="18" t="s">
        <v>1017</v>
      </c>
      <c r="C3" s="27"/>
      <c r="F3" s="12" t="s">
        <v>372</v>
      </c>
    </row>
    <row r="4" spans="1:6">
      <c r="C4" s="27"/>
      <c r="F4" s="35" t="s">
        <v>24</v>
      </c>
    </row>
    <row r="5" spans="1:6">
      <c r="A5" s="27" t="s">
        <v>1018</v>
      </c>
      <c r="B5" s="223">
        <v>15000</v>
      </c>
      <c r="C5" s="27"/>
      <c r="F5" s="35"/>
    </row>
    <row r="6" spans="1:6">
      <c r="A6" s="27" t="s">
        <v>1019</v>
      </c>
      <c r="B6" s="155">
        <v>3.1</v>
      </c>
      <c r="C6" s="27"/>
      <c r="F6" s="194"/>
    </row>
    <row r="7" spans="1:6">
      <c r="A7" s="27" t="s">
        <v>1020</v>
      </c>
      <c r="B7" s="172">
        <v>100</v>
      </c>
      <c r="C7" s="27"/>
      <c r="F7" s="194"/>
    </row>
    <row r="8" spans="1:6">
      <c r="A8" s="27" t="s">
        <v>1021</v>
      </c>
      <c r="B8" s="172">
        <v>140</v>
      </c>
      <c r="C8" s="27"/>
      <c r="F8" s="194"/>
    </row>
    <row r="9" spans="1:6">
      <c r="A9" s="27" t="s">
        <v>1013</v>
      </c>
      <c r="B9" s="155">
        <v>12.25</v>
      </c>
      <c r="C9" s="27"/>
      <c r="F9" s="194"/>
    </row>
    <row r="10" spans="1:6">
      <c r="A10" s="18" t="s">
        <v>1022</v>
      </c>
      <c r="B10" s="271">
        <f>B5*((1.274/(B9^2))+(13.33*B6*B7/(B8*B9)))</f>
        <v>36269.912536443146</v>
      </c>
    </row>
    <row r="12" spans="1:6">
      <c r="A12" s="86"/>
      <c r="B12" s="29"/>
      <c r="C12" s="29"/>
    </row>
    <row r="13" spans="1:6">
      <c r="A13" s="18" t="s">
        <v>1023</v>
      </c>
      <c r="B13" s="232"/>
      <c r="C13" s="29"/>
    </row>
    <row r="14" spans="1:6">
      <c r="A14" s="27" t="s">
        <v>1018</v>
      </c>
      <c r="B14" s="223">
        <v>15000</v>
      </c>
      <c r="C14" s="29"/>
    </row>
    <row r="15" spans="1:6">
      <c r="A15" s="27" t="s">
        <v>1024</v>
      </c>
      <c r="B15" s="223">
        <v>16000</v>
      </c>
      <c r="C15" s="122"/>
      <c r="F15" s="35"/>
    </row>
    <row r="16" spans="1:6">
      <c r="A16" s="27" t="s">
        <v>1020</v>
      </c>
      <c r="B16" s="172">
        <v>100</v>
      </c>
      <c r="C16" s="29"/>
    </row>
    <row r="17" spans="1:2">
      <c r="A17" s="27" t="s">
        <v>1021</v>
      </c>
      <c r="B17" s="172">
        <v>140</v>
      </c>
    </row>
    <row r="18" spans="1:2">
      <c r="A18" s="27" t="s">
        <v>1013</v>
      </c>
      <c r="B18" s="155">
        <v>12.25</v>
      </c>
    </row>
    <row r="19" spans="1:2">
      <c r="A19" s="18" t="s">
        <v>1022</v>
      </c>
      <c r="B19" s="271">
        <f>(480*B15*B16/(B17*(B18^2)))+(1.274*B14/(B18^2))</f>
        <v>36683.543761527937</v>
      </c>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dimension ref="A1:F11"/>
  <sheetViews>
    <sheetView showGridLines="0" workbookViewId="0">
      <selection activeCell="E11" sqref="E11"/>
    </sheetView>
  </sheetViews>
  <sheetFormatPr defaultRowHeight="12.75"/>
  <cols>
    <col min="1" max="1" width="22.5703125" bestFit="1" customWidth="1"/>
    <col min="2" max="2" width="5.85546875" customWidth="1"/>
    <col min="3" max="3" width="10.5703125" bestFit="1" customWidth="1"/>
    <col min="5" max="5" width="54" customWidth="1"/>
  </cols>
  <sheetData>
    <row r="1" spans="1:6">
      <c r="A1" s="18" t="s">
        <v>339</v>
      </c>
    </row>
    <row r="2" spans="1:6">
      <c r="E2" s="83" t="s">
        <v>373</v>
      </c>
    </row>
    <row r="3" spans="1:6">
      <c r="A3" s="18" t="s">
        <v>340</v>
      </c>
      <c r="B3" s="33">
        <v>10</v>
      </c>
      <c r="C3" s="18" t="s">
        <v>190</v>
      </c>
      <c r="E3" s="84" t="s">
        <v>179</v>
      </c>
      <c r="F3" s="18"/>
    </row>
    <row r="4" spans="1:6">
      <c r="A4" s="18" t="s">
        <v>341</v>
      </c>
      <c r="B4" s="33">
        <v>8.5</v>
      </c>
      <c r="C4" s="18" t="s">
        <v>365</v>
      </c>
      <c r="E4" s="85" t="s">
        <v>24</v>
      </c>
      <c r="F4" s="18"/>
    </row>
    <row r="5" spans="1:6">
      <c r="A5" s="18" t="s">
        <v>342</v>
      </c>
      <c r="B5" s="33">
        <v>4.5</v>
      </c>
      <c r="C5" s="18" t="s">
        <v>365</v>
      </c>
      <c r="F5" s="18"/>
    </row>
    <row r="6" spans="1:6">
      <c r="A6" s="18" t="s">
        <v>343</v>
      </c>
      <c r="B6" s="17">
        <f>B3/((11.7*(B4-B5)))</f>
        <v>0.21367521367521369</v>
      </c>
      <c r="C6" s="18" t="s">
        <v>386</v>
      </c>
      <c r="E6" s="58" t="s">
        <v>513</v>
      </c>
    </row>
    <row r="7" spans="1:6">
      <c r="E7" s="35" t="s">
        <v>627</v>
      </c>
    </row>
    <row r="8" spans="1:6">
      <c r="E8" s="58" t="s">
        <v>516</v>
      </c>
    </row>
    <row r="9" spans="1:6">
      <c r="E9" s="35" t="s">
        <v>517</v>
      </c>
    </row>
    <row r="11" spans="1:6">
      <c r="E11" s="193" t="s">
        <v>830</v>
      </c>
    </row>
  </sheetData>
  <sheetProtection password="EFD6" sheet="1" selectLockedCells="1"/>
  <phoneticPr fontId="32" type="noConversion"/>
  <hyperlinks>
    <hyperlink ref="E4" location="'Index Page'!A1" display="Back to the first page"/>
    <hyperlink ref="E9" r:id="rId1"/>
    <hyperlink ref="E7" r:id="rId2"/>
    <hyperlink ref="E11" r:id="rId3"/>
  </hyperlinks>
  <pageMargins left="0.75" right="0.75" top="1" bottom="1" header="0.5" footer="0.5"/>
  <pageSetup paperSize="9" orientation="portrait" r:id="rId4"/>
  <headerFooter alignWithMargins="0"/>
</worksheet>
</file>

<file path=xl/worksheets/sheet71.xml><?xml version="1.0" encoding="utf-8"?>
<worksheet xmlns="http://schemas.openxmlformats.org/spreadsheetml/2006/main" xmlns:r="http://schemas.openxmlformats.org/officeDocument/2006/relationships">
  <dimension ref="A1:E11"/>
  <sheetViews>
    <sheetView showGridLines="0" workbookViewId="0">
      <selection activeCell="E4" sqref="E4"/>
    </sheetView>
  </sheetViews>
  <sheetFormatPr defaultRowHeight="12.75"/>
  <cols>
    <col min="1" max="1" width="20.7109375" style="18" bestFit="1" customWidth="1"/>
    <col min="3" max="3" width="9.140625" style="18"/>
    <col min="5" max="5" width="54" customWidth="1"/>
  </cols>
  <sheetData>
    <row r="1" spans="1:5">
      <c r="A1" s="18" t="s">
        <v>320</v>
      </c>
    </row>
    <row r="2" spans="1:5">
      <c r="A2" s="18" t="s">
        <v>315</v>
      </c>
      <c r="B2" s="33">
        <v>300</v>
      </c>
      <c r="C2" s="18" t="s">
        <v>316</v>
      </c>
      <c r="E2" s="54" t="s">
        <v>373</v>
      </c>
    </row>
    <row r="3" spans="1:5">
      <c r="A3" s="18" t="s">
        <v>313</v>
      </c>
      <c r="B3" s="33">
        <v>0.10199999999999999</v>
      </c>
      <c r="C3" s="18" t="s">
        <v>314</v>
      </c>
      <c r="E3" s="55" t="s">
        <v>179</v>
      </c>
    </row>
    <row r="4" spans="1:5">
      <c r="A4" s="18" t="s">
        <v>514</v>
      </c>
      <c r="B4" s="33">
        <v>250</v>
      </c>
      <c r="C4" s="18" t="s">
        <v>364</v>
      </c>
      <c r="E4" s="35" t="s">
        <v>24</v>
      </c>
    </row>
    <row r="5" spans="1:5">
      <c r="A5" s="18" t="s">
        <v>317</v>
      </c>
      <c r="B5" s="55">
        <f>B4/(B2/42)</f>
        <v>35</v>
      </c>
      <c r="C5" s="18" t="s">
        <v>319</v>
      </c>
    </row>
    <row r="6" spans="1:5">
      <c r="A6" s="18" t="s">
        <v>318</v>
      </c>
      <c r="B6" s="79">
        <f>B4/B3</f>
        <v>2450.9803921568628</v>
      </c>
      <c r="C6" s="18" t="s">
        <v>363</v>
      </c>
      <c r="E6" s="58" t="s">
        <v>513</v>
      </c>
    </row>
    <row r="7" spans="1:5">
      <c r="E7" s="35" t="s">
        <v>515</v>
      </c>
    </row>
    <row r="8" spans="1:5">
      <c r="E8" s="58" t="s">
        <v>516</v>
      </c>
    </row>
    <row r="9" spans="1:5">
      <c r="E9" s="35" t="s">
        <v>517</v>
      </c>
    </row>
    <row r="11" spans="1:5">
      <c r="E11" s="193" t="s">
        <v>830</v>
      </c>
    </row>
  </sheetData>
  <sheetProtection password="EFD6" sheet="1" selectLockedCells="1"/>
  <phoneticPr fontId="30" type="noConversion"/>
  <hyperlinks>
    <hyperlink ref="E4" location="'Index Page'!A1" display="Back to the first page"/>
    <hyperlink ref="E7" r:id="rId1"/>
    <hyperlink ref="E9" r:id="rId2"/>
    <hyperlink ref="E11" r:id="rId3"/>
  </hyperlinks>
  <pageMargins left="0.75" right="0.75" top="1" bottom="1" header="0.5" footer="0.5"/>
  <pageSetup orientation="portrait" r:id="rId4"/>
  <headerFooter alignWithMargins="0"/>
</worksheet>
</file>

<file path=xl/worksheets/sheet72.xml><?xml version="1.0" encoding="utf-8"?>
<worksheet xmlns="http://schemas.openxmlformats.org/spreadsheetml/2006/main" xmlns:r="http://schemas.openxmlformats.org/officeDocument/2006/relationships">
  <dimension ref="A1:F44"/>
  <sheetViews>
    <sheetView showGridLines="0" workbookViewId="0">
      <selection activeCell="F6" sqref="F6"/>
    </sheetView>
  </sheetViews>
  <sheetFormatPr defaultRowHeight="12.75"/>
  <cols>
    <col min="1" max="1" width="36" customWidth="1"/>
    <col min="2" max="2" width="13.7109375" bestFit="1" customWidth="1"/>
    <col min="5" max="5" width="3.7109375" customWidth="1"/>
    <col min="6" max="6" width="54" customWidth="1"/>
  </cols>
  <sheetData>
    <row r="1" spans="1:6">
      <c r="A1" s="18" t="s">
        <v>21</v>
      </c>
    </row>
    <row r="3" spans="1:6">
      <c r="A3" s="18" t="s">
        <v>279</v>
      </c>
    </row>
    <row r="4" spans="1:6">
      <c r="A4" s="2" t="s">
        <v>470</v>
      </c>
      <c r="B4" s="105">
        <v>10</v>
      </c>
      <c r="C4" s="69" t="s">
        <v>386</v>
      </c>
      <c r="F4" s="54" t="s">
        <v>373</v>
      </c>
    </row>
    <row r="5" spans="1:6">
      <c r="A5" s="69" t="s">
        <v>294</v>
      </c>
      <c r="B5" s="105">
        <v>5500</v>
      </c>
      <c r="C5" s="69" t="s">
        <v>366</v>
      </c>
      <c r="F5" s="55" t="s">
        <v>179</v>
      </c>
    </row>
    <row r="6" spans="1:6">
      <c r="A6" s="2" t="s">
        <v>280</v>
      </c>
      <c r="B6" s="105">
        <v>13.3</v>
      </c>
      <c r="C6" s="69" t="s">
        <v>286</v>
      </c>
      <c r="F6" s="35" t="s">
        <v>24</v>
      </c>
    </row>
    <row r="7" spans="1:6">
      <c r="A7" s="2" t="s">
        <v>281</v>
      </c>
      <c r="B7" s="105">
        <v>85</v>
      </c>
      <c r="C7" s="69" t="s">
        <v>286</v>
      </c>
      <c r="F7" s="193" t="s">
        <v>830</v>
      </c>
    </row>
    <row r="8" spans="1:6">
      <c r="A8" s="2" t="s">
        <v>282</v>
      </c>
      <c r="B8" s="105">
        <v>120</v>
      </c>
      <c r="C8" s="69" t="s">
        <v>366</v>
      </c>
      <c r="F8" s="58"/>
    </row>
    <row r="9" spans="1:6">
      <c r="A9" s="2" t="s">
        <v>283</v>
      </c>
      <c r="B9" s="105">
        <v>49</v>
      </c>
      <c r="C9" s="69" t="s">
        <v>286</v>
      </c>
      <c r="F9" s="35"/>
    </row>
    <row r="10" spans="1:6">
      <c r="A10" s="2" t="s">
        <v>284</v>
      </c>
      <c r="B10" s="105">
        <v>450</v>
      </c>
      <c r="C10" s="69" t="s">
        <v>366</v>
      </c>
      <c r="F10" s="58" t="s">
        <v>516</v>
      </c>
    </row>
    <row r="11" spans="1:6">
      <c r="A11" s="69" t="s">
        <v>285</v>
      </c>
      <c r="B11" s="105">
        <v>8300</v>
      </c>
      <c r="C11" s="69" t="s">
        <v>42</v>
      </c>
      <c r="F11" s="35" t="s">
        <v>517</v>
      </c>
    </row>
    <row r="12" spans="1:6">
      <c r="A12" s="69" t="s">
        <v>288</v>
      </c>
      <c r="B12" s="106">
        <v>94</v>
      </c>
      <c r="C12" s="69" t="s">
        <v>366</v>
      </c>
    </row>
    <row r="13" spans="1:6">
      <c r="A13" s="69" t="s">
        <v>293</v>
      </c>
      <c r="B13" s="105">
        <v>95000</v>
      </c>
      <c r="C13" s="69" t="s">
        <v>42</v>
      </c>
    </row>
    <row r="14" spans="1:6">
      <c r="A14" s="69" t="s">
        <v>292</v>
      </c>
      <c r="B14" s="105">
        <v>94</v>
      </c>
      <c r="C14" s="69" t="s">
        <v>366</v>
      </c>
    </row>
    <row r="15" spans="1:6">
      <c r="A15" s="69" t="s">
        <v>22</v>
      </c>
      <c r="B15" s="70">
        <f>(65.5-B4)/65.5</f>
        <v>0.84732824427480913</v>
      </c>
      <c r="C15" s="2"/>
    </row>
    <row r="16" spans="1:6">
      <c r="A16" s="69" t="s">
        <v>287</v>
      </c>
      <c r="B16" s="71">
        <f>B6*B15</f>
        <v>11.269465648854961</v>
      </c>
      <c r="C16" s="69" t="s">
        <v>286</v>
      </c>
    </row>
    <row r="17" spans="1:6" ht="51">
      <c r="A17" s="72" t="s">
        <v>289</v>
      </c>
      <c r="B17" s="75">
        <f>((B8*B7+B9*B10+B11)*B15)-((B6*(B8+B10+B12))*B15)</f>
        <v>26876.235114503816</v>
      </c>
      <c r="C17" s="69" t="s">
        <v>42</v>
      </c>
      <c r="F17" s="58" t="s">
        <v>513</v>
      </c>
    </row>
    <row r="18" spans="1:6">
      <c r="A18" s="73" t="s">
        <v>291</v>
      </c>
      <c r="B18" s="74">
        <f>(B16*B5*(B14+B5)+(2*B5)*((2*B13+B17)))/(5280*2000)</f>
        <v>258.74680263994912</v>
      </c>
      <c r="C18" s="73" t="s">
        <v>290</v>
      </c>
      <c r="F18" s="35" t="s">
        <v>524</v>
      </c>
    </row>
    <row r="20" spans="1:6">
      <c r="A20" s="18" t="s">
        <v>300</v>
      </c>
    </row>
    <row r="22" spans="1:6" ht="25.5">
      <c r="A22" s="72" t="s">
        <v>295</v>
      </c>
      <c r="B22" s="105">
        <v>230</v>
      </c>
      <c r="C22" t="s">
        <v>298</v>
      </c>
    </row>
    <row r="23" spans="1:6" ht="25.5">
      <c r="A23" s="72" t="s">
        <v>296</v>
      </c>
      <c r="B23" s="105">
        <v>195</v>
      </c>
      <c r="C23" t="s">
        <v>298</v>
      </c>
      <c r="F23" s="58" t="s">
        <v>513</v>
      </c>
    </row>
    <row r="24" spans="1:6">
      <c r="A24" s="2" t="s">
        <v>297</v>
      </c>
      <c r="B24" s="71">
        <f>3*(B22-B23)</f>
        <v>105</v>
      </c>
      <c r="C24" t="s">
        <v>298</v>
      </c>
      <c r="F24" s="35" t="s">
        <v>525</v>
      </c>
    </row>
    <row r="26" spans="1:6">
      <c r="A26" s="18" t="s">
        <v>299</v>
      </c>
    </row>
    <row r="28" spans="1:6" ht="38.25">
      <c r="A28" s="72" t="s">
        <v>301</v>
      </c>
      <c r="B28" s="105">
        <v>200</v>
      </c>
      <c r="C28" t="s">
        <v>298</v>
      </c>
    </row>
    <row r="29" spans="1:6" ht="25.5">
      <c r="A29" s="72" t="s">
        <v>302</v>
      </c>
      <c r="B29" s="105">
        <v>190</v>
      </c>
      <c r="C29" t="s">
        <v>298</v>
      </c>
      <c r="F29" s="58" t="s">
        <v>513</v>
      </c>
    </row>
    <row r="30" spans="1:6">
      <c r="A30" s="2" t="s">
        <v>303</v>
      </c>
      <c r="B30" s="71">
        <f>2*(B28-B29)</f>
        <v>20</v>
      </c>
      <c r="C30" t="s">
        <v>298</v>
      </c>
      <c r="F30" s="35" t="s">
        <v>526</v>
      </c>
    </row>
    <row r="32" spans="1:6">
      <c r="A32" s="18" t="s">
        <v>304</v>
      </c>
    </row>
    <row r="33" spans="1:6">
      <c r="A33" s="69" t="s">
        <v>384</v>
      </c>
      <c r="B33" s="105">
        <v>10</v>
      </c>
      <c r="C33" s="27" t="s">
        <v>386</v>
      </c>
    </row>
    <row r="34" spans="1:6">
      <c r="A34" s="76" t="s">
        <v>305</v>
      </c>
      <c r="B34" s="105">
        <v>25</v>
      </c>
      <c r="C34" s="27" t="s">
        <v>286</v>
      </c>
    </row>
    <row r="35" spans="1:6">
      <c r="A35" s="76" t="s">
        <v>306</v>
      </c>
      <c r="B35" s="105">
        <v>5200</v>
      </c>
      <c r="C35" s="27" t="s">
        <v>366</v>
      </c>
    </row>
    <row r="36" spans="1:6">
      <c r="A36" s="76" t="s">
        <v>307</v>
      </c>
      <c r="B36" s="105">
        <v>95000</v>
      </c>
      <c r="C36" s="27" t="s">
        <v>42</v>
      </c>
    </row>
    <row r="37" spans="1:6">
      <c r="A37" s="76" t="s">
        <v>308</v>
      </c>
      <c r="B37" s="105">
        <v>42</v>
      </c>
      <c r="C37" s="27" t="s">
        <v>366</v>
      </c>
    </row>
    <row r="38" spans="1:6">
      <c r="A38" s="69" t="s">
        <v>22</v>
      </c>
      <c r="B38" s="77">
        <f>(65.5-B33)/65.5</f>
        <v>0.84732824427480913</v>
      </c>
      <c r="C38" s="27"/>
      <c r="F38" s="58" t="s">
        <v>513</v>
      </c>
    </row>
    <row r="39" spans="1:6">
      <c r="A39" s="69" t="s">
        <v>304</v>
      </c>
      <c r="B39" s="78">
        <f>0.5*((B38*B34*B35*(B37+B35))+(B35*B36))/(5280*2000)</f>
        <v>50.730128093916264</v>
      </c>
      <c r="C39" t="s">
        <v>298</v>
      </c>
      <c r="F39" s="35" t="s">
        <v>527</v>
      </c>
    </row>
    <row r="41" spans="1:6">
      <c r="A41" s="18" t="s">
        <v>309</v>
      </c>
    </row>
    <row r="42" spans="1:6" ht="25.5">
      <c r="A42" s="72" t="s">
        <v>310</v>
      </c>
      <c r="B42" s="105">
        <v>200</v>
      </c>
      <c r="C42" t="s">
        <v>298</v>
      </c>
    </row>
    <row r="43" spans="1:6" ht="25.5">
      <c r="A43" s="72" t="s">
        <v>311</v>
      </c>
      <c r="B43" s="105">
        <v>190</v>
      </c>
      <c r="C43" t="s">
        <v>298</v>
      </c>
      <c r="F43" s="58" t="s">
        <v>513</v>
      </c>
    </row>
    <row r="44" spans="1:6">
      <c r="A44" s="2" t="s">
        <v>303</v>
      </c>
      <c r="B44" s="71">
        <f>(B42-B43)</f>
        <v>10</v>
      </c>
      <c r="C44" t="s">
        <v>298</v>
      </c>
      <c r="F44" s="35" t="s">
        <v>528</v>
      </c>
    </row>
  </sheetData>
  <sheetProtection password="EFD6" sheet="1" selectLockedCells="1"/>
  <phoneticPr fontId="29" type="noConversion"/>
  <hyperlinks>
    <hyperlink ref="F6" location="'Index Page'!A1" display="Back to the first page"/>
    <hyperlink ref="F11" r:id="rId1"/>
    <hyperlink ref="F18" r:id="rId2"/>
    <hyperlink ref="F24" r:id="rId3"/>
    <hyperlink ref="F30" r:id="rId4"/>
    <hyperlink ref="F39" r:id="rId5"/>
    <hyperlink ref="F44" r:id="rId6"/>
    <hyperlink ref="F7" r:id="rId7"/>
  </hyperlinks>
  <pageMargins left="0.7" right="0.7" top="0.75" bottom="0.75" header="0.3" footer="0.3"/>
  <pageSetup paperSize="9" orientation="portrait" horizontalDpi="1200" verticalDpi="1200" r:id="rId8"/>
</worksheet>
</file>

<file path=xl/worksheets/sheet73.xml><?xml version="1.0" encoding="utf-8"?>
<worksheet xmlns="http://schemas.openxmlformats.org/spreadsheetml/2006/main" xmlns:r="http://schemas.openxmlformats.org/officeDocument/2006/relationships">
  <dimension ref="A1:F16"/>
  <sheetViews>
    <sheetView showGridLines="0" workbookViewId="0">
      <selection activeCell="F14" sqref="F14"/>
    </sheetView>
  </sheetViews>
  <sheetFormatPr defaultRowHeight="12.75"/>
  <cols>
    <col min="1" max="1" width="29.5703125" customWidth="1"/>
    <col min="6" max="6" width="53.7109375" customWidth="1"/>
  </cols>
  <sheetData>
    <row r="1" spans="1:6" ht="15.75">
      <c r="A1" s="43" t="s">
        <v>271</v>
      </c>
    </row>
    <row r="2" spans="1:6">
      <c r="A2" t="s">
        <v>267</v>
      </c>
      <c r="B2" s="33">
        <v>90</v>
      </c>
      <c r="C2" t="s">
        <v>272</v>
      </c>
      <c r="F2" s="54" t="s">
        <v>373</v>
      </c>
    </row>
    <row r="3" spans="1:6">
      <c r="A3" t="s">
        <v>268</v>
      </c>
      <c r="B3" s="33">
        <v>110</v>
      </c>
      <c r="C3" t="s">
        <v>273</v>
      </c>
      <c r="F3" s="55" t="s">
        <v>179</v>
      </c>
    </row>
    <row r="4" spans="1:6">
      <c r="A4" t="s">
        <v>269</v>
      </c>
      <c r="B4" s="33">
        <v>20</v>
      </c>
      <c r="C4" t="s">
        <v>274</v>
      </c>
      <c r="F4" s="35" t="s">
        <v>24</v>
      </c>
    </row>
    <row r="5" spans="1:6">
      <c r="A5" t="s">
        <v>270</v>
      </c>
      <c r="B5" s="33">
        <v>8.5</v>
      </c>
      <c r="C5" t="s">
        <v>159</v>
      </c>
      <c r="F5" s="58" t="s">
        <v>513</v>
      </c>
    </row>
    <row r="6" spans="1:6">
      <c r="A6" t="s">
        <v>275</v>
      </c>
      <c r="B6" s="93">
        <f>LOG(B2/(60*B3),10)/LOG(12*B4/(1000*B5),10)</f>
        <v>1.2040357437959293</v>
      </c>
      <c r="F6" s="35" t="s">
        <v>540</v>
      </c>
    </row>
    <row r="8" spans="1:6" ht="15.75">
      <c r="A8" s="43" t="s">
        <v>321</v>
      </c>
    </row>
    <row r="9" spans="1:6">
      <c r="A9" t="s">
        <v>267</v>
      </c>
      <c r="B9" s="33">
        <v>90</v>
      </c>
      <c r="C9" t="s">
        <v>272</v>
      </c>
      <c r="F9" s="58" t="s">
        <v>513</v>
      </c>
    </row>
    <row r="10" spans="1:6">
      <c r="A10" t="s">
        <v>268</v>
      </c>
      <c r="B10" s="33">
        <v>110</v>
      </c>
      <c r="C10" t="s">
        <v>273</v>
      </c>
      <c r="F10" s="35" t="s">
        <v>541</v>
      </c>
    </row>
    <row r="11" spans="1:6">
      <c r="A11" t="s">
        <v>269</v>
      </c>
      <c r="B11" s="33">
        <v>20</v>
      </c>
      <c r="C11" t="s">
        <v>274</v>
      </c>
      <c r="F11" s="58" t="s">
        <v>516</v>
      </c>
    </row>
    <row r="12" spans="1:6">
      <c r="A12" t="s">
        <v>270</v>
      </c>
      <c r="B12" s="33">
        <v>8.5</v>
      </c>
      <c r="C12" t="s">
        <v>159</v>
      </c>
      <c r="F12" s="35" t="s">
        <v>517</v>
      </c>
    </row>
    <row r="13" spans="1:6">
      <c r="A13" t="s">
        <v>322</v>
      </c>
      <c r="B13" s="33">
        <v>9</v>
      </c>
      <c r="C13" t="s">
        <v>386</v>
      </c>
    </row>
    <row r="14" spans="1:6">
      <c r="A14" t="s">
        <v>323</v>
      </c>
      <c r="B14" s="33">
        <v>12</v>
      </c>
      <c r="C14" t="s">
        <v>386</v>
      </c>
      <c r="F14" s="193" t="s">
        <v>830</v>
      </c>
    </row>
    <row r="15" spans="1:6">
      <c r="A15" t="s">
        <v>275</v>
      </c>
      <c r="B15" s="93">
        <f>LOG(B9/(60*B10),10)/LOG(12*B11/(1000*B12),10)*(B13/B14)</f>
        <v>0.903026807846947</v>
      </c>
    </row>
    <row r="16" spans="1:6">
      <c r="B16" s="95"/>
    </row>
  </sheetData>
  <sheetProtection password="EFD6" sheet="1" selectLockedCells="1"/>
  <phoneticPr fontId="26" type="noConversion"/>
  <hyperlinks>
    <hyperlink ref="F4" location="'Index Page'!A1" display="Back to the first page"/>
    <hyperlink ref="F12" r:id="rId1"/>
    <hyperlink ref="F10" r:id="rId2"/>
    <hyperlink ref="F6" r:id="rId3"/>
    <hyperlink ref="F14" r:id="rId4"/>
  </hyperlinks>
  <pageMargins left="0.75" right="0.75" top="1" bottom="1" header="0.5" footer="0.5"/>
  <pageSetup orientation="portrait" r:id="rId5"/>
  <headerFooter alignWithMargins="0"/>
</worksheet>
</file>

<file path=xl/worksheets/sheet74.xml><?xml version="1.0" encoding="utf-8"?>
<worksheet xmlns="http://schemas.openxmlformats.org/spreadsheetml/2006/main" xmlns:r="http://schemas.openxmlformats.org/officeDocument/2006/relationships">
  <dimension ref="A1:D16"/>
  <sheetViews>
    <sheetView showGridLines="0" workbookViewId="0">
      <selection activeCell="D6" sqref="D6"/>
    </sheetView>
  </sheetViews>
  <sheetFormatPr defaultRowHeight="12.75"/>
  <cols>
    <col min="1" max="1" width="40.5703125" bestFit="1" customWidth="1"/>
    <col min="4" max="4" width="53.42578125" customWidth="1"/>
  </cols>
  <sheetData>
    <row r="1" spans="1:4">
      <c r="A1" s="49" t="s">
        <v>259</v>
      </c>
    </row>
    <row r="3" spans="1:4">
      <c r="A3" s="18" t="s">
        <v>260</v>
      </c>
      <c r="D3" s="111" t="s">
        <v>373</v>
      </c>
    </row>
    <row r="4" spans="1:4">
      <c r="D4" s="55" t="s">
        <v>179</v>
      </c>
    </row>
    <row r="5" spans="1:4">
      <c r="A5" t="s">
        <v>261</v>
      </c>
      <c r="B5" s="33">
        <v>1000</v>
      </c>
      <c r="D5" s="35" t="s">
        <v>24</v>
      </c>
    </row>
    <row r="6" spans="1:4">
      <c r="A6" t="s">
        <v>262</v>
      </c>
      <c r="B6" s="33">
        <v>6</v>
      </c>
      <c r="D6" s="193" t="s">
        <v>830</v>
      </c>
    </row>
    <row r="7" spans="1:4">
      <c r="A7" t="s">
        <v>263</v>
      </c>
      <c r="B7" s="33">
        <v>4</v>
      </c>
      <c r="D7" s="58" t="s">
        <v>513</v>
      </c>
    </row>
    <row r="8" spans="1:4">
      <c r="A8" t="s">
        <v>264</v>
      </c>
      <c r="B8" s="67">
        <f>(B5)*(B6-B7)/B7</f>
        <v>500</v>
      </c>
      <c r="D8" s="35" t="s">
        <v>592</v>
      </c>
    </row>
    <row r="10" spans="1:4">
      <c r="A10" s="18" t="s">
        <v>265</v>
      </c>
    </row>
    <row r="11" spans="1:4">
      <c r="D11" s="68"/>
    </row>
    <row r="12" spans="1:4">
      <c r="A12" t="s">
        <v>261</v>
      </c>
      <c r="B12" s="33">
        <v>2000</v>
      </c>
      <c r="D12" s="58" t="s">
        <v>513</v>
      </c>
    </row>
    <row r="13" spans="1:4">
      <c r="A13" t="s">
        <v>262</v>
      </c>
      <c r="B13" s="33">
        <v>7</v>
      </c>
      <c r="D13" s="35" t="s">
        <v>593</v>
      </c>
    </row>
    <row r="14" spans="1:4">
      <c r="A14" t="s">
        <v>263</v>
      </c>
      <c r="B14" s="33">
        <v>3.5</v>
      </c>
    </row>
    <row r="15" spans="1:4" ht="25.5">
      <c r="A15" s="20" t="s">
        <v>266</v>
      </c>
      <c r="B15" s="33">
        <v>2</v>
      </c>
      <c r="D15" s="58" t="s">
        <v>516</v>
      </c>
    </row>
    <row r="16" spans="1:4">
      <c r="A16" t="s">
        <v>264</v>
      </c>
      <c r="B16" s="67">
        <f>(B12)*(B13-B14)/(B14-B15)</f>
        <v>4666.666666666667</v>
      </c>
      <c r="D16" s="35" t="s">
        <v>517</v>
      </c>
    </row>
  </sheetData>
  <sheetProtection password="EFD6" sheet="1" selectLockedCells="1"/>
  <phoneticPr fontId="26" type="noConversion"/>
  <hyperlinks>
    <hyperlink ref="D5" location="'Index Page'!A1" display="Back to the first page"/>
    <hyperlink ref="D16" r:id="rId1"/>
    <hyperlink ref="D13" r:id="rId2"/>
    <hyperlink ref="D8" r:id="rId3"/>
    <hyperlink ref="D6" r:id="rId4"/>
  </hyperlinks>
  <pageMargins left="0.75" right="0.75" top="1" bottom="1" header="0.5" footer="0.5"/>
  <pageSetup orientation="portrait" r:id="rId5"/>
  <headerFooter alignWithMargins="0"/>
</worksheet>
</file>

<file path=xl/worksheets/sheet75.xml><?xml version="1.0" encoding="utf-8"?>
<worksheet xmlns="http://schemas.openxmlformats.org/spreadsheetml/2006/main" xmlns:r="http://schemas.openxmlformats.org/officeDocument/2006/relationships">
  <dimension ref="A1:E11"/>
  <sheetViews>
    <sheetView showGridLines="0" workbookViewId="0">
      <selection activeCell="E11" sqref="E11"/>
    </sheetView>
  </sheetViews>
  <sheetFormatPr defaultRowHeight="12.75"/>
  <cols>
    <col min="1" max="1" width="37.140625" customWidth="1"/>
    <col min="5" max="5" width="53.42578125" customWidth="1"/>
  </cols>
  <sheetData>
    <row r="1" spans="1:5" ht="20.25">
      <c r="A1" s="37" t="s">
        <v>254</v>
      </c>
    </row>
    <row r="2" spans="1:5">
      <c r="A2" t="s">
        <v>239</v>
      </c>
      <c r="B2" s="33">
        <v>56</v>
      </c>
      <c r="E2" s="54" t="s">
        <v>373</v>
      </c>
    </row>
    <row r="3" spans="1:5">
      <c r="A3" t="s">
        <v>240</v>
      </c>
      <c r="B3" s="33">
        <v>14</v>
      </c>
      <c r="E3" s="55" t="s">
        <v>179</v>
      </c>
    </row>
    <row r="4" spans="1:5">
      <c r="A4" t="s">
        <v>241</v>
      </c>
      <c r="B4" s="33">
        <v>30</v>
      </c>
      <c r="E4" s="35" t="s">
        <v>24</v>
      </c>
    </row>
    <row r="5" spans="1:5">
      <c r="A5" t="s">
        <v>256</v>
      </c>
      <c r="B5" s="33">
        <v>300</v>
      </c>
      <c r="E5" s="35"/>
    </row>
    <row r="6" spans="1:5">
      <c r="A6" s="27" t="s">
        <v>248</v>
      </c>
      <c r="B6" s="65">
        <f>B2/(B3+B2)</f>
        <v>0.8</v>
      </c>
      <c r="E6" s="58" t="s">
        <v>513</v>
      </c>
    </row>
    <row r="7" spans="1:5">
      <c r="A7" s="27" t="s">
        <v>249</v>
      </c>
      <c r="B7" s="65">
        <f>(B3/(B2+B3))</f>
        <v>0.2</v>
      </c>
      <c r="E7" s="35" t="s">
        <v>588</v>
      </c>
    </row>
    <row r="8" spans="1:5">
      <c r="A8" s="27" t="s">
        <v>252</v>
      </c>
      <c r="B8" s="33">
        <v>70</v>
      </c>
      <c r="E8" s="58" t="s">
        <v>516</v>
      </c>
    </row>
    <row r="9" spans="1:5">
      <c r="A9" s="27" t="s">
        <v>253</v>
      </c>
      <c r="B9" s="33">
        <v>30</v>
      </c>
      <c r="E9" s="35" t="s">
        <v>517</v>
      </c>
    </row>
    <row r="10" spans="1:5">
      <c r="A10" s="26" t="s">
        <v>255</v>
      </c>
      <c r="B10" s="66">
        <f>(B2*100/B8)-(B2+B3)</f>
        <v>10</v>
      </c>
      <c r="C10" s="27" t="s">
        <v>364</v>
      </c>
    </row>
    <row r="11" spans="1:5">
      <c r="A11" s="27" t="s">
        <v>257</v>
      </c>
      <c r="B11" s="66">
        <f>B10*B5/100</f>
        <v>30</v>
      </c>
      <c r="C11" t="s">
        <v>364</v>
      </c>
      <c r="E11" s="193" t="s">
        <v>830</v>
      </c>
    </row>
  </sheetData>
  <sheetProtection password="EFD6" sheet="1" selectLockedCells="1"/>
  <phoneticPr fontId="2" type="noConversion"/>
  <hyperlinks>
    <hyperlink ref="E4" location="'Index Page'!A1" display="Back to the first page"/>
    <hyperlink ref="E9" r:id="rId1"/>
    <hyperlink ref="E7" r:id="rId2"/>
    <hyperlink ref="E11" r:id="rId3"/>
  </hyperlinks>
  <pageMargins left="0.7" right="0.7" top="0.75" bottom="0.75" header="0.3" footer="0.3"/>
  <pageSetup paperSize="9" orientation="portrait" horizontalDpi="300" verticalDpi="300" r:id="rId4"/>
  <headerFooter alignWithMargins="0"/>
</worksheet>
</file>

<file path=xl/worksheets/sheet76.xml><?xml version="1.0" encoding="utf-8"?>
<worksheet xmlns="http://schemas.openxmlformats.org/spreadsheetml/2006/main" xmlns:r="http://schemas.openxmlformats.org/officeDocument/2006/relationships">
  <dimension ref="A1:E11"/>
  <sheetViews>
    <sheetView showGridLines="0" workbookViewId="0">
      <selection activeCell="E11" sqref="E11"/>
    </sheetView>
  </sheetViews>
  <sheetFormatPr defaultRowHeight="12.75"/>
  <cols>
    <col min="1" max="1" width="31.85546875" bestFit="1" customWidth="1"/>
    <col min="5" max="5" width="53.5703125" customWidth="1"/>
  </cols>
  <sheetData>
    <row r="1" spans="1:5">
      <c r="A1" s="18" t="s">
        <v>246</v>
      </c>
    </row>
    <row r="2" spans="1:5">
      <c r="A2" t="s">
        <v>239</v>
      </c>
      <c r="B2" s="33">
        <v>51</v>
      </c>
      <c r="E2" s="54" t="s">
        <v>373</v>
      </c>
    </row>
    <row r="3" spans="1:5">
      <c r="A3" t="s">
        <v>240</v>
      </c>
      <c r="B3" s="33">
        <v>17</v>
      </c>
      <c r="E3" s="55" t="s">
        <v>179</v>
      </c>
    </row>
    <row r="4" spans="1:5">
      <c r="A4" t="s">
        <v>241</v>
      </c>
      <c r="B4" s="33">
        <v>32</v>
      </c>
      <c r="E4" s="35" t="s">
        <v>24</v>
      </c>
    </row>
    <row r="5" spans="1:5">
      <c r="A5" s="27" t="s">
        <v>248</v>
      </c>
      <c r="B5" s="62">
        <f>B2/(B3+B2)</f>
        <v>0.75</v>
      </c>
    </row>
    <row r="6" spans="1:5">
      <c r="A6" s="27" t="s">
        <v>249</v>
      </c>
      <c r="B6" s="62">
        <f>(B3/(B2+B3))</f>
        <v>0.25</v>
      </c>
      <c r="E6" s="58" t="s">
        <v>513</v>
      </c>
    </row>
    <row r="7" spans="1:5">
      <c r="A7" s="27" t="s">
        <v>250</v>
      </c>
      <c r="B7" s="33">
        <v>80</v>
      </c>
      <c r="E7" s="35" t="s">
        <v>603</v>
      </c>
    </row>
    <row r="8" spans="1:5">
      <c r="A8" s="27" t="s">
        <v>251</v>
      </c>
      <c r="B8" s="33">
        <v>20</v>
      </c>
      <c r="E8" s="58" t="s">
        <v>516</v>
      </c>
    </row>
    <row r="9" spans="1:5">
      <c r="A9" s="27" t="s">
        <v>247</v>
      </c>
      <c r="B9" s="64">
        <f>(B3*100/B8)-(B2+B3)</f>
        <v>17</v>
      </c>
      <c r="C9" s="27" t="s">
        <v>364</v>
      </c>
      <c r="E9" s="35" t="s">
        <v>517</v>
      </c>
    </row>
    <row r="11" spans="1:5">
      <c r="E11" s="193" t="s">
        <v>830</v>
      </c>
    </row>
  </sheetData>
  <sheetProtection password="EFD6" sheet="1" selectLockedCells="1"/>
  <phoneticPr fontId="2" type="noConversion"/>
  <hyperlinks>
    <hyperlink ref="E4" location="'Index Page'!A1" display="Back to the first page"/>
    <hyperlink ref="E9" r:id="rId1"/>
    <hyperlink ref="E7" r:id="rId2"/>
    <hyperlink ref="E11" r:id="rId3"/>
  </hyperlinks>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E11"/>
  <sheetViews>
    <sheetView showGridLines="0" workbookViewId="0">
      <selection activeCell="B4" sqref="B4"/>
    </sheetView>
  </sheetViews>
  <sheetFormatPr defaultRowHeight="12.75"/>
  <cols>
    <col min="1" max="1" width="22.85546875" bestFit="1" customWidth="1"/>
    <col min="2" max="2" width="11.7109375" customWidth="1"/>
    <col min="5" max="5" width="53.7109375" customWidth="1"/>
  </cols>
  <sheetData>
    <row r="1" spans="1:5">
      <c r="A1" s="18" t="s">
        <v>242</v>
      </c>
    </row>
    <row r="2" spans="1:5">
      <c r="A2" s="27"/>
      <c r="E2" s="83" t="s">
        <v>373</v>
      </c>
    </row>
    <row r="3" spans="1:5">
      <c r="A3" t="s">
        <v>239</v>
      </c>
      <c r="B3" s="33">
        <v>56</v>
      </c>
      <c r="E3" s="84" t="s">
        <v>179</v>
      </c>
    </row>
    <row r="4" spans="1:5">
      <c r="A4" t="s">
        <v>240</v>
      </c>
      <c r="B4" s="33">
        <v>14</v>
      </c>
      <c r="E4" s="35" t="s">
        <v>24</v>
      </c>
    </row>
    <row r="5" spans="1:5">
      <c r="A5" t="s">
        <v>241</v>
      </c>
      <c r="B5" s="33">
        <v>30</v>
      </c>
    </row>
    <row r="6" spans="1:5">
      <c r="A6" s="27" t="s">
        <v>243</v>
      </c>
      <c r="B6" s="62">
        <f>B3/(B4+B3)</f>
        <v>0.8</v>
      </c>
      <c r="E6" s="58" t="s">
        <v>513</v>
      </c>
    </row>
    <row r="7" spans="1:5">
      <c r="A7" s="27" t="s">
        <v>244</v>
      </c>
      <c r="B7" s="62">
        <f>(B4/(B3+B4))</f>
        <v>0.2</v>
      </c>
      <c r="E7" s="35" t="s">
        <v>590</v>
      </c>
    </row>
    <row r="8" spans="1:5">
      <c r="A8" s="27" t="s">
        <v>245</v>
      </c>
      <c r="B8" s="63" t="str">
        <f>CONCATENATE(ROUND(B6*100,0),"/",ROUND(B7*100,0))</f>
        <v>80/20</v>
      </c>
      <c r="E8" s="58" t="s">
        <v>516</v>
      </c>
    </row>
    <row r="9" spans="1:5">
      <c r="E9" s="35" t="s">
        <v>517</v>
      </c>
    </row>
    <row r="11" spans="1:5">
      <c r="E11" s="193" t="s">
        <v>830</v>
      </c>
    </row>
  </sheetData>
  <sheetProtection password="EFD6" sheet="1" selectLockedCells="1"/>
  <phoneticPr fontId="2" type="noConversion"/>
  <hyperlinks>
    <hyperlink ref="E4" location="'Index Page'!A1" display="Back to the first page"/>
    <hyperlink ref="E9" r:id="rId1"/>
    <hyperlink ref="E11" r:id="rId2"/>
  </hyperlinks>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F11"/>
  <sheetViews>
    <sheetView showGridLines="0" workbookViewId="0">
      <selection activeCell="F11" sqref="F11"/>
    </sheetView>
  </sheetViews>
  <sheetFormatPr defaultRowHeight="12.75"/>
  <cols>
    <col min="1" max="1" width="18.42578125" customWidth="1"/>
    <col min="6" max="6" width="54.28515625" customWidth="1"/>
  </cols>
  <sheetData>
    <row r="1" spans="1:6">
      <c r="A1" s="18" t="s">
        <v>233</v>
      </c>
    </row>
    <row r="2" spans="1:6">
      <c r="F2" s="83" t="s">
        <v>373</v>
      </c>
    </row>
    <row r="3" spans="1:6">
      <c r="A3" t="s">
        <v>234</v>
      </c>
      <c r="B3" s="33">
        <v>80</v>
      </c>
      <c r="F3" s="84" t="s">
        <v>179</v>
      </c>
    </row>
    <row r="4" spans="1:6">
      <c r="A4" t="s">
        <v>235</v>
      </c>
      <c r="B4" s="33">
        <v>20</v>
      </c>
      <c r="F4" s="35" t="s">
        <v>24</v>
      </c>
    </row>
    <row r="5" spans="1:6">
      <c r="A5" t="s">
        <v>236</v>
      </c>
      <c r="B5" s="33">
        <v>7</v>
      </c>
      <c r="C5" s="27" t="s">
        <v>386</v>
      </c>
    </row>
    <row r="6" spans="1:6">
      <c r="A6" t="s">
        <v>237</v>
      </c>
      <c r="B6" s="33">
        <v>8.33</v>
      </c>
      <c r="C6" s="27" t="s">
        <v>386</v>
      </c>
      <c r="F6" s="58" t="s">
        <v>513</v>
      </c>
    </row>
    <row r="7" spans="1:6">
      <c r="A7" s="27" t="s">
        <v>238</v>
      </c>
      <c r="B7" s="61">
        <f>((B5*B3/100)+(B6*B4/100))/((B4+B3)/100)</f>
        <v>7.266</v>
      </c>
      <c r="C7" s="27" t="s">
        <v>386</v>
      </c>
      <c r="F7" s="35" t="s">
        <v>591</v>
      </c>
    </row>
    <row r="8" spans="1:6">
      <c r="F8" s="58" t="s">
        <v>516</v>
      </c>
    </row>
    <row r="9" spans="1:6">
      <c r="F9" s="35" t="s">
        <v>517</v>
      </c>
    </row>
    <row r="11" spans="1:6">
      <c r="F11" s="193" t="s">
        <v>830</v>
      </c>
    </row>
  </sheetData>
  <sheetProtection password="EFD6" sheet="1" selectLockedCells="1"/>
  <phoneticPr fontId="2" type="noConversion"/>
  <hyperlinks>
    <hyperlink ref="F4" location="'Index Page'!A1" display="Back to the first page"/>
    <hyperlink ref="F9" r:id="rId1"/>
    <hyperlink ref="F11" r:id="rId2"/>
  </hyperlinks>
  <pageMargins left="0.7" right="0.7" top="0.75" bottom="0.75" header="0.3" footer="0.3"/>
  <pageSetup orientation="portrait" r:id="rId3"/>
</worksheet>
</file>

<file path=xl/worksheets/sheet79.xml><?xml version="1.0" encoding="utf-8"?>
<worksheet xmlns="http://schemas.openxmlformats.org/spreadsheetml/2006/main" xmlns:r="http://schemas.openxmlformats.org/officeDocument/2006/relationships">
  <dimension ref="A1:E11"/>
  <sheetViews>
    <sheetView showGridLines="0" workbookViewId="0">
      <selection activeCell="E11" sqref="E11"/>
    </sheetView>
  </sheetViews>
  <sheetFormatPr defaultRowHeight="12.75"/>
  <cols>
    <col min="1" max="1" width="15.85546875" bestFit="1" customWidth="1"/>
    <col min="5" max="5" width="54.140625" customWidth="1"/>
  </cols>
  <sheetData>
    <row r="1" spans="1:5">
      <c r="A1" s="18" t="s">
        <v>608</v>
      </c>
    </row>
    <row r="2" spans="1:5">
      <c r="E2" s="83" t="s">
        <v>373</v>
      </c>
    </row>
    <row r="3" spans="1:5">
      <c r="A3" t="s">
        <v>227</v>
      </c>
      <c r="B3" s="33">
        <v>10</v>
      </c>
      <c r="C3" t="s">
        <v>386</v>
      </c>
      <c r="E3" s="84" t="s">
        <v>179</v>
      </c>
    </row>
    <row r="4" spans="1:5">
      <c r="A4" t="s">
        <v>228</v>
      </c>
      <c r="B4" s="33">
        <v>14</v>
      </c>
      <c r="C4" t="s">
        <v>386</v>
      </c>
      <c r="E4" s="35" t="s">
        <v>24</v>
      </c>
    </row>
    <row r="5" spans="1:5">
      <c r="A5" t="s">
        <v>230</v>
      </c>
      <c r="B5" s="33">
        <v>200</v>
      </c>
      <c r="C5" t="s">
        <v>364</v>
      </c>
    </row>
    <row r="6" spans="1:5">
      <c r="A6" t="s">
        <v>231</v>
      </c>
      <c r="B6" s="33">
        <v>300</v>
      </c>
      <c r="C6" t="s">
        <v>364</v>
      </c>
      <c r="E6" s="58" t="s">
        <v>513</v>
      </c>
    </row>
    <row r="7" spans="1:5">
      <c r="A7" s="27" t="s">
        <v>232</v>
      </c>
      <c r="B7" s="55">
        <f>B6+B5</f>
        <v>500</v>
      </c>
      <c r="C7" s="27" t="s">
        <v>364</v>
      </c>
      <c r="E7" s="35" t="s">
        <v>605</v>
      </c>
    </row>
    <row r="8" spans="1:5">
      <c r="A8" s="27" t="s">
        <v>229</v>
      </c>
      <c r="B8" s="55">
        <f>(B5*B3+B4*B6)/B7</f>
        <v>12.4</v>
      </c>
      <c r="C8" s="27" t="s">
        <v>386</v>
      </c>
      <c r="E8" s="58" t="s">
        <v>516</v>
      </c>
    </row>
    <row r="9" spans="1:5">
      <c r="E9" s="35" t="s">
        <v>517</v>
      </c>
    </row>
    <row r="11" spans="1:5">
      <c r="E11" s="193" t="s">
        <v>830</v>
      </c>
    </row>
  </sheetData>
  <sheetProtection password="EFD6" sheet="1" objects="1" scenarios="1" selectLockedCells="1"/>
  <phoneticPr fontId="0" type="noConversion"/>
  <hyperlinks>
    <hyperlink ref="E4" location="'Index Page'!A1" display="Back to the first page"/>
    <hyperlink ref="E9" r:id="rId1"/>
    <hyperlink ref="E7" r:id="rId2"/>
    <hyperlink ref="E11"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sheetPr>
    <tabColor rgb="FFFFFF00"/>
  </sheetPr>
  <dimension ref="A1:F15"/>
  <sheetViews>
    <sheetView showGridLines="0" workbookViewId="0">
      <selection activeCell="F4" sqref="F4"/>
    </sheetView>
  </sheetViews>
  <sheetFormatPr defaultRowHeight="12.75"/>
  <cols>
    <col min="1" max="1" width="36.28515625" customWidth="1"/>
    <col min="5" max="5" width="17.85546875" customWidth="1"/>
    <col min="6" max="6" width="55.42578125" bestFit="1" customWidth="1"/>
  </cols>
  <sheetData>
    <row r="1" spans="1:6">
      <c r="A1" s="18" t="s">
        <v>1012</v>
      </c>
    </row>
    <row r="2" spans="1:6">
      <c r="F2" s="13" t="s">
        <v>373</v>
      </c>
    </row>
    <row r="3" spans="1:6">
      <c r="A3" s="27" t="s">
        <v>988</v>
      </c>
      <c r="B3" s="222">
        <v>800</v>
      </c>
      <c r="C3" s="27"/>
      <c r="F3" s="12" t="s">
        <v>372</v>
      </c>
    </row>
    <row r="4" spans="1:6">
      <c r="A4" s="27" t="s">
        <v>992</v>
      </c>
      <c r="B4" s="172">
        <v>350</v>
      </c>
      <c r="C4" s="27"/>
      <c r="F4" s="35" t="s">
        <v>24</v>
      </c>
    </row>
    <row r="5" spans="1:6">
      <c r="A5" s="27" t="s">
        <v>1013</v>
      </c>
      <c r="B5" s="155">
        <v>12.25</v>
      </c>
      <c r="C5" s="27"/>
      <c r="F5" s="35"/>
    </row>
    <row r="6" spans="1:6">
      <c r="A6" s="27" t="s">
        <v>1014</v>
      </c>
      <c r="B6" s="272">
        <v>8</v>
      </c>
      <c r="C6" s="27"/>
      <c r="F6" s="194"/>
    </row>
    <row r="7" spans="1:6">
      <c r="A7" s="18" t="s">
        <v>1015</v>
      </c>
      <c r="B7" s="271">
        <f>(108.5*B3*B4/(B5*B6))^0.5</f>
        <v>556.77643628300223</v>
      </c>
      <c r="C7" s="27"/>
      <c r="F7" s="194"/>
    </row>
    <row r="10" spans="1:6">
      <c r="A10" s="86"/>
      <c r="B10" s="29"/>
    </row>
    <row r="11" spans="1:6">
      <c r="A11" s="122"/>
      <c r="B11" s="232"/>
      <c r="C11" s="29"/>
    </row>
    <row r="12" spans="1:6">
      <c r="A12" s="122"/>
      <c r="B12" s="232"/>
      <c r="C12" s="29"/>
    </row>
    <row r="13" spans="1:6">
      <c r="A13" s="122"/>
      <c r="B13" s="232"/>
      <c r="C13" s="29"/>
    </row>
    <row r="14" spans="1:6">
      <c r="A14" s="122"/>
      <c r="B14" s="110"/>
      <c r="C14" s="122"/>
      <c r="F14" s="35"/>
    </row>
    <row r="15" spans="1:6">
      <c r="C15" s="29"/>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dimension ref="A1:F11"/>
  <sheetViews>
    <sheetView showGridLines="0" workbookViewId="0">
      <selection activeCell="F11" sqref="F11"/>
    </sheetView>
  </sheetViews>
  <sheetFormatPr defaultRowHeight="12.75"/>
  <cols>
    <col min="1" max="1" width="15.85546875" bestFit="1" customWidth="1"/>
    <col min="6" max="6" width="54.42578125" customWidth="1"/>
  </cols>
  <sheetData>
    <row r="1" spans="1:6">
      <c r="A1" s="18" t="s">
        <v>609</v>
      </c>
    </row>
    <row r="2" spans="1:6">
      <c r="A2" s="18"/>
      <c r="F2" s="83" t="s">
        <v>373</v>
      </c>
    </row>
    <row r="3" spans="1:6">
      <c r="A3" s="27" t="s">
        <v>227</v>
      </c>
      <c r="B3" s="33">
        <v>10</v>
      </c>
      <c r="C3" t="s">
        <v>386</v>
      </c>
      <c r="F3" s="84" t="s">
        <v>179</v>
      </c>
    </row>
    <row r="4" spans="1:6">
      <c r="A4" t="s">
        <v>228</v>
      </c>
      <c r="B4" s="33">
        <v>14</v>
      </c>
      <c r="C4" t="s">
        <v>386</v>
      </c>
      <c r="F4" s="35" t="s">
        <v>24</v>
      </c>
    </row>
    <row r="5" spans="1:6">
      <c r="A5" t="s">
        <v>229</v>
      </c>
      <c r="B5" s="33">
        <v>12</v>
      </c>
      <c r="C5" t="s">
        <v>386</v>
      </c>
    </row>
    <row r="6" spans="1:6">
      <c r="A6" t="s">
        <v>226</v>
      </c>
      <c r="B6" s="33">
        <v>300</v>
      </c>
      <c r="C6" t="s">
        <v>364</v>
      </c>
      <c r="F6" s="58" t="s">
        <v>513</v>
      </c>
    </row>
    <row r="7" spans="1:6">
      <c r="A7" t="s">
        <v>230</v>
      </c>
      <c r="B7" s="55">
        <f>B6-B8</f>
        <v>150</v>
      </c>
      <c r="C7" t="s">
        <v>364</v>
      </c>
      <c r="F7" s="35" t="s">
        <v>604</v>
      </c>
    </row>
    <row r="8" spans="1:6">
      <c r="A8" t="s">
        <v>231</v>
      </c>
      <c r="B8" s="55">
        <f>B6/((B4-B5)/(B5-B3)+1)</f>
        <v>150</v>
      </c>
      <c r="C8" t="s">
        <v>364</v>
      </c>
      <c r="F8" s="58" t="s">
        <v>516</v>
      </c>
    </row>
    <row r="9" spans="1:6">
      <c r="F9" s="35" t="s">
        <v>517</v>
      </c>
    </row>
    <row r="11" spans="1:6">
      <c r="F11" s="193" t="s">
        <v>830</v>
      </c>
    </row>
  </sheetData>
  <sheetProtection password="EFD6" sheet="1" selectLockedCells="1"/>
  <phoneticPr fontId="2" type="noConversion"/>
  <hyperlinks>
    <hyperlink ref="F4" location="'Index Page'!A1" display="Back to the first page"/>
    <hyperlink ref="F9" r:id="rId1"/>
    <hyperlink ref="F7" r:id="rId2"/>
    <hyperlink ref="F11" r:id="rId3"/>
  </hyperlinks>
  <pageMargins left="0.7" right="0.7" top="0.75" bottom="0.75" header="0.3" footer="0.3"/>
  <pageSetup orientation="portrait" r:id="rId4"/>
</worksheet>
</file>

<file path=xl/worksheets/sheet81.xml><?xml version="1.0" encoding="utf-8"?>
<worksheet xmlns="http://schemas.openxmlformats.org/spreadsheetml/2006/main" xmlns:r="http://schemas.openxmlformats.org/officeDocument/2006/relationships">
  <dimension ref="A1:D11"/>
  <sheetViews>
    <sheetView showGridLines="0" workbookViewId="0">
      <selection activeCell="D11" sqref="D11"/>
    </sheetView>
  </sheetViews>
  <sheetFormatPr defaultRowHeight="12.75"/>
  <cols>
    <col min="1" max="1" width="33.5703125" bestFit="1" customWidth="1"/>
    <col min="4" max="4" width="53.42578125" customWidth="1"/>
  </cols>
  <sheetData>
    <row r="1" spans="1:4" ht="18">
      <c r="A1" s="42" t="s">
        <v>211</v>
      </c>
    </row>
    <row r="2" spans="1:4">
      <c r="D2" s="54" t="s">
        <v>373</v>
      </c>
    </row>
    <row r="3" spans="1:4">
      <c r="A3" s="48" t="s">
        <v>216</v>
      </c>
      <c r="B3" s="33">
        <v>200</v>
      </c>
      <c r="C3" t="s">
        <v>364</v>
      </c>
      <c r="D3" s="55" t="s">
        <v>179</v>
      </c>
    </row>
    <row r="4" spans="1:4">
      <c r="A4" s="48" t="s">
        <v>212</v>
      </c>
      <c r="B4" s="33">
        <v>13.8</v>
      </c>
      <c r="C4" t="s">
        <v>386</v>
      </c>
      <c r="D4" s="35" t="s">
        <v>24</v>
      </c>
    </row>
    <row r="5" spans="1:4">
      <c r="A5" s="48" t="s">
        <v>213</v>
      </c>
      <c r="B5" s="33">
        <v>10</v>
      </c>
      <c r="C5" t="s">
        <v>386</v>
      </c>
    </row>
    <row r="6" spans="1:4">
      <c r="A6" s="48" t="s">
        <v>214</v>
      </c>
      <c r="B6" s="33">
        <v>7.2</v>
      </c>
      <c r="C6" t="s">
        <v>386</v>
      </c>
      <c r="D6" s="58" t="s">
        <v>513</v>
      </c>
    </row>
    <row r="7" spans="1:4">
      <c r="A7" s="57" t="s">
        <v>215</v>
      </c>
      <c r="B7" s="17">
        <f>B3*(B4-B5)/(B5-B6)</f>
        <v>271.4285714285715</v>
      </c>
      <c r="C7" t="s">
        <v>364</v>
      </c>
      <c r="D7" s="35" t="s">
        <v>610</v>
      </c>
    </row>
    <row r="8" spans="1:4">
      <c r="D8" s="58" t="s">
        <v>516</v>
      </c>
    </row>
    <row r="9" spans="1:4">
      <c r="D9" s="35" t="s">
        <v>517</v>
      </c>
    </row>
    <row r="11" spans="1:4">
      <c r="D11" s="193" t="s">
        <v>830</v>
      </c>
    </row>
  </sheetData>
  <sheetProtection password="EFD6" sheet="1" selectLockedCells="1"/>
  <phoneticPr fontId="2" type="noConversion"/>
  <hyperlinks>
    <hyperlink ref="D4" location="'Index Page'!A1" display="Back to the first page"/>
    <hyperlink ref="D9" r:id="rId1"/>
    <hyperlink ref="D7" r:id="rId2"/>
    <hyperlink ref="D11" r:id="rId3"/>
  </hyperlinks>
  <pageMargins left="0.75" right="0.75" top="1" bottom="1" header="0.5" footer="0.5"/>
  <pageSetup orientation="portrait" horizontalDpi="200" verticalDpi="200" r:id="rId4"/>
  <headerFooter alignWithMargins="0"/>
</worksheet>
</file>

<file path=xl/worksheets/sheet82.xml><?xml version="1.0" encoding="utf-8"?>
<worksheet xmlns="http://schemas.openxmlformats.org/spreadsheetml/2006/main" xmlns:r="http://schemas.openxmlformats.org/officeDocument/2006/relationships">
  <dimension ref="A1:E22"/>
  <sheetViews>
    <sheetView showGridLines="0" workbookViewId="0">
      <selection activeCell="E5" sqref="E5"/>
    </sheetView>
  </sheetViews>
  <sheetFormatPr defaultRowHeight="12.75"/>
  <cols>
    <col min="1" max="1" width="48.85546875" customWidth="1"/>
    <col min="5" max="5" width="54" customWidth="1"/>
  </cols>
  <sheetData>
    <row r="1" spans="1:5" ht="20.25">
      <c r="A1" s="58" t="s">
        <v>217</v>
      </c>
    </row>
    <row r="2" spans="1:5">
      <c r="E2" s="54" t="s">
        <v>373</v>
      </c>
    </row>
    <row r="3" spans="1:5">
      <c r="A3" t="s">
        <v>197</v>
      </c>
      <c r="B3" s="56">
        <v>10</v>
      </c>
      <c r="C3" t="s">
        <v>386</v>
      </c>
      <c r="E3" s="55" t="s">
        <v>179</v>
      </c>
    </row>
    <row r="4" spans="1:5">
      <c r="A4" t="s">
        <v>198</v>
      </c>
      <c r="B4" s="56">
        <v>13</v>
      </c>
      <c r="C4" t="s">
        <v>386</v>
      </c>
      <c r="E4" s="35" t="s">
        <v>24</v>
      </c>
    </row>
    <row r="5" spans="1:5">
      <c r="A5" t="s">
        <v>201</v>
      </c>
      <c r="B5" s="56">
        <v>500</v>
      </c>
      <c r="C5" t="s">
        <v>364</v>
      </c>
      <c r="E5" s="193" t="s">
        <v>830</v>
      </c>
    </row>
    <row r="6" spans="1:5">
      <c r="A6" t="s">
        <v>199</v>
      </c>
      <c r="B6" s="17">
        <f>1680*(B4-B3)/(40-B4)</f>
        <v>186.66666666666666</v>
      </c>
      <c r="C6" t="s">
        <v>204</v>
      </c>
      <c r="E6" s="58" t="s">
        <v>513</v>
      </c>
    </row>
    <row r="7" spans="1:5">
      <c r="A7" t="s">
        <v>203</v>
      </c>
      <c r="B7" s="17">
        <f>B6*B5/100</f>
        <v>933.33333333333326</v>
      </c>
      <c r="C7" t="s">
        <v>204</v>
      </c>
      <c r="E7" s="35" t="s">
        <v>602</v>
      </c>
    </row>
    <row r="9" spans="1:5" ht="18">
      <c r="A9" s="58" t="s">
        <v>218</v>
      </c>
    </row>
    <row r="11" spans="1:5">
      <c r="A11" t="s">
        <v>197</v>
      </c>
      <c r="B11" s="56">
        <v>10</v>
      </c>
      <c r="C11" t="s">
        <v>386</v>
      </c>
    </row>
    <row r="12" spans="1:5">
      <c r="A12" t="s">
        <v>198</v>
      </c>
      <c r="B12" s="56">
        <v>13</v>
      </c>
      <c r="C12" t="s">
        <v>386</v>
      </c>
    </row>
    <row r="13" spans="1:5">
      <c r="A13" t="s">
        <v>201</v>
      </c>
      <c r="B13" s="56">
        <v>500</v>
      </c>
      <c r="C13" t="s">
        <v>364</v>
      </c>
    </row>
    <row r="14" spans="1:5">
      <c r="A14" t="s">
        <v>200</v>
      </c>
      <c r="B14" s="16">
        <f>100*(B12-B11)/(40-B12)</f>
        <v>11.111111111111111</v>
      </c>
      <c r="C14" t="s">
        <v>364</v>
      </c>
      <c r="E14" s="58" t="s">
        <v>513</v>
      </c>
    </row>
    <row r="15" spans="1:5">
      <c r="A15" t="s">
        <v>202</v>
      </c>
      <c r="B15" s="16">
        <f>B14*B13/100</f>
        <v>55.555555555555557</v>
      </c>
      <c r="C15" t="s">
        <v>364</v>
      </c>
      <c r="E15" s="35" t="s">
        <v>600</v>
      </c>
    </row>
    <row r="17" spans="1:5" ht="18">
      <c r="A17" s="58" t="s">
        <v>219</v>
      </c>
    </row>
    <row r="19" spans="1:5">
      <c r="A19" t="s">
        <v>172</v>
      </c>
      <c r="B19" s="56">
        <v>10</v>
      </c>
      <c r="C19" t="s">
        <v>386</v>
      </c>
    </row>
    <row r="20" spans="1:5">
      <c r="A20" t="s">
        <v>206</v>
      </c>
      <c r="B20" s="56">
        <v>13</v>
      </c>
      <c r="C20" t="s">
        <v>386</v>
      </c>
    </row>
    <row r="21" spans="1:5">
      <c r="A21" t="s">
        <v>205</v>
      </c>
      <c r="B21" s="56">
        <v>100</v>
      </c>
      <c r="C21" t="s">
        <v>364</v>
      </c>
      <c r="E21" s="58" t="s">
        <v>513</v>
      </c>
    </row>
    <row r="22" spans="1:5">
      <c r="A22" t="s">
        <v>207</v>
      </c>
      <c r="B22" s="16">
        <f>B21*(40-B20)/(40-B19)</f>
        <v>90</v>
      </c>
      <c r="C22" t="s">
        <v>364</v>
      </c>
      <c r="E22" s="35" t="s">
        <v>601</v>
      </c>
    </row>
  </sheetData>
  <sheetProtection password="EFD6" sheet="1" selectLockedCells="1"/>
  <phoneticPr fontId="2" type="noConversion"/>
  <hyperlinks>
    <hyperlink ref="E4" location="'Index Page'!A1" display="Back to the first page"/>
    <hyperlink ref="E7" r:id="rId1"/>
    <hyperlink ref="E15" r:id="rId2"/>
    <hyperlink ref="E22" r:id="rId3"/>
    <hyperlink ref="E5" r:id="rId4"/>
  </hyperlinks>
  <pageMargins left="0.75" right="0.75" top="1" bottom="1" header="0.5" footer="0.5"/>
  <pageSetup orientation="portrait" r:id="rId5"/>
  <headerFooter alignWithMargins="0"/>
</worksheet>
</file>

<file path=xl/worksheets/sheet83.xml><?xml version="1.0" encoding="utf-8"?>
<worksheet xmlns="http://schemas.openxmlformats.org/spreadsheetml/2006/main" xmlns:r="http://schemas.openxmlformats.org/officeDocument/2006/relationships">
  <dimension ref="A1:E22"/>
  <sheetViews>
    <sheetView showGridLines="0" workbookViewId="0">
      <selection activeCell="E5" sqref="E5"/>
    </sheetView>
  </sheetViews>
  <sheetFormatPr defaultRowHeight="12.75"/>
  <cols>
    <col min="1" max="1" width="48.85546875" customWidth="1"/>
    <col min="5" max="5" width="53.5703125" customWidth="1"/>
  </cols>
  <sheetData>
    <row r="1" spans="1:5" ht="20.25">
      <c r="A1" s="58" t="s">
        <v>222</v>
      </c>
    </row>
    <row r="2" spans="1:5">
      <c r="E2" s="54" t="s">
        <v>373</v>
      </c>
    </row>
    <row r="3" spans="1:5">
      <c r="A3" t="s">
        <v>197</v>
      </c>
      <c r="B3" s="56">
        <v>10</v>
      </c>
      <c r="C3" t="s">
        <v>386</v>
      </c>
      <c r="E3" s="55" t="s">
        <v>179</v>
      </c>
    </row>
    <row r="4" spans="1:5">
      <c r="A4" t="s">
        <v>198</v>
      </c>
      <c r="B4" s="56">
        <v>13</v>
      </c>
      <c r="C4" t="s">
        <v>386</v>
      </c>
      <c r="E4" s="35" t="s">
        <v>24</v>
      </c>
    </row>
    <row r="5" spans="1:5">
      <c r="A5" t="s">
        <v>201</v>
      </c>
      <c r="B5" s="56">
        <v>500</v>
      </c>
      <c r="C5" t="s">
        <v>364</v>
      </c>
      <c r="E5" s="193" t="s">
        <v>830</v>
      </c>
    </row>
    <row r="6" spans="1:5">
      <c r="A6" t="s">
        <v>199</v>
      </c>
      <c r="B6" s="28">
        <f>945*(B4-B3)/(22.5-B4)</f>
        <v>298.42105263157896</v>
      </c>
      <c r="C6" t="s">
        <v>204</v>
      </c>
      <c r="E6" s="58" t="s">
        <v>513</v>
      </c>
    </row>
    <row r="7" spans="1:5">
      <c r="A7" t="s">
        <v>203</v>
      </c>
      <c r="B7" s="28">
        <f>B6*B5/100</f>
        <v>1492.1052631578946</v>
      </c>
      <c r="C7" t="s">
        <v>204</v>
      </c>
      <c r="E7" s="35" t="s">
        <v>597</v>
      </c>
    </row>
    <row r="9" spans="1:5" ht="18">
      <c r="A9" s="58" t="s">
        <v>221</v>
      </c>
    </row>
    <row r="11" spans="1:5">
      <c r="A11" t="s">
        <v>197</v>
      </c>
      <c r="B11" s="56">
        <v>10</v>
      </c>
      <c r="C11" t="s">
        <v>386</v>
      </c>
    </row>
    <row r="12" spans="1:5">
      <c r="A12" t="s">
        <v>198</v>
      </c>
      <c r="B12" s="56">
        <v>13</v>
      </c>
      <c r="C12" t="s">
        <v>386</v>
      </c>
    </row>
    <row r="13" spans="1:5">
      <c r="A13" t="s">
        <v>201</v>
      </c>
      <c r="B13" s="56">
        <v>500</v>
      </c>
      <c r="C13" t="s">
        <v>364</v>
      </c>
    </row>
    <row r="14" spans="1:5">
      <c r="A14" t="s">
        <v>200</v>
      </c>
      <c r="B14" s="16">
        <f>100*(B12-B11)/(22.5-B12)</f>
        <v>31.578947368421051</v>
      </c>
      <c r="C14" t="s">
        <v>364</v>
      </c>
      <c r="E14" s="58" t="s">
        <v>513</v>
      </c>
    </row>
    <row r="15" spans="1:5">
      <c r="A15" t="s">
        <v>202</v>
      </c>
      <c r="B15" s="16">
        <f>B14*B13/100</f>
        <v>157.89473684210526</v>
      </c>
      <c r="C15" t="s">
        <v>364</v>
      </c>
      <c r="E15" s="35" t="s">
        <v>598</v>
      </c>
    </row>
    <row r="17" spans="1:5" ht="18">
      <c r="A17" s="58" t="s">
        <v>220</v>
      </c>
    </row>
    <row r="19" spans="1:5">
      <c r="A19" t="s">
        <v>172</v>
      </c>
      <c r="B19" s="56">
        <v>10</v>
      </c>
      <c r="C19" t="s">
        <v>386</v>
      </c>
    </row>
    <row r="20" spans="1:5">
      <c r="A20" t="s">
        <v>206</v>
      </c>
      <c r="B20" s="56">
        <v>13</v>
      </c>
      <c r="C20" t="s">
        <v>386</v>
      </c>
    </row>
    <row r="21" spans="1:5">
      <c r="A21" t="s">
        <v>205</v>
      </c>
      <c r="B21" s="56">
        <v>100</v>
      </c>
      <c r="C21" t="s">
        <v>364</v>
      </c>
      <c r="E21" s="58" t="s">
        <v>513</v>
      </c>
    </row>
    <row r="22" spans="1:5">
      <c r="A22" t="s">
        <v>207</v>
      </c>
      <c r="B22" s="16">
        <f>B21*(22.5-B20)/(22.5-B19)</f>
        <v>76</v>
      </c>
      <c r="C22" t="s">
        <v>364</v>
      </c>
      <c r="E22" s="35" t="s">
        <v>599</v>
      </c>
    </row>
  </sheetData>
  <sheetProtection password="EFD6" sheet="1" selectLockedCells="1"/>
  <phoneticPr fontId="2" type="noConversion"/>
  <hyperlinks>
    <hyperlink ref="E4" location="'Index Page'!A1" display="Back to the first page"/>
    <hyperlink ref="E7" r:id="rId1"/>
    <hyperlink ref="E15" r:id="rId2"/>
    <hyperlink ref="E22" r:id="rId3"/>
    <hyperlink ref="E5" r:id="rId4"/>
  </hyperlinks>
  <pageMargins left="0.75" right="0.75" top="1" bottom="1" header="0.5" footer="0.5"/>
  <pageSetup orientation="portrait" r:id="rId5"/>
  <headerFooter alignWithMargins="0"/>
</worksheet>
</file>

<file path=xl/worksheets/sheet84.xml><?xml version="1.0" encoding="utf-8"?>
<worksheet xmlns="http://schemas.openxmlformats.org/spreadsheetml/2006/main" xmlns:r="http://schemas.openxmlformats.org/officeDocument/2006/relationships">
  <dimension ref="A1:E28"/>
  <sheetViews>
    <sheetView showGridLines="0" workbookViewId="0">
      <selection activeCell="E5" sqref="E5"/>
    </sheetView>
  </sheetViews>
  <sheetFormatPr defaultRowHeight="12.75"/>
  <cols>
    <col min="1" max="1" width="48.85546875" customWidth="1"/>
    <col min="5" max="5" width="54" customWidth="1"/>
  </cols>
  <sheetData>
    <row r="1" spans="1:5" ht="18">
      <c r="A1" s="58" t="s">
        <v>225</v>
      </c>
    </row>
    <row r="2" spans="1:5">
      <c r="E2" s="54" t="s">
        <v>373</v>
      </c>
    </row>
    <row r="3" spans="1:5">
      <c r="A3" t="s">
        <v>197</v>
      </c>
      <c r="B3" s="56">
        <v>10.1</v>
      </c>
      <c r="C3" t="s">
        <v>386</v>
      </c>
      <c r="E3" s="55" t="s">
        <v>179</v>
      </c>
    </row>
    <row r="4" spans="1:5">
      <c r="A4" t="s">
        <v>198</v>
      </c>
      <c r="B4" s="56">
        <v>11.1</v>
      </c>
      <c r="C4" t="s">
        <v>386</v>
      </c>
      <c r="E4" s="35" t="s">
        <v>24</v>
      </c>
    </row>
    <row r="5" spans="1:5">
      <c r="A5" t="s">
        <v>201</v>
      </c>
      <c r="B5" s="56">
        <v>1000</v>
      </c>
      <c r="C5" t="s">
        <v>364</v>
      </c>
      <c r="E5" s="193" t="s">
        <v>830</v>
      </c>
    </row>
    <row r="6" spans="1:5">
      <c r="A6" t="s">
        <v>199</v>
      </c>
      <c r="B6" s="17">
        <f>1470*(B4-B3)/(35-B4)</f>
        <v>61.50627615062762</v>
      </c>
      <c r="C6" t="s">
        <v>204</v>
      </c>
      <c r="E6" s="58" t="s">
        <v>513</v>
      </c>
    </row>
    <row r="7" spans="1:5">
      <c r="A7" t="s">
        <v>203</v>
      </c>
      <c r="B7" s="17">
        <f>B6*B5/100</f>
        <v>615.06276150627627</v>
      </c>
      <c r="C7" t="s">
        <v>204</v>
      </c>
      <c r="E7" s="35" t="s">
        <v>594</v>
      </c>
    </row>
    <row r="9" spans="1:5" ht="18">
      <c r="A9" s="58" t="s">
        <v>224</v>
      </c>
    </row>
    <row r="11" spans="1:5">
      <c r="A11" t="s">
        <v>197</v>
      </c>
      <c r="B11" s="56">
        <v>9.1999999999999993</v>
      </c>
      <c r="C11" t="s">
        <v>386</v>
      </c>
    </row>
    <row r="12" spans="1:5">
      <c r="A12" t="s">
        <v>198</v>
      </c>
      <c r="B12" s="56">
        <v>10.1</v>
      </c>
      <c r="C12" t="s">
        <v>386</v>
      </c>
    </row>
    <row r="13" spans="1:5">
      <c r="A13" t="s">
        <v>201</v>
      </c>
      <c r="B13" s="56">
        <v>650</v>
      </c>
      <c r="C13" t="s">
        <v>364</v>
      </c>
    </row>
    <row r="14" spans="1:5">
      <c r="A14" t="s">
        <v>200</v>
      </c>
      <c r="B14" s="16">
        <f>100*(B12-B11)/(35-B12)</f>
        <v>3.6144578313253026</v>
      </c>
      <c r="C14" t="s">
        <v>364</v>
      </c>
      <c r="E14" s="58" t="s">
        <v>513</v>
      </c>
    </row>
    <row r="15" spans="1:5">
      <c r="A15" t="s">
        <v>202</v>
      </c>
      <c r="B15" s="16">
        <f>B14*B13/100</f>
        <v>23.493975903614469</v>
      </c>
      <c r="C15" t="s">
        <v>364</v>
      </c>
      <c r="E15" s="35" t="s">
        <v>595</v>
      </c>
    </row>
    <row r="17" spans="1:5" ht="18">
      <c r="A17" s="58" t="s">
        <v>223</v>
      </c>
    </row>
    <row r="19" spans="1:5">
      <c r="A19" t="s">
        <v>172</v>
      </c>
      <c r="B19" s="56">
        <v>10</v>
      </c>
      <c r="C19" t="s">
        <v>386</v>
      </c>
    </row>
    <row r="20" spans="1:5">
      <c r="A20" t="s">
        <v>206</v>
      </c>
      <c r="B20" s="56">
        <v>13</v>
      </c>
      <c r="C20" t="s">
        <v>386</v>
      </c>
    </row>
    <row r="21" spans="1:5">
      <c r="A21" t="s">
        <v>205</v>
      </c>
      <c r="B21" s="56">
        <v>100</v>
      </c>
      <c r="C21" t="s">
        <v>364</v>
      </c>
      <c r="E21" s="58" t="s">
        <v>513</v>
      </c>
    </row>
    <row r="22" spans="1:5">
      <c r="A22" t="s">
        <v>207</v>
      </c>
      <c r="B22" s="16">
        <f>B21*(35-B20)/(35-B19)</f>
        <v>88</v>
      </c>
      <c r="C22" t="s">
        <v>364</v>
      </c>
      <c r="E22" s="35" t="s">
        <v>596</v>
      </c>
    </row>
    <row r="24" spans="1:5">
      <c r="E24" s="58" t="s">
        <v>516</v>
      </c>
    </row>
    <row r="25" spans="1:5">
      <c r="E25" s="35" t="s">
        <v>517</v>
      </c>
    </row>
    <row r="27" spans="1:5">
      <c r="E27" s="58"/>
    </row>
    <row r="28" spans="1:5">
      <c r="E28" s="35"/>
    </row>
  </sheetData>
  <sheetProtection password="EFD6" sheet="1" selectLockedCells="1"/>
  <phoneticPr fontId="2" type="noConversion"/>
  <hyperlinks>
    <hyperlink ref="E4" location="'Index Page'!A1" display="Back to the first page"/>
    <hyperlink ref="E25" r:id="rId1"/>
    <hyperlink ref="E7" r:id="rId2"/>
    <hyperlink ref="E15" r:id="rId3"/>
    <hyperlink ref="E22" r:id="rId4"/>
    <hyperlink ref="E5" r:id="rId5"/>
  </hyperlinks>
  <pageMargins left="0.75" right="0.75" top="1" bottom="1" header="0.5" footer="0.5"/>
  <pageSetup orientation="portrait" r:id="rId6"/>
  <headerFooter alignWithMargins="0"/>
</worksheet>
</file>

<file path=xl/worksheets/sheet85.xml><?xml version="1.0" encoding="utf-8"?>
<worksheet xmlns="http://schemas.openxmlformats.org/spreadsheetml/2006/main" xmlns:r="http://schemas.openxmlformats.org/officeDocument/2006/relationships">
  <dimension ref="A1:E18"/>
  <sheetViews>
    <sheetView showGridLines="0" workbookViewId="0">
      <selection activeCell="E6" sqref="E6"/>
    </sheetView>
  </sheetViews>
  <sheetFormatPr defaultRowHeight="12.75"/>
  <cols>
    <col min="1" max="1" width="46" customWidth="1"/>
    <col min="2" max="2" width="8.28515625" customWidth="1"/>
    <col min="3" max="3" width="10.140625" bestFit="1" customWidth="1"/>
    <col min="5" max="5" width="53.7109375" customWidth="1"/>
  </cols>
  <sheetData>
    <row r="1" spans="1:5" ht="15.75">
      <c r="A1" s="43" t="s">
        <v>185</v>
      </c>
    </row>
    <row r="3" spans="1:5">
      <c r="A3" s="18" t="s">
        <v>194</v>
      </c>
      <c r="E3" s="33" t="s">
        <v>373</v>
      </c>
    </row>
    <row r="4" spans="1:5">
      <c r="E4" s="34" t="s">
        <v>179</v>
      </c>
    </row>
    <row r="5" spans="1:5">
      <c r="A5" t="s">
        <v>186</v>
      </c>
      <c r="B5" s="33">
        <v>12</v>
      </c>
      <c r="C5" t="s">
        <v>190</v>
      </c>
      <c r="E5" s="35" t="s">
        <v>24</v>
      </c>
    </row>
    <row r="6" spans="1:5">
      <c r="A6" t="s">
        <v>187</v>
      </c>
      <c r="B6" s="33">
        <v>3.32</v>
      </c>
      <c r="C6" t="s">
        <v>365</v>
      </c>
      <c r="E6" s="193" t="s">
        <v>830</v>
      </c>
    </row>
    <row r="7" spans="1:5">
      <c r="A7" t="s">
        <v>188</v>
      </c>
      <c r="B7" s="33">
        <v>11500</v>
      </c>
      <c r="C7" t="s">
        <v>366</v>
      </c>
      <c r="E7" s="58" t="s">
        <v>513</v>
      </c>
    </row>
    <row r="8" spans="1:5">
      <c r="A8" t="s">
        <v>189</v>
      </c>
      <c r="B8" s="17">
        <f>(B5/300/B6)*B7</f>
        <v>138.55421686746988</v>
      </c>
      <c r="C8" t="s">
        <v>367</v>
      </c>
      <c r="E8" s="30" t="s">
        <v>520</v>
      </c>
    </row>
    <row r="9" spans="1:5">
      <c r="E9" s="58"/>
    </row>
    <row r="10" spans="1:5">
      <c r="A10" s="18" t="s">
        <v>191</v>
      </c>
      <c r="E10" s="35"/>
    </row>
    <row r="12" spans="1:5">
      <c r="A12" t="s">
        <v>186</v>
      </c>
      <c r="B12" s="33">
        <v>12</v>
      </c>
      <c r="C12" t="s">
        <v>190</v>
      </c>
    </row>
    <row r="13" spans="1:5">
      <c r="A13" t="s">
        <v>193</v>
      </c>
      <c r="B13" s="33">
        <v>4</v>
      </c>
      <c r="C13" t="s">
        <v>365</v>
      </c>
      <c r="E13" s="58" t="s">
        <v>513</v>
      </c>
    </row>
    <row r="14" spans="1:5">
      <c r="A14" t="s">
        <v>192</v>
      </c>
      <c r="B14" s="33">
        <v>6.5</v>
      </c>
      <c r="C14" t="s">
        <v>365</v>
      </c>
      <c r="E14" s="30" t="s">
        <v>521</v>
      </c>
    </row>
    <row r="15" spans="1:5">
      <c r="A15" t="s">
        <v>188</v>
      </c>
      <c r="B15" s="33">
        <v>11500</v>
      </c>
      <c r="C15" t="s">
        <v>366</v>
      </c>
      <c r="E15" s="58" t="s">
        <v>516</v>
      </c>
    </row>
    <row r="16" spans="1:5">
      <c r="A16" t="s">
        <v>189</v>
      </c>
      <c r="B16" s="17">
        <f>B12*B15/(300*(B14-B13))</f>
        <v>184</v>
      </c>
      <c r="C16" t="s">
        <v>367</v>
      </c>
      <c r="E16" s="35" t="s">
        <v>517</v>
      </c>
    </row>
    <row r="18" spans="1:3">
      <c r="A18" s="59"/>
      <c r="B18" s="60"/>
      <c r="C18" s="59"/>
    </row>
  </sheetData>
  <sheetProtection password="EFD6" sheet="1" selectLockedCells="1"/>
  <phoneticPr fontId="2" type="noConversion"/>
  <hyperlinks>
    <hyperlink ref="E5" location="'Index Page'!A1" display="Back to the first page"/>
    <hyperlink ref="E16" r:id="rId1"/>
    <hyperlink ref="E8" r:id="rId2"/>
    <hyperlink ref="E14" r:id="rId3"/>
    <hyperlink ref="E6" r:id="rId4"/>
  </hyperlinks>
  <pageMargins left="0.75" right="0.75" top="1" bottom="1" header="0.5" footer="0.5"/>
  <pageSetup orientation="portrait" r:id="rId5"/>
  <headerFooter alignWithMargins="0"/>
</worksheet>
</file>

<file path=xl/worksheets/sheet86.xml><?xml version="1.0" encoding="utf-8"?>
<worksheet xmlns="http://schemas.openxmlformats.org/spreadsheetml/2006/main" xmlns:r="http://schemas.openxmlformats.org/officeDocument/2006/relationships">
  <dimension ref="A1:D10"/>
  <sheetViews>
    <sheetView showGridLines="0" workbookViewId="0">
      <selection activeCell="D10" sqref="D10"/>
    </sheetView>
  </sheetViews>
  <sheetFormatPr defaultRowHeight="12.75"/>
  <cols>
    <col min="1" max="1" width="35.7109375" customWidth="1"/>
    <col min="3" max="3" width="10.85546875" customWidth="1"/>
    <col min="4" max="4" width="53.7109375" customWidth="1"/>
    <col min="5" max="5" width="19" bestFit="1" customWidth="1"/>
  </cols>
  <sheetData>
    <row r="1" spans="1:4">
      <c r="A1" s="49" t="s">
        <v>184</v>
      </c>
    </row>
    <row r="2" spans="1:4">
      <c r="D2" s="54" t="s">
        <v>373</v>
      </c>
    </row>
    <row r="3" spans="1:4">
      <c r="A3" s="48" t="s">
        <v>180</v>
      </c>
      <c r="B3" s="33">
        <v>13</v>
      </c>
      <c r="C3" t="s">
        <v>386</v>
      </c>
      <c r="D3" s="55" t="s">
        <v>179</v>
      </c>
    </row>
    <row r="4" spans="1:4">
      <c r="A4" s="48" t="s">
        <v>181</v>
      </c>
      <c r="B4" s="33">
        <v>300</v>
      </c>
      <c r="C4" t="s">
        <v>367</v>
      </c>
      <c r="D4" s="35" t="s">
        <v>24</v>
      </c>
    </row>
    <row r="5" spans="1:4">
      <c r="A5" t="s">
        <v>182</v>
      </c>
      <c r="B5" s="33">
        <v>8.3000000000000007</v>
      </c>
      <c r="C5" t="s">
        <v>386</v>
      </c>
      <c r="D5" s="58" t="s">
        <v>513</v>
      </c>
    </row>
    <row r="6" spans="1:4">
      <c r="A6" t="s">
        <v>183</v>
      </c>
      <c r="B6" s="50">
        <f>(B4/(0.052*(B3-B5)))</f>
        <v>1227.4959083469723</v>
      </c>
      <c r="C6" t="s">
        <v>366</v>
      </c>
      <c r="D6" s="35" t="s">
        <v>518</v>
      </c>
    </row>
    <row r="7" spans="1:4">
      <c r="D7" s="58" t="s">
        <v>516</v>
      </c>
    </row>
    <row r="8" spans="1:4">
      <c r="D8" s="35" t="s">
        <v>517</v>
      </c>
    </row>
    <row r="9" spans="1:4">
      <c r="A9" s="51" t="str">
        <f>CONCATENATE("You must ensure than height of light weight pill in the annulus must less than ", ROUND(B6,0)," ft in order to prevent wellcontrol situation.")</f>
        <v>You must ensure than height of light weight pill in the annulus must less than 1227 ft in order to prevent wellcontrol situation.</v>
      </c>
    </row>
    <row r="10" spans="1:4">
      <c r="D10" s="193" t="s">
        <v>830</v>
      </c>
    </row>
  </sheetData>
  <sheetProtection password="EFD6" sheet="1" selectLockedCells="1"/>
  <phoneticPr fontId="2" type="noConversion"/>
  <hyperlinks>
    <hyperlink ref="D4" location="'Index Page'!A1" display="Back to the first page"/>
    <hyperlink ref="D8" r:id="rId1"/>
    <hyperlink ref="D6" r:id="rId2"/>
    <hyperlink ref="D10" r:id="rId3"/>
  </hyperlinks>
  <pageMargins left="0.75" right="0.75" top="1" bottom="1" header="0.5" footer="0.5"/>
  <pageSetup orientation="portrait" r:id="rId4"/>
  <headerFooter alignWithMargins="0"/>
</worksheet>
</file>

<file path=xl/worksheets/sheet87.xml><?xml version="1.0" encoding="utf-8"?>
<worksheet xmlns="http://schemas.openxmlformats.org/spreadsheetml/2006/main" xmlns:r="http://schemas.openxmlformats.org/officeDocument/2006/relationships">
  <dimension ref="A1:E11"/>
  <sheetViews>
    <sheetView showGridLines="0" workbookViewId="0">
      <selection activeCell="E5" sqref="E5"/>
    </sheetView>
  </sheetViews>
  <sheetFormatPr defaultRowHeight="12.75"/>
  <cols>
    <col min="1" max="1" width="26.42578125" customWidth="1"/>
    <col min="5" max="5" width="53.7109375" customWidth="1"/>
    <col min="6" max="6" width="19" bestFit="1" customWidth="1"/>
  </cols>
  <sheetData>
    <row r="1" spans="1:5">
      <c r="A1" s="49" t="s">
        <v>170</v>
      </c>
    </row>
    <row r="3" spans="1:5">
      <c r="A3" t="s">
        <v>172</v>
      </c>
      <c r="B3" s="33">
        <v>13</v>
      </c>
      <c r="C3" t="s">
        <v>386</v>
      </c>
      <c r="E3" s="33" t="s">
        <v>373</v>
      </c>
    </row>
    <row r="4" spans="1:5">
      <c r="A4" t="s">
        <v>171</v>
      </c>
      <c r="B4" s="33">
        <v>8.6</v>
      </c>
      <c r="C4" t="s">
        <v>386</v>
      </c>
      <c r="E4" s="34" t="s">
        <v>179</v>
      </c>
    </row>
    <row r="5" spans="1:5">
      <c r="A5" t="s">
        <v>175</v>
      </c>
      <c r="B5" s="33">
        <v>6000</v>
      </c>
      <c r="C5" t="s">
        <v>366</v>
      </c>
      <c r="E5" s="35" t="s">
        <v>24</v>
      </c>
    </row>
    <row r="6" spans="1:5">
      <c r="A6" t="s">
        <v>174</v>
      </c>
      <c r="B6" s="33">
        <v>0.14219999999999999</v>
      </c>
      <c r="C6" t="s">
        <v>361</v>
      </c>
      <c r="E6" s="193" t="s">
        <v>830</v>
      </c>
    </row>
    <row r="7" spans="1:5">
      <c r="A7" t="s">
        <v>173</v>
      </c>
      <c r="B7" s="33">
        <v>140</v>
      </c>
      <c r="C7" t="s">
        <v>364</v>
      </c>
    </row>
    <row r="8" spans="1:5">
      <c r="A8" t="s">
        <v>176</v>
      </c>
      <c r="B8" s="17">
        <f>B7/B6</f>
        <v>984.52883263009846</v>
      </c>
      <c r="C8" t="s">
        <v>366</v>
      </c>
      <c r="E8" s="58" t="s">
        <v>513</v>
      </c>
    </row>
    <row r="9" spans="1:5">
      <c r="A9" t="s">
        <v>177</v>
      </c>
      <c r="B9" s="17">
        <f>(B3-B4)*0.052*B8</f>
        <v>225.26019690576652</v>
      </c>
      <c r="C9" t="s">
        <v>367</v>
      </c>
      <c r="E9" s="35" t="s">
        <v>519</v>
      </c>
    </row>
    <row r="10" spans="1:5">
      <c r="A10" t="s">
        <v>178</v>
      </c>
      <c r="B10" s="17">
        <f>B3-(B9/0.052/B5)</f>
        <v>12.278012189404594</v>
      </c>
      <c r="C10" t="s">
        <v>386</v>
      </c>
      <c r="E10" s="58" t="s">
        <v>516</v>
      </c>
    </row>
    <row r="11" spans="1:5">
      <c r="E11" s="35" t="s">
        <v>517</v>
      </c>
    </row>
  </sheetData>
  <sheetProtection password="EFD6" sheet="1" selectLockedCells="1"/>
  <phoneticPr fontId="2" type="noConversion"/>
  <hyperlinks>
    <hyperlink ref="E5" location="'Index Page'!A1" display="Back to the first page"/>
    <hyperlink ref="E11" r:id="rId1"/>
    <hyperlink ref="E9" r:id="rId2"/>
    <hyperlink ref="E6" r:id="rId3"/>
  </hyperlinks>
  <pageMargins left="0.75" right="0.75" top="1" bottom="1" header="0.5" footer="0.5"/>
  <pageSetup orientation="portrait" r:id="rId4"/>
  <headerFooter alignWithMargins="0"/>
</worksheet>
</file>

<file path=xl/worksheets/sheet88.xml><?xml version="1.0" encoding="utf-8"?>
<worksheet xmlns="http://schemas.openxmlformats.org/spreadsheetml/2006/main" xmlns:r="http://schemas.openxmlformats.org/officeDocument/2006/relationships">
  <dimension ref="A1:E10"/>
  <sheetViews>
    <sheetView showGridLines="0" workbookViewId="0">
      <selection activeCell="E6" sqref="E6"/>
    </sheetView>
  </sheetViews>
  <sheetFormatPr defaultRowHeight="12.75"/>
  <cols>
    <col min="1" max="1" width="19.85546875" customWidth="1"/>
    <col min="5" max="5" width="53.7109375" customWidth="1"/>
  </cols>
  <sheetData>
    <row r="1" spans="1:5">
      <c r="A1" s="18" t="s">
        <v>165</v>
      </c>
    </row>
    <row r="3" spans="1:5">
      <c r="A3" t="s">
        <v>166</v>
      </c>
      <c r="B3" s="33">
        <v>9.625</v>
      </c>
      <c r="C3" t="s">
        <v>159</v>
      </c>
      <c r="E3" s="54" t="s">
        <v>373</v>
      </c>
    </row>
    <row r="4" spans="1:5">
      <c r="A4" t="s">
        <v>167</v>
      </c>
      <c r="B4" s="33">
        <v>8.8350000000000009</v>
      </c>
      <c r="C4" t="s">
        <v>159</v>
      </c>
      <c r="E4" s="55" t="s">
        <v>372</v>
      </c>
    </row>
    <row r="5" spans="1:5">
      <c r="A5" t="s">
        <v>168</v>
      </c>
      <c r="B5" s="39">
        <f>(B3^2-B4^2)/1029.4</f>
        <v>1.4166893335923822E-2</v>
      </c>
      <c r="C5" t="s">
        <v>361</v>
      </c>
      <c r="E5" s="35" t="s">
        <v>24</v>
      </c>
    </row>
    <row r="6" spans="1:5">
      <c r="E6" s="193" t="s">
        <v>830</v>
      </c>
    </row>
    <row r="7" spans="1:5">
      <c r="E7" s="58" t="s">
        <v>513</v>
      </c>
    </row>
    <row r="8" spans="1:5">
      <c r="E8" s="35" t="s">
        <v>543</v>
      </c>
    </row>
    <row r="9" spans="1:5">
      <c r="E9" s="58" t="s">
        <v>516</v>
      </c>
    </row>
    <row r="10" spans="1:5">
      <c r="E10" s="35" t="s">
        <v>517</v>
      </c>
    </row>
  </sheetData>
  <sheetProtection password="EFD6" sheet="1" selectLockedCells="1"/>
  <phoneticPr fontId="2" type="noConversion"/>
  <hyperlinks>
    <hyperlink ref="E5" location="'Index Page'!A1" display="Back to the first page"/>
    <hyperlink ref="E10" r:id="rId1"/>
    <hyperlink ref="E6" r:id="rId2"/>
  </hyperlinks>
  <pageMargins left="0.75" right="0.75" top="1" bottom="1" header="0.5" footer="0.5"/>
  <pageSetup orientation="portrait" r:id="rId3"/>
  <headerFooter alignWithMargins="0"/>
</worksheet>
</file>

<file path=xl/worksheets/sheet89.xml><?xml version="1.0" encoding="utf-8"?>
<worksheet xmlns="http://schemas.openxmlformats.org/spreadsheetml/2006/main" xmlns:r="http://schemas.openxmlformats.org/officeDocument/2006/relationships">
  <dimension ref="A1:E19"/>
  <sheetViews>
    <sheetView showGridLines="0" workbookViewId="0">
      <selection activeCell="E5" sqref="E5"/>
    </sheetView>
  </sheetViews>
  <sheetFormatPr defaultRowHeight="12.75"/>
  <cols>
    <col min="1" max="1" width="22" bestFit="1" customWidth="1"/>
    <col min="5" max="5" width="53.5703125" customWidth="1"/>
  </cols>
  <sheetData>
    <row r="1" spans="1:5">
      <c r="A1" s="18" t="s">
        <v>722</v>
      </c>
    </row>
    <row r="3" spans="1:5">
      <c r="A3" t="s">
        <v>154</v>
      </c>
      <c r="B3" s="33">
        <v>5</v>
      </c>
      <c r="C3" t="s">
        <v>159</v>
      </c>
      <c r="E3" s="33" t="s">
        <v>373</v>
      </c>
    </row>
    <row r="4" spans="1:5">
      <c r="A4" t="s">
        <v>155</v>
      </c>
      <c r="B4" s="33">
        <v>28634.51</v>
      </c>
      <c r="E4" s="34" t="s">
        <v>372</v>
      </c>
    </row>
    <row r="5" spans="1:5">
      <c r="A5" t="s">
        <v>156</v>
      </c>
      <c r="B5" s="33">
        <v>100</v>
      </c>
      <c r="C5" t="s">
        <v>158</v>
      </c>
      <c r="E5" s="35" t="s">
        <v>24</v>
      </c>
    </row>
    <row r="6" spans="1:5">
      <c r="A6" t="s">
        <v>157</v>
      </c>
      <c r="B6" s="16">
        <f>(B3*B4)/B5</f>
        <v>1431.7254999999998</v>
      </c>
      <c r="C6" t="s">
        <v>366</v>
      </c>
    </row>
    <row r="7" spans="1:5">
      <c r="E7" s="193" t="s">
        <v>830</v>
      </c>
    </row>
    <row r="8" spans="1:5">
      <c r="A8" s="18" t="s">
        <v>160</v>
      </c>
    </row>
    <row r="9" spans="1:5">
      <c r="A9" t="s">
        <v>162</v>
      </c>
      <c r="B9" s="33">
        <v>9.625</v>
      </c>
      <c r="C9" t="s">
        <v>159</v>
      </c>
    </row>
    <row r="10" spans="1:5">
      <c r="A10" t="s">
        <v>163</v>
      </c>
      <c r="B10" s="33">
        <v>8.8350000000000009</v>
      </c>
      <c r="C10" t="s">
        <v>159</v>
      </c>
    </row>
    <row r="11" spans="1:5">
      <c r="A11" t="s">
        <v>161</v>
      </c>
      <c r="B11" s="16">
        <f>(B9^2-B10^2)*0.7854*2500</f>
        <v>28634.505899999967</v>
      </c>
    </row>
    <row r="13" spans="1:5">
      <c r="A13" s="18" t="s">
        <v>164</v>
      </c>
    </row>
    <row r="14" spans="1:5">
      <c r="E14" s="18" t="s">
        <v>513</v>
      </c>
    </row>
    <row r="15" spans="1:5">
      <c r="A15" t="s">
        <v>154</v>
      </c>
      <c r="B15" s="33">
        <v>5</v>
      </c>
      <c r="C15" t="s">
        <v>159</v>
      </c>
      <c r="E15" s="35" t="s">
        <v>832</v>
      </c>
    </row>
    <row r="16" spans="1:5">
      <c r="A16" t="s">
        <v>156</v>
      </c>
      <c r="B16" s="33">
        <v>100</v>
      </c>
      <c r="C16" t="s">
        <v>158</v>
      </c>
      <c r="E16" s="35" t="s">
        <v>833</v>
      </c>
    </row>
    <row r="17" spans="1:5">
      <c r="A17" t="s">
        <v>162</v>
      </c>
      <c r="B17" s="33">
        <v>9.625</v>
      </c>
      <c r="C17" t="s">
        <v>159</v>
      </c>
      <c r="E17" s="35" t="s">
        <v>834</v>
      </c>
    </row>
    <row r="18" spans="1:5">
      <c r="A18" t="s">
        <v>163</v>
      </c>
      <c r="B18" s="33">
        <v>8.8350000000000009</v>
      </c>
      <c r="C18" t="s">
        <v>159</v>
      </c>
    </row>
    <row r="19" spans="1:5">
      <c r="A19" t="s">
        <v>157</v>
      </c>
      <c r="B19" s="16">
        <f>(B15*((B17^2-B18^2)*0.7854*2500)/B16)</f>
        <v>1431.7252949999984</v>
      </c>
      <c r="C19" t="s">
        <v>366</v>
      </c>
    </row>
  </sheetData>
  <sheetProtection password="EFD6" sheet="1" selectLockedCells="1"/>
  <phoneticPr fontId="2" type="noConversion"/>
  <hyperlinks>
    <hyperlink ref="E5" location="'Index Page'!A1" display="Back to the first page"/>
    <hyperlink ref="E7" r:id="rId1"/>
    <hyperlink ref="E15" r:id="rId2"/>
    <hyperlink ref="E16" r:id="rId3"/>
    <hyperlink ref="E17" r:id="rId4"/>
  </hyperlinks>
  <pageMargins left="0.75" right="0.75" top="1" bottom="1" header="0.5" footer="0.5"/>
  <pageSetup orientation="portrait" r:id="rId5"/>
  <headerFooter alignWithMargins="0"/>
</worksheet>
</file>

<file path=xl/worksheets/sheet9.xml><?xml version="1.0" encoding="utf-8"?>
<worksheet xmlns="http://schemas.openxmlformats.org/spreadsheetml/2006/main" xmlns:r="http://schemas.openxmlformats.org/officeDocument/2006/relationships">
  <sheetPr>
    <tabColor rgb="FFFFFF00"/>
  </sheetPr>
  <dimension ref="A1:F14"/>
  <sheetViews>
    <sheetView showGridLines="0" workbookViewId="0">
      <selection activeCell="B6" sqref="B6"/>
    </sheetView>
  </sheetViews>
  <sheetFormatPr defaultRowHeight="12.75"/>
  <cols>
    <col min="1" max="1" width="30.85546875" customWidth="1"/>
    <col min="5" max="5" width="17.85546875" customWidth="1"/>
    <col min="6" max="6" width="55.42578125" bestFit="1" customWidth="1"/>
  </cols>
  <sheetData>
    <row r="1" spans="1:6">
      <c r="A1" s="18" t="s">
        <v>1008</v>
      </c>
    </row>
    <row r="2" spans="1:6">
      <c r="F2" s="13" t="s">
        <v>373</v>
      </c>
    </row>
    <row r="3" spans="1:6">
      <c r="A3" s="18" t="s">
        <v>1009</v>
      </c>
      <c r="C3" s="27"/>
      <c r="F3" s="12" t="s">
        <v>372</v>
      </c>
    </row>
    <row r="4" spans="1:6">
      <c r="A4" s="27" t="s">
        <v>988</v>
      </c>
      <c r="B4" s="222">
        <v>800</v>
      </c>
      <c r="C4" s="27"/>
      <c r="F4" s="35" t="s">
        <v>24</v>
      </c>
    </row>
    <row r="5" spans="1:6">
      <c r="A5" s="27" t="s">
        <v>411</v>
      </c>
      <c r="B5" s="222">
        <v>12</v>
      </c>
      <c r="C5" s="27"/>
      <c r="F5" s="35"/>
    </row>
    <row r="6" spans="1:6">
      <c r="A6" s="27" t="s">
        <v>992</v>
      </c>
      <c r="B6" s="172">
        <v>350</v>
      </c>
      <c r="C6" s="27"/>
      <c r="F6" s="194"/>
    </row>
    <row r="7" spans="1:6">
      <c r="A7" s="18" t="s">
        <v>1010</v>
      </c>
      <c r="B7" s="271">
        <f>B4*B5*B6/1930</f>
        <v>1740.9326424870467</v>
      </c>
    </row>
    <row r="10" spans="1:6">
      <c r="A10" s="18" t="s">
        <v>999</v>
      </c>
    </row>
    <row r="11" spans="1:6">
      <c r="A11" s="27" t="s">
        <v>988</v>
      </c>
      <c r="B11" s="222">
        <v>800</v>
      </c>
    </row>
    <row r="12" spans="1:6">
      <c r="A12" s="27" t="s">
        <v>990</v>
      </c>
      <c r="B12" s="222">
        <v>450</v>
      </c>
    </row>
    <row r="13" spans="1:6">
      <c r="A13" s="27" t="s">
        <v>411</v>
      </c>
      <c r="B13" s="222">
        <v>12</v>
      </c>
      <c r="C13" s="27"/>
      <c r="F13" s="35"/>
    </row>
    <row r="14" spans="1:6">
      <c r="A14" s="18" t="s">
        <v>1010</v>
      </c>
      <c r="B14" s="270">
        <f>0.0173*B11*((B12*B13)^0.5)</f>
        <v>1017.0281412035756</v>
      </c>
    </row>
  </sheetData>
  <sheetProtection password="EFD6" sheet="1" selectLockedCells="1"/>
  <hyperlinks>
    <hyperlink ref="F4" location="'Index Page'!A1" display="Back to the first page"/>
  </hyperlinks>
  <pageMargins left="0.7" right="0.7" top="0.75" bottom="0.75" header="0.3" footer="0.3"/>
  <pageSetup orientation="portrait" r:id="rId1"/>
</worksheet>
</file>

<file path=xl/worksheets/sheet90.xml><?xml version="1.0" encoding="utf-8"?>
<worksheet xmlns="http://schemas.openxmlformats.org/spreadsheetml/2006/main" xmlns:r="http://schemas.openxmlformats.org/officeDocument/2006/relationships">
  <dimension ref="A1:E18"/>
  <sheetViews>
    <sheetView showGridLines="0" workbookViewId="0">
      <selection activeCell="E5" sqref="E5"/>
    </sheetView>
  </sheetViews>
  <sheetFormatPr defaultRowHeight="12.75"/>
  <cols>
    <col min="1" max="1" width="30.140625" bestFit="1" customWidth="1"/>
    <col min="5" max="5" width="53.7109375" customWidth="1"/>
  </cols>
  <sheetData>
    <row r="1" spans="1:5">
      <c r="A1" s="18" t="s">
        <v>152</v>
      </c>
    </row>
    <row r="3" spans="1:5">
      <c r="A3" s="18" t="s">
        <v>149</v>
      </c>
      <c r="E3" s="54" t="s">
        <v>373</v>
      </c>
    </row>
    <row r="4" spans="1:5">
      <c r="A4" t="s">
        <v>143</v>
      </c>
      <c r="B4" s="33">
        <v>10</v>
      </c>
      <c r="C4" t="s">
        <v>151</v>
      </c>
      <c r="E4" s="55" t="s">
        <v>372</v>
      </c>
    </row>
    <row r="5" spans="1:5">
      <c r="A5" t="s">
        <v>144</v>
      </c>
      <c r="B5" s="33">
        <v>1000</v>
      </c>
      <c r="C5" t="s">
        <v>367</v>
      </c>
      <c r="E5" s="35" t="s">
        <v>24</v>
      </c>
    </row>
    <row r="6" spans="1:5">
      <c r="A6" t="s">
        <v>145</v>
      </c>
      <c r="B6" s="33">
        <v>1200</v>
      </c>
      <c r="C6" t="s">
        <v>367</v>
      </c>
      <c r="E6" s="193" t="s">
        <v>830</v>
      </c>
    </row>
    <row r="7" spans="1:5">
      <c r="A7" t="s">
        <v>146</v>
      </c>
      <c r="B7" s="33">
        <v>3000</v>
      </c>
      <c r="C7" t="s">
        <v>367</v>
      </c>
      <c r="E7" s="58" t="s">
        <v>513</v>
      </c>
    </row>
    <row r="8" spans="1:5">
      <c r="A8" t="s">
        <v>153</v>
      </c>
      <c r="B8" s="16">
        <f>B4*((B5/B6)-(B5/B7))</f>
        <v>5</v>
      </c>
      <c r="C8" t="s">
        <v>151</v>
      </c>
      <c r="E8" s="35" t="s">
        <v>530</v>
      </c>
    </row>
    <row r="11" spans="1:5">
      <c r="A11" s="18" t="s">
        <v>150</v>
      </c>
    </row>
    <row r="12" spans="1:5">
      <c r="A12" t="s">
        <v>143</v>
      </c>
      <c r="B12" s="33">
        <v>10</v>
      </c>
      <c r="C12" t="s">
        <v>151</v>
      </c>
    </row>
    <row r="13" spans="1:5">
      <c r="A13" t="s">
        <v>144</v>
      </c>
      <c r="B13" s="33">
        <v>1000</v>
      </c>
      <c r="C13" t="s">
        <v>367</v>
      </c>
    </row>
    <row r="14" spans="1:5">
      <c r="A14" t="s">
        <v>145</v>
      </c>
      <c r="B14" s="33">
        <v>1200</v>
      </c>
      <c r="C14" t="s">
        <v>367</v>
      </c>
    </row>
    <row r="15" spans="1:5">
      <c r="A15" t="s">
        <v>146</v>
      </c>
      <c r="B15" s="33">
        <v>3000</v>
      </c>
      <c r="C15" t="s">
        <v>367</v>
      </c>
      <c r="E15" s="58" t="s">
        <v>513</v>
      </c>
    </row>
    <row r="16" spans="1:5">
      <c r="A16" t="s">
        <v>147</v>
      </c>
      <c r="B16" s="33">
        <v>0.44500000000000001</v>
      </c>
      <c r="C16" t="s">
        <v>371</v>
      </c>
      <c r="E16" s="35" t="s">
        <v>531</v>
      </c>
    </row>
    <row r="17" spans="1:5">
      <c r="A17" t="s">
        <v>148</v>
      </c>
      <c r="B17" s="33">
        <v>1500</v>
      </c>
      <c r="C17" t="s">
        <v>366</v>
      </c>
      <c r="E17" s="58" t="s">
        <v>516</v>
      </c>
    </row>
    <row r="18" spans="1:5">
      <c r="A18" t="s">
        <v>153</v>
      </c>
      <c r="B18" s="16">
        <f>B12*(((B13+B16*B17)/(B14+B16*B17))-((B13+B16*B17)/(B15+B16*B17)))</f>
        <v>4.3823555982621691</v>
      </c>
      <c r="C18" t="s">
        <v>151</v>
      </c>
      <c r="E18" s="35" t="s">
        <v>517</v>
      </c>
    </row>
  </sheetData>
  <sheetProtection password="EFD6" sheet="1" selectLockedCells="1"/>
  <phoneticPr fontId="2" type="noConversion"/>
  <hyperlinks>
    <hyperlink ref="E5" location="'Index Page'!A1" display="Back to the first page"/>
    <hyperlink ref="E18" r:id="rId1"/>
    <hyperlink ref="E8" r:id="rId2"/>
    <hyperlink ref="E16" r:id="rId3"/>
    <hyperlink ref="E6" r:id="rId4"/>
  </hyperlinks>
  <pageMargins left="0.75" right="0.75" top="1" bottom="1" header="0.5" footer="0.5"/>
  <pageSetup orientation="portrait" r:id="rId5"/>
  <headerFooter alignWithMargins="0"/>
</worksheet>
</file>

<file path=xl/worksheets/sheet91.xml><?xml version="1.0" encoding="utf-8"?>
<worksheet xmlns="http://schemas.openxmlformats.org/spreadsheetml/2006/main" xmlns:r="http://schemas.openxmlformats.org/officeDocument/2006/relationships">
  <dimension ref="A1:H17"/>
  <sheetViews>
    <sheetView showGridLines="0" workbookViewId="0">
      <selection activeCell="E6" sqref="E6"/>
    </sheetView>
  </sheetViews>
  <sheetFormatPr defaultRowHeight="12.75"/>
  <cols>
    <col min="1" max="1" width="30.28515625" customWidth="1"/>
    <col min="5" max="5" width="53.5703125" customWidth="1"/>
  </cols>
  <sheetData>
    <row r="1" spans="1:8" ht="27.75" customHeight="1">
      <c r="A1" s="312" t="s">
        <v>122</v>
      </c>
      <c r="B1" s="312"/>
      <c r="C1" s="312"/>
      <c r="D1" s="312"/>
      <c r="E1" s="312"/>
      <c r="F1" s="312"/>
      <c r="G1" s="312"/>
      <c r="H1" s="312"/>
    </row>
    <row r="3" spans="1:8">
      <c r="A3" s="18" t="s">
        <v>126</v>
      </c>
      <c r="E3" s="54" t="s">
        <v>373</v>
      </c>
    </row>
    <row r="4" spans="1:8">
      <c r="A4" t="s">
        <v>123</v>
      </c>
      <c r="B4" s="33">
        <v>6.125</v>
      </c>
      <c r="E4" s="55" t="s">
        <v>372</v>
      </c>
    </row>
    <row r="5" spans="1:8">
      <c r="A5" t="s">
        <v>127</v>
      </c>
      <c r="B5" s="40">
        <f>B4^2/1029.4</f>
        <v>3.6444166504760053E-2</v>
      </c>
      <c r="E5" s="35" t="s">
        <v>24</v>
      </c>
    </row>
    <row r="6" spans="1:8">
      <c r="E6" s="193" t="s">
        <v>830</v>
      </c>
    </row>
    <row r="7" spans="1:8">
      <c r="A7" s="18" t="s">
        <v>128</v>
      </c>
    </row>
    <row r="8" spans="1:8">
      <c r="A8" t="s">
        <v>123</v>
      </c>
      <c r="B8" s="33">
        <v>6.125</v>
      </c>
      <c r="E8" s="58" t="s">
        <v>513</v>
      </c>
    </row>
    <row r="9" spans="1:8">
      <c r="A9" t="s">
        <v>129</v>
      </c>
      <c r="B9" s="40">
        <f>(B8^2/1029.4)^-1</f>
        <v>27.439233652644731</v>
      </c>
      <c r="E9" s="35" t="s">
        <v>555</v>
      </c>
    </row>
    <row r="10" spans="1:8">
      <c r="E10" s="58" t="s">
        <v>516</v>
      </c>
    </row>
    <row r="11" spans="1:8">
      <c r="A11" s="18" t="s">
        <v>130</v>
      </c>
      <c r="E11" s="35" t="s">
        <v>517</v>
      </c>
    </row>
    <row r="12" spans="1:8">
      <c r="A12" t="s">
        <v>123</v>
      </c>
      <c r="B12" s="33">
        <v>6.125</v>
      </c>
    </row>
    <row r="13" spans="1:8">
      <c r="A13" t="s">
        <v>131</v>
      </c>
      <c r="B13" s="40">
        <f>B12^2/24.51</f>
        <v>1.53062525499796</v>
      </c>
    </row>
    <row r="14" spans="1:8">
      <c r="B14" s="41"/>
    </row>
    <row r="15" spans="1:8">
      <c r="A15" s="18" t="s">
        <v>132</v>
      </c>
    </row>
    <row r="16" spans="1:8">
      <c r="A16" t="s">
        <v>123</v>
      </c>
      <c r="B16" s="33">
        <v>6.125</v>
      </c>
    </row>
    <row r="17" spans="1:2">
      <c r="A17" t="s">
        <v>133</v>
      </c>
      <c r="B17" s="40">
        <f>(B16^2/24.51)^-1</f>
        <v>0.65332778009162851</v>
      </c>
    </row>
  </sheetData>
  <sheetProtection password="EFD6" sheet="1" selectLockedCells="1"/>
  <mergeCells count="1">
    <mergeCell ref="A1:H1"/>
  </mergeCells>
  <phoneticPr fontId="2" type="noConversion"/>
  <hyperlinks>
    <hyperlink ref="E5" location="'Index Page'!A1" display="Back to the first page"/>
    <hyperlink ref="E11" r:id="rId1"/>
    <hyperlink ref="E9" r:id="rId2"/>
    <hyperlink ref="E6" r:id="rId3"/>
  </hyperlinks>
  <pageMargins left="0.75" right="0.75" top="1" bottom="1" header="0.5" footer="0.5"/>
  <headerFooter alignWithMargins="0"/>
</worksheet>
</file>

<file path=xl/worksheets/sheet92.xml><?xml version="1.0" encoding="utf-8"?>
<worksheet xmlns="http://schemas.openxmlformats.org/spreadsheetml/2006/main" xmlns:r="http://schemas.openxmlformats.org/officeDocument/2006/relationships">
  <dimension ref="A1:E21"/>
  <sheetViews>
    <sheetView showGridLines="0" workbookViewId="0">
      <selection activeCell="E6" sqref="E6"/>
    </sheetView>
  </sheetViews>
  <sheetFormatPr defaultRowHeight="12.75"/>
  <cols>
    <col min="1" max="1" width="36.42578125" customWidth="1"/>
    <col min="5" max="5" width="53.5703125" customWidth="1"/>
  </cols>
  <sheetData>
    <row r="1" spans="1:5" ht="15.75">
      <c r="A1" s="43" t="s">
        <v>533</v>
      </c>
    </row>
    <row r="3" spans="1:5">
      <c r="A3" s="18" t="s">
        <v>116</v>
      </c>
      <c r="E3" s="54" t="s">
        <v>373</v>
      </c>
    </row>
    <row r="4" spans="1:5">
      <c r="A4" t="s">
        <v>112</v>
      </c>
      <c r="B4" s="33">
        <v>8.5</v>
      </c>
      <c r="E4" s="55" t="s">
        <v>372</v>
      </c>
    </row>
    <row r="5" spans="1:5">
      <c r="A5" t="s">
        <v>113</v>
      </c>
      <c r="B5" s="33">
        <v>5</v>
      </c>
      <c r="E5" s="35" t="s">
        <v>24</v>
      </c>
    </row>
    <row r="6" spans="1:5">
      <c r="A6" t="s">
        <v>119</v>
      </c>
      <c r="B6" s="39">
        <f>(B4^2-B5^2)/1029.4</f>
        <v>4.5900524577423739E-2</v>
      </c>
      <c r="E6" s="193" t="s">
        <v>830</v>
      </c>
    </row>
    <row r="8" spans="1:5">
      <c r="A8" s="18" t="s">
        <v>115</v>
      </c>
    </row>
    <row r="9" spans="1:5">
      <c r="A9" t="s">
        <v>112</v>
      </c>
      <c r="B9" s="33">
        <v>6.125</v>
      </c>
      <c r="E9" s="58" t="s">
        <v>513</v>
      </c>
    </row>
    <row r="10" spans="1:5">
      <c r="A10" t="s">
        <v>113</v>
      </c>
      <c r="B10" s="33">
        <v>3.5</v>
      </c>
      <c r="E10" s="30" t="s">
        <v>534</v>
      </c>
    </row>
    <row r="11" spans="1:5">
      <c r="A11" t="s">
        <v>118</v>
      </c>
      <c r="B11" s="14">
        <f>((B9^2-B10^2)/1029.4)^-1</f>
        <v>40.743104514533087</v>
      </c>
      <c r="E11" s="58" t="s">
        <v>516</v>
      </c>
    </row>
    <row r="12" spans="1:5">
      <c r="E12" s="35" t="s">
        <v>517</v>
      </c>
    </row>
    <row r="13" spans="1:5">
      <c r="A13" s="18" t="s">
        <v>114</v>
      </c>
    </row>
    <row r="14" spans="1:5">
      <c r="A14" t="s">
        <v>112</v>
      </c>
      <c r="B14" s="33">
        <v>6.125</v>
      </c>
    </row>
    <row r="15" spans="1:5">
      <c r="A15" t="s">
        <v>113</v>
      </c>
      <c r="B15" s="33">
        <v>3.5</v>
      </c>
    </row>
    <row r="16" spans="1:5">
      <c r="A16" t="s">
        <v>117</v>
      </c>
      <c r="B16" s="14">
        <f>(B14^2-B15^2)/24.51</f>
        <v>1.0308292533659731</v>
      </c>
    </row>
    <row r="18" spans="1:2">
      <c r="A18" s="18" t="s">
        <v>120</v>
      </c>
    </row>
    <row r="19" spans="1:2">
      <c r="A19" t="s">
        <v>112</v>
      </c>
      <c r="B19" s="33">
        <v>6.125</v>
      </c>
    </row>
    <row r="20" spans="1:2">
      <c r="A20" t="s">
        <v>113</v>
      </c>
      <c r="B20" s="33">
        <v>3.5</v>
      </c>
    </row>
    <row r="21" spans="1:2">
      <c r="A21" t="s">
        <v>121</v>
      </c>
      <c r="B21" s="14">
        <f>((B19^2-B20^2)/24.51)^-1</f>
        <v>0.97009276437847869</v>
      </c>
    </row>
  </sheetData>
  <sheetProtection password="EFD6" sheet="1" selectLockedCells="1"/>
  <phoneticPr fontId="2" type="noConversion"/>
  <hyperlinks>
    <hyperlink ref="E5" location="'Index Page'!A1" display="Back to the first page"/>
    <hyperlink ref="E12" r:id="rId1"/>
    <hyperlink ref="E10" r:id="rId2"/>
    <hyperlink ref="E6" r:id="rId3"/>
  </hyperlinks>
  <pageMargins left="0.75" right="0.75" top="1" bottom="1" header="0.5" footer="0.5"/>
  <headerFooter alignWithMargins="0"/>
</worksheet>
</file>

<file path=xl/worksheets/sheet93.xml><?xml version="1.0" encoding="utf-8"?>
<worksheet xmlns="http://schemas.openxmlformats.org/spreadsheetml/2006/main" xmlns:r="http://schemas.openxmlformats.org/officeDocument/2006/relationships">
  <dimension ref="A1:E9"/>
  <sheetViews>
    <sheetView showGridLines="0" workbookViewId="0">
      <selection activeCell="E4" sqref="E4"/>
    </sheetView>
  </sheetViews>
  <sheetFormatPr defaultRowHeight="12.75"/>
  <cols>
    <col min="1" max="1" width="22.7109375" bestFit="1" customWidth="1"/>
    <col min="5" max="5" width="60" customWidth="1"/>
  </cols>
  <sheetData>
    <row r="1" spans="1:5">
      <c r="A1" s="18" t="s">
        <v>105</v>
      </c>
    </row>
    <row r="2" spans="1:5">
      <c r="E2" s="33" t="s">
        <v>373</v>
      </c>
    </row>
    <row r="3" spans="1:5">
      <c r="A3" t="s">
        <v>106</v>
      </c>
      <c r="B3" s="33">
        <v>27000</v>
      </c>
      <c r="E3" s="34" t="s">
        <v>372</v>
      </c>
    </row>
    <row r="4" spans="1:5">
      <c r="A4" t="s">
        <v>111</v>
      </c>
      <c r="B4" s="33">
        <v>3500</v>
      </c>
      <c r="E4" s="35" t="s">
        <v>24</v>
      </c>
    </row>
    <row r="5" spans="1:5">
      <c r="A5" t="s">
        <v>109</v>
      </c>
      <c r="B5" s="33">
        <v>50</v>
      </c>
      <c r="E5" s="193" t="s">
        <v>830</v>
      </c>
    </row>
    <row r="6" spans="1:5">
      <c r="A6" t="s">
        <v>108</v>
      </c>
      <c r="B6" s="33">
        <v>12</v>
      </c>
      <c r="E6" s="58" t="s">
        <v>513</v>
      </c>
    </row>
    <row r="7" spans="1:5">
      <c r="A7" t="s">
        <v>110</v>
      </c>
      <c r="B7" s="33">
        <v>5000</v>
      </c>
      <c r="E7" s="35" t="s">
        <v>835</v>
      </c>
    </row>
    <row r="8" spans="1:5">
      <c r="A8" t="s">
        <v>107</v>
      </c>
      <c r="B8" s="16">
        <f>(B3+B4*(B5+B6))/B7</f>
        <v>48.8</v>
      </c>
      <c r="E8" s="58" t="s">
        <v>516</v>
      </c>
    </row>
    <row r="9" spans="1:5">
      <c r="E9" s="35" t="s">
        <v>517</v>
      </c>
    </row>
  </sheetData>
  <sheetProtection password="EFD6" sheet="1" selectLockedCells="1"/>
  <phoneticPr fontId="2" type="noConversion"/>
  <hyperlinks>
    <hyperlink ref="E4" location="'Index Page'!A1" display="Back to the first page"/>
    <hyperlink ref="E9" r:id="rId1"/>
    <hyperlink ref="E7" r:id="rId2"/>
    <hyperlink ref="E5" r:id="rId3"/>
  </hyperlinks>
  <pageMargins left="0.75" right="0.75" top="1" bottom="1" header="0.5" footer="0.5"/>
  <headerFooter alignWithMargins="0"/>
</worksheet>
</file>

<file path=xl/worksheets/sheet94.xml><?xml version="1.0" encoding="utf-8"?>
<worksheet xmlns="http://schemas.openxmlformats.org/spreadsheetml/2006/main" xmlns:r="http://schemas.openxmlformats.org/officeDocument/2006/relationships">
  <dimension ref="A1:D20"/>
  <sheetViews>
    <sheetView showGridLines="0" workbookViewId="0">
      <selection activeCell="D5" sqref="D5"/>
    </sheetView>
  </sheetViews>
  <sheetFormatPr defaultRowHeight="12.75"/>
  <cols>
    <col min="1" max="1" width="41.140625" bestFit="1" customWidth="1"/>
    <col min="4" max="4" width="53.85546875" customWidth="1"/>
  </cols>
  <sheetData>
    <row r="1" spans="1:4">
      <c r="A1" s="38" t="s">
        <v>93</v>
      </c>
    </row>
    <row r="3" spans="1:4">
      <c r="A3" s="18" t="s">
        <v>94</v>
      </c>
      <c r="D3" s="54" t="s">
        <v>373</v>
      </c>
    </row>
    <row r="4" spans="1:4">
      <c r="D4" s="55" t="s">
        <v>372</v>
      </c>
    </row>
    <row r="5" spans="1:4">
      <c r="A5" t="s">
        <v>97</v>
      </c>
      <c r="B5" s="33">
        <v>2500</v>
      </c>
      <c r="D5" s="35" t="s">
        <v>24</v>
      </c>
    </row>
    <row r="6" spans="1:4">
      <c r="A6" t="s">
        <v>96</v>
      </c>
      <c r="B6" s="33">
        <v>40</v>
      </c>
      <c r="D6" s="193" t="s">
        <v>830</v>
      </c>
    </row>
    <row r="7" spans="1:4">
      <c r="A7" t="s">
        <v>95</v>
      </c>
      <c r="B7" s="33">
        <v>25</v>
      </c>
    </row>
    <row r="8" spans="1:4">
      <c r="A8" t="s">
        <v>98</v>
      </c>
      <c r="B8" s="17">
        <f>B5*(B7/B6)^2</f>
        <v>976.5625</v>
      </c>
    </row>
    <row r="10" spans="1:4">
      <c r="A10" s="18" t="s">
        <v>99</v>
      </c>
    </row>
    <row r="12" spans="1:4">
      <c r="A12" t="s">
        <v>100</v>
      </c>
      <c r="B12" s="33">
        <v>2700</v>
      </c>
    </row>
    <row r="13" spans="1:4">
      <c r="A13" t="s">
        <v>101</v>
      </c>
      <c r="B13" s="33">
        <v>320</v>
      </c>
    </row>
    <row r="14" spans="1:4">
      <c r="A14" t="s">
        <v>102</v>
      </c>
      <c r="B14" s="33">
        <v>500</v>
      </c>
    </row>
    <row r="15" spans="1:4">
      <c r="A15" t="s">
        <v>103</v>
      </c>
      <c r="B15" s="33">
        <v>130</v>
      </c>
    </row>
    <row r="16" spans="1:4">
      <c r="A16" t="s">
        <v>104</v>
      </c>
      <c r="B16" s="14">
        <f>LOG(B12/B14,10)/LOG(B13/B15,10)</f>
        <v>1.8721404780053523</v>
      </c>
    </row>
    <row r="17" spans="1:4">
      <c r="A17" t="s">
        <v>97</v>
      </c>
      <c r="B17" s="33">
        <v>2500</v>
      </c>
      <c r="D17" s="58" t="s">
        <v>513</v>
      </c>
    </row>
    <row r="18" spans="1:4">
      <c r="A18" t="s">
        <v>96</v>
      </c>
      <c r="B18" s="33">
        <v>40</v>
      </c>
      <c r="D18" s="35" t="s">
        <v>523</v>
      </c>
    </row>
    <row r="19" spans="1:4">
      <c r="A19" t="s">
        <v>95</v>
      </c>
      <c r="B19" s="33">
        <v>25</v>
      </c>
      <c r="D19" s="58" t="s">
        <v>516</v>
      </c>
    </row>
    <row r="20" spans="1:4">
      <c r="A20" t="s">
        <v>98</v>
      </c>
      <c r="B20" s="17">
        <f>B17*(B19/B18)^B16</f>
        <v>1037.0476859925161</v>
      </c>
      <c r="D20" s="35" t="s">
        <v>517</v>
      </c>
    </row>
  </sheetData>
  <sheetProtection password="EFD6" sheet="1" selectLockedCells="1"/>
  <phoneticPr fontId="2" type="noConversion"/>
  <hyperlinks>
    <hyperlink ref="D5" location="'Index Page'!A1" display="Back to the first page"/>
    <hyperlink ref="D20" r:id="rId1"/>
    <hyperlink ref="D18" r:id="rId2"/>
    <hyperlink ref="D6" r:id="rId3"/>
  </hyperlinks>
  <pageMargins left="0.75" right="0.75" top="1" bottom="1" header="0.5" footer="0.5"/>
  <headerFooter alignWithMargins="0"/>
</worksheet>
</file>

<file path=xl/worksheets/sheet95.xml><?xml version="1.0" encoding="utf-8"?>
<worksheet xmlns="http://schemas.openxmlformats.org/spreadsheetml/2006/main" xmlns:r="http://schemas.openxmlformats.org/officeDocument/2006/relationships">
  <dimension ref="A1:E10"/>
  <sheetViews>
    <sheetView showGridLines="0" workbookViewId="0">
      <selection activeCell="E5" sqref="E5"/>
    </sheetView>
  </sheetViews>
  <sheetFormatPr defaultRowHeight="12.75"/>
  <cols>
    <col min="1" max="1" width="26" bestFit="1" customWidth="1"/>
    <col min="5" max="5" width="53.85546875" customWidth="1"/>
  </cols>
  <sheetData>
    <row r="1" spans="1:5" ht="20.25">
      <c r="A1" s="37" t="s">
        <v>90</v>
      </c>
    </row>
    <row r="3" spans="1:5">
      <c r="A3" t="s">
        <v>91</v>
      </c>
      <c r="B3" s="33">
        <v>3500</v>
      </c>
      <c r="E3" s="54" t="s">
        <v>373</v>
      </c>
    </row>
    <row r="4" spans="1:5">
      <c r="A4" t="s">
        <v>92</v>
      </c>
      <c r="B4" s="33">
        <v>800</v>
      </c>
      <c r="E4" s="55" t="s">
        <v>372</v>
      </c>
    </row>
    <row r="5" spans="1:5">
      <c r="A5" t="s">
        <v>90</v>
      </c>
      <c r="B5" s="16">
        <f>(B4*B3)/1714</f>
        <v>1633.6056009334889</v>
      </c>
      <c r="E5" s="35" t="s">
        <v>24</v>
      </c>
    </row>
    <row r="6" spans="1:5">
      <c r="E6" s="193" t="s">
        <v>830</v>
      </c>
    </row>
    <row r="7" spans="1:5">
      <c r="E7" s="58" t="s">
        <v>513</v>
      </c>
    </row>
    <row r="8" spans="1:5">
      <c r="E8" s="35" t="s">
        <v>615</v>
      </c>
    </row>
    <row r="9" spans="1:5">
      <c r="E9" s="58" t="s">
        <v>516</v>
      </c>
    </row>
    <row r="10" spans="1:5">
      <c r="E10" s="35" t="s">
        <v>517</v>
      </c>
    </row>
  </sheetData>
  <sheetProtection password="EFD6" sheet="1" selectLockedCells="1"/>
  <phoneticPr fontId="2" type="noConversion"/>
  <hyperlinks>
    <hyperlink ref="E5" location="'Index Page'!A1" display="Back to the first page"/>
    <hyperlink ref="E10" r:id="rId1"/>
    <hyperlink ref="E8" r:id="rId2"/>
    <hyperlink ref="E6" r:id="rId3"/>
  </hyperlinks>
  <pageMargins left="0.75" right="0.75" top="1" bottom="1" header="0.5" footer="0.5"/>
  <headerFooter alignWithMargins="0"/>
</worksheet>
</file>

<file path=xl/worksheets/sheet96.xml><?xml version="1.0" encoding="utf-8"?>
<worksheet xmlns="http://schemas.openxmlformats.org/spreadsheetml/2006/main" xmlns:r="http://schemas.openxmlformats.org/officeDocument/2006/relationships">
  <dimension ref="A1:E9"/>
  <sheetViews>
    <sheetView showGridLines="0" workbookViewId="0">
      <selection activeCell="E5" sqref="E5"/>
    </sheetView>
  </sheetViews>
  <sheetFormatPr defaultRowHeight="12.75"/>
  <cols>
    <col min="1" max="1" width="23" customWidth="1"/>
    <col min="5" max="5" width="53.42578125" customWidth="1"/>
  </cols>
  <sheetData>
    <row r="1" spans="1:5" ht="22.5">
      <c r="A1" s="36" t="s">
        <v>86</v>
      </c>
    </row>
    <row r="2" spans="1:5">
      <c r="E2" s="54" t="s">
        <v>373</v>
      </c>
    </row>
    <row r="3" spans="1:5">
      <c r="A3" t="s">
        <v>87</v>
      </c>
      <c r="B3" s="33">
        <v>90</v>
      </c>
      <c r="E3" s="55" t="s">
        <v>372</v>
      </c>
    </row>
    <row r="4" spans="1:5">
      <c r="A4" t="s">
        <v>88</v>
      </c>
      <c r="B4" s="33">
        <v>1.4999999999999999E-2</v>
      </c>
      <c r="E4" s="35" t="s">
        <v>24</v>
      </c>
    </row>
    <row r="5" spans="1:5">
      <c r="A5" t="s">
        <v>89</v>
      </c>
      <c r="B5" s="33">
        <v>12000</v>
      </c>
      <c r="E5" s="193" t="s">
        <v>830</v>
      </c>
    </row>
    <row r="6" spans="1:5">
      <c r="A6" t="s">
        <v>85</v>
      </c>
      <c r="B6" s="12">
        <f>B3+(B4*B5)</f>
        <v>270</v>
      </c>
      <c r="E6" s="58" t="s">
        <v>513</v>
      </c>
    </row>
    <row r="7" spans="1:5">
      <c r="E7" s="35" t="s">
        <v>550</v>
      </c>
    </row>
    <row r="8" spans="1:5">
      <c r="E8" s="58" t="s">
        <v>516</v>
      </c>
    </row>
    <row r="9" spans="1:5">
      <c r="E9" s="35" t="s">
        <v>517</v>
      </c>
    </row>
  </sheetData>
  <sheetProtection password="EFD6" sheet="1" selectLockedCells="1"/>
  <phoneticPr fontId="2" type="noConversion"/>
  <hyperlinks>
    <hyperlink ref="E4" location="'Index Page'!A1" display="Back to the first page"/>
    <hyperlink ref="E9" r:id="rId1"/>
    <hyperlink ref="E7" r:id="rId2"/>
    <hyperlink ref="E5" r:id="rId3"/>
  </hyperlinks>
  <pageMargins left="0.75" right="0.75" top="1" bottom="1" header="0.5" footer="0.5"/>
  <pageSetup orientation="portrait" horizontalDpi="300" verticalDpi="300" r:id="rId4"/>
  <headerFooter alignWithMargins="0"/>
</worksheet>
</file>

<file path=xl/worksheets/sheet97.xml><?xml version="1.0" encoding="utf-8"?>
<worksheet xmlns="http://schemas.openxmlformats.org/spreadsheetml/2006/main" xmlns:r="http://schemas.openxmlformats.org/officeDocument/2006/relationships">
  <dimension ref="A1:E9"/>
  <sheetViews>
    <sheetView showGridLines="0" workbookViewId="0">
      <selection activeCell="E5" sqref="E5"/>
    </sheetView>
  </sheetViews>
  <sheetFormatPr defaultRowHeight="12.75"/>
  <cols>
    <col min="1" max="1" width="28.28515625" customWidth="1"/>
    <col min="5" max="5" width="53.5703125" customWidth="1"/>
  </cols>
  <sheetData>
    <row r="1" spans="1:5">
      <c r="A1" s="18" t="s">
        <v>63</v>
      </c>
    </row>
    <row r="2" spans="1:5">
      <c r="A2" t="s">
        <v>64</v>
      </c>
      <c r="E2" s="33" t="s">
        <v>373</v>
      </c>
    </row>
    <row r="3" spans="1:5">
      <c r="E3" s="34" t="s">
        <v>372</v>
      </c>
    </row>
    <row r="4" spans="1:5">
      <c r="A4" t="s">
        <v>67</v>
      </c>
      <c r="B4" s="33">
        <v>32</v>
      </c>
      <c r="E4" s="35" t="s">
        <v>24</v>
      </c>
    </row>
    <row r="5" spans="1:5">
      <c r="A5" t="s">
        <v>65</v>
      </c>
      <c r="B5" s="33">
        <v>4</v>
      </c>
      <c r="E5" s="193" t="s">
        <v>830</v>
      </c>
    </row>
    <row r="6" spans="1:5">
      <c r="A6" t="s">
        <v>66</v>
      </c>
      <c r="B6" s="33">
        <v>3.5</v>
      </c>
      <c r="E6" s="58" t="s">
        <v>513</v>
      </c>
    </row>
    <row r="7" spans="1:5">
      <c r="A7" s="18" t="s">
        <v>62</v>
      </c>
      <c r="B7" s="28">
        <f>33055*(B5^2+B6^2)^0.5/B4^2</f>
        <v>171.57200675778509</v>
      </c>
      <c r="E7" s="35" t="s">
        <v>613</v>
      </c>
    </row>
    <row r="8" spans="1:5">
      <c r="E8" s="58" t="s">
        <v>516</v>
      </c>
    </row>
    <row r="9" spans="1:5">
      <c r="E9" s="35" t="s">
        <v>517</v>
      </c>
    </row>
  </sheetData>
  <sheetProtection password="EFD6" sheet="1" selectLockedCells="1"/>
  <phoneticPr fontId="2" type="noConversion"/>
  <hyperlinks>
    <hyperlink ref="E4" location="'Index Page'!A1" display="Back to the first page"/>
    <hyperlink ref="E9" r:id="rId1"/>
    <hyperlink ref="E7" r:id="rId2"/>
    <hyperlink ref="E5" r:id="rId3"/>
  </hyperlinks>
  <pageMargins left="0.75" right="0.75" top="1" bottom="1" header="0.5" footer="0.5"/>
  <headerFooter alignWithMargins="0"/>
</worksheet>
</file>

<file path=xl/worksheets/sheet98.xml><?xml version="1.0" encoding="utf-8"?>
<worksheet xmlns="http://schemas.openxmlformats.org/spreadsheetml/2006/main" xmlns:r="http://schemas.openxmlformats.org/officeDocument/2006/relationships">
  <dimension ref="A1:E24"/>
  <sheetViews>
    <sheetView showGridLines="0" workbookViewId="0">
      <pane xSplit="1" ySplit="1" topLeftCell="B2" activePane="bottomRight" state="frozen"/>
      <selection pane="topRight" activeCell="B1" sqref="B1"/>
      <selection pane="bottomLeft" activeCell="A2" sqref="A2"/>
      <selection pane="bottomRight" activeCell="E5" sqref="E5"/>
    </sheetView>
  </sheetViews>
  <sheetFormatPr defaultRowHeight="12.75"/>
  <cols>
    <col min="1" max="1" width="29.28515625" bestFit="1" customWidth="1"/>
    <col min="3" max="3" width="13.42578125" style="21" customWidth="1"/>
    <col min="5" max="5" width="53.85546875" customWidth="1"/>
  </cols>
  <sheetData>
    <row r="1" spans="1:5">
      <c r="A1" s="18" t="s">
        <v>507</v>
      </c>
    </row>
    <row r="3" spans="1:5">
      <c r="A3" t="s">
        <v>384</v>
      </c>
      <c r="B3" s="33">
        <v>13.2</v>
      </c>
      <c r="E3" s="54" t="s">
        <v>373</v>
      </c>
    </row>
    <row r="4" spans="1:5">
      <c r="A4" t="s">
        <v>68</v>
      </c>
      <c r="B4" s="33">
        <v>47</v>
      </c>
      <c r="E4" s="55" t="s">
        <v>372</v>
      </c>
    </row>
    <row r="5" spans="1:5">
      <c r="A5" t="s">
        <v>69</v>
      </c>
      <c r="B5" s="33">
        <v>80</v>
      </c>
      <c r="E5" s="35" t="s">
        <v>24</v>
      </c>
    </row>
    <row r="6" spans="1:5">
      <c r="A6" t="s">
        <v>70</v>
      </c>
      <c r="B6" s="33">
        <v>33</v>
      </c>
      <c r="E6" s="193" t="s">
        <v>830</v>
      </c>
    </row>
    <row r="7" spans="1:5">
      <c r="A7" t="s">
        <v>71</v>
      </c>
      <c r="B7" s="33">
        <v>165</v>
      </c>
    </row>
    <row r="8" spans="1:5">
      <c r="A8" t="s">
        <v>72</v>
      </c>
      <c r="B8" s="33">
        <v>6.35</v>
      </c>
    </row>
    <row r="9" spans="1:5">
      <c r="A9" t="s">
        <v>74</v>
      </c>
      <c r="B9" s="33">
        <v>4</v>
      </c>
    </row>
    <row r="10" spans="1:5">
      <c r="A10" t="s">
        <v>73</v>
      </c>
      <c r="B10" s="33">
        <v>12276</v>
      </c>
    </row>
    <row r="11" spans="1:5">
      <c r="A11" t="s">
        <v>76</v>
      </c>
      <c r="B11" s="33">
        <v>5</v>
      </c>
    </row>
    <row r="12" spans="1:5">
      <c r="A12" t="s">
        <v>75</v>
      </c>
      <c r="B12" s="33">
        <v>100</v>
      </c>
    </row>
    <row r="13" spans="1:5">
      <c r="A13" t="s">
        <v>142</v>
      </c>
      <c r="B13" s="33">
        <v>10000</v>
      </c>
    </row>
    <row r="15" spans="1:5">
      <c r="A15" t="s">
        <v>77</v>
      </c>
      <c r="B15" s="14">
        <f>3.32*LOG(B5/B4,10)</f>
        <v>0.76689386846667063</v>
      </c>
    </row>
    <row r="16" spans="1:5">
      <c r="A16" t="s">
        <v>6</v>
      </c>
      <c r="B16" s="14">
        <f>B4/(511^B15)</f>
        <v>0.3935740686343116</v>
      </c>
    </row>
    <row r="17" spans="1:5">
      <c r="A17" t="s">
        <v>79</v>
      </c>
      <c r="B17" s="17">
        <f>(24.5*B7)/(B8^2-B9^2)</f>
        <v>166.20413197656492</v>
      </c>
      <c r="C17" t="str">
        <f>IF(B17&gt;B18, "Turbulant Flow", "Lamina Flow")</f>
        <v>Lamina Flow</v>
      </c>
    </row>
    <row r="18" spans="1:5">
      <c r="A18" t="s">
        <v>80</v>
      </c>
      <c r="B18" s="17">
        <f>(3.878*10^4*B16/B3)^(1/(2-B15))*(2.4/(B8-B9)*(2*B15+1)/(3*B15))^(B15/(2-B15))</f>
        <v>327.9242183416066</v>
      </c>
    </row>
    <row r="19" spans="1:5">
      <c r="A19" t="s">
        <v>78</v>
      </c>
      <c r="B19" s="17">
        <f>(24.5*B7)/(B8^2-B11^2)</f>
        <v>263.82770435633876</v>
      </c>
      <c r="C19" t="str">
        <f>IF(B19&gt;B20, "Turbulant Flow", "Lamina Flow")</f>
        <v>Lamina Flow</v>
      </c>
    </row>
    <row r="20" spans="1:5">
      <c r="A20" t="s">
        <v>81</v>
      </c>
      <c r="B20" s="17">
        <f>(3.878*10^4*B16/B3)^(1/(2-B15))*(2.4/(B8-B11)*(2*B15+1)/(3*B15))^(B15/(2-B15))</f>
        <v>462.90400453577479</v>
      </c>
    </row>
    <row r="21" spans="1:5">
      <c r="A21" t="s">
        <v>83</v>
      </c>
      <c r="B21" s="17">
        <f>IF(B17&lt;B18,((2.4*B17/(B8-B9)*((2*B15+1)/(3*B15)))^B15)*(B16*B10/(300*(B8-B9))),(7.7*10^-5*B3^0.8*B7^1.8*B6^0.2*B10)/((B8-B9)^3*(B8+B9)^1.8))</f>
        <v>378.48284616844512</v>
      </c>
      <c r="E21" s="58" t="s">
        <v>513</v>
      </c>
    </row>
    <row r="22" spans="1:5">
      <c r="A22" t="s">
        <v>82</v>
      </c>
      <c r="B22" s="17">
        <f>IF(B19&lt;B20,((2.4*B17/(B8-B11)*((2*B15+1)/(3*B15)))^B15)*(B16*B12/(300*(B8-B11))),(7.7*10^-5*B3^0.8*B7^1.8*B6^0.2*B12)/((B8-B11)^3*(B8+B11)^1.8))</f>
        <v>8.2099576218906201</v>
      </c>
      <c r="E22" s="35" t="s">
        <v>614</v>
      </c>
    </row>
    <row r="23" spans="1:5">
      <c r="A23" t="s">
        <v>84</v>
      </c>
      <c r="B23" s="17">
        <f>B22+B21</f>
        <v>386.69280379033574</v>
      </c>
      <c r="E23" s="58" t="s">
        <v>516</v>
      </c>
    </row>
    <row r="24" spans="1:5" ht="15.75">
      <c r="A24" s="23" t="str">
        <f>CONCATENATE("ECD at ",B13,"' TVD in ppg")</f>
        <v>ECD at 10000' TVD in ppg</v>
      </c>
      <c r="B24" s="44">
        <f>B23/(0.052*B13)+B3</f>
        <v>13.943640007289106</v>
      </c>
      <c r="E24" s="35" t="s">
        <v>517</v>
      </c>
    </row>
  </sheetData>
  <sheetProtection password="EFD6" sheet="1" selectLockedCells="1"/>
  <phoneticPr fontId="2" type="noConversion"/>
  <conditionalFormatting sqref="C17 C19">
    <cfRule type="cellIs" dxfId="1" priority="1" stopIfTrue="1" operator="equal">
      <formula>"Turbulant Flow"</formula>
    </cfRule>
    <cfRule type="cellIs" dxfId="0" priority="2" stopIfTrue="1" operator="equal">
      <formula>"Lamina Flow"</formula>
    </cfRule>
  </conditionalFormatting>
  <hyperlinks>
    <hyperlink ref="E5" location="'Index Page'!A1" display="Back to the first page"/>
    <hyperlink ref="E24" r:id="rId1"/>
    <hyperlink ref="E22" r:id="rId2"/>
    <hyperlink ref="E6" r:id="rId3"/>
  </hyperlinks>
  <pageMargins left="0.75" right="0.75" top="1" bottom="1" header="0.5" footer="0.5"/>
  <pageSetup orientation="portrait" r:id="rId4"/>
  <headerFooter alignWithMargins="0"/>
</worksheet>
</file>

<file path=xl/worksheets/sheet99.xml><?xml version="1.0" encoding="utf-8"?>
<worksheet xmlns="http://schemas.openxmlformats.org/spreadsheetml/2006/main" xmlns:r="http://schemas.openxmlformats.org/officeDocument/2006/relationships">
  <dimension ref="A1:E10"/>
  <sheetViews>
    <sheetView showGridLines="0" workbookViewId="0">
      <selection activeCell="E8" sqref="E8"/>
    </sheetView>
  </sheetViews>
  <sheetFormatPr defaultRowHeight="12.75"/>
  <cols>
    <col min="1" max="1" width="20.140625" bestFit="1" customWidth="1"/>
    <col min="2" max="2" width="12.85546875" customWidth="1"/>
    <col min="5" max="5" width="19" bestFit="1" customWidth="1"/>
  </cols>
  <sheetData>
    <row r="1" spans="1:5">
      <c r="A1" s="18" t="s">
        <v>58</v>
      </c>
    </row>
    <row r="3" spans="1:5">
      <c r="A3" t="s">
        <v>139</v>
      </c>
      <c r="B3" s="56">
        <v>13</v>
      </c>
      <c r="E3" s="54" t="s">
        <v>373</v>
      </c>
    </row>
    <row r="4" spans="1:5">
      <c r="A4" t="s">
        <v>138</v>
      </c>
      <c r="B4" s="56">
        <v>8000</v>
      </c>
      <c r="E4" s="55" t="s">
        <v>372</v>
      </c>
    </row>
    <row r="5" spans="1:5">
      <c r="A5" t="s">
        <v>140</v>
      </c>
      <c r="B5" s="56">
        <v>320</v>
      </c>
      <c r="E5" s="35" t="s">
        <v>24</v>
      </c>
    </row>
    <row r="6" spans="1:5">
      <c r="A6" t="s">
        <v>60</v>
      </c>
      <c r="B6" s="126">
        <v>6.5</v>
      </c>
    </row>
    <row r="7" spans="1:5">
      <c r="A7" t="s">
        <v>59</v>
      </c>
      <c r="B7" s="126">
        <v>4</v>
      </c>
      <c r="E7" s="58" t="s">
        <v>513</v>
      </c>
    </row>
    <row r="8" spans="1:5">
      <c r="A8" t="s">
        <v>61</v>
      </c>
      <c r="B8" s="17">
        <f>(24.5*B5)/(B6^2-B7^2)</f>
        <v>298.66666666666669</v>
      </c>
      <c r="E8" s="35" t="s">
        <v>612</v>
      </c>
    </row>
    <row r="9" spans="1:5">
      <c r="A9" t="s">
        <v>141</v>
      </c>
      <c r="B9" s="16">
        <f>(1.4327*10^-7)*(B3*B4*B8^2)/(B6-B7)</f>
        <v>531.6454500124446</v>
      </c>
      <c r="E9" s="58" t="s">
        <v>516</v>
      </c>
    </row>
    <row r="10" spans="1:5">
      <c r="E10" s="35" t="s">
        <v>517</v>
      </c>
    </row>
  </sheetData>
  <sheetProtection password="E2D6" sheet="1" selectLockedCells="1"/>
  <phoneticPr fontId="2" type="noConversion"/>
  <hyperlinks>
    <hyperlink ref="E5" location="'Index Page'!A1" display="Back to the first page"/>
    <hyperlink ref="E10" r:id="rId1"/>
    <hyperlink ref="E8" r:id="rId2"/>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125</vt:i4>
      </vt:variant>
      <vt:variant>
        <vt:lpstr>Named Ranges</vt:lpstr>
      </vt:variant>
      <vt:variant>
        <vt:i4>1</vt:i4>
      </vt:variant>
    </vt:vector>
  </HeadingPairs>
  <TitlesOfParts>
    <vt:vector size="126" baseType="lpstr">
      <vt:lpstr>Index Page</vt:lpstr>
      <vt:lpstr>Cement plug (2)</vt:lpstr>
      <vt:lpstr>Cement plug</vt:lpstr>
      <vt:lpstr>Bottle Capacity Required </vt:lpstr>
      <vt:lpstr>Minimum Flow Rate PDC bit</vt:lpstr>
      <vt:lpstr>Bit Aggressiveness</vt:lpstr>
      <vt:lpstr>MSE</vt:lpstr>
      <vt:lpstr>Cross flow velocity</vt:lpstr>
      <vt:lpstr>Impact Force</vt:lpstr>
      <vt:lpstr>HSI</vt:lpstr>
      <vt:lpstr>Bit Hydraulic HP</vt:lpstr>
      <vt:lpstr>Bit Nozzle Velocity</vt:lpstr>
      <vt:lpstr>Pressure drop across bit</vt:lpstr>
      <vt:lpstr>Time to bubble </vt:lpstr>
      <vt:lpstr>Increase in casing pressure</vt:lpstr>
      <vt:lpstr>Lube Increment</vt:lpstr>
      <vt:lpstr>Mud Increment</vt:lpstr>
      <vt:lpstr>Bottom hole pressure gas well</vt:lpstr>
      <vt:lpstr>solid density</vt:lpstr>
      <vt:lpstr>coring cost per foot</vt:lpstr>
      <vt:lpstr>Cutting Volume</vt:lpstr>
      <vt:lpstr>Max ROP</vt:lpstr>
      <vt:lpstr>Effective Mud Density</vt:lpstr>
      <vt:lpstr>Bouyancy Factor (2)</vt:lpstr>
      <vt:lpstr>Riser Margin</vt:lpstr>
      <vt:lpstr>New Pump P (2)</vt:lpstr>
      <vt:lpstr>New Pump P</vt:lpstr>
      <vt:lpstr>FCP</vt:lpstr>
      <vt:lpstr>ICP</vt:lpstr>
      <vt:lpstr>Drillstring Tensile</vt:lpstr>
      <vt:lpstr>PV YP</vt:lpstr>
      <vt:lpstr>Margin of Overpull</vt:lpstr>
      <vt:lpstr>Drill Collar Weight</vt:lpstr>
      <vt:lpstr>Pipe Elongation Temp</vt:lpstr>
      <vt:lpstr>ECD Yp (2)</vt:lpstr>
      <vt:lpstr>ECD Yp</vt:lpstr>
      <vt:lpstr>Total Bit Revolution</vt:lpstr>
      <vt:lpstr>Pressure drop across a bit</vt:lpstr>
      <vt:lpstr>Optimum Flow Rate-Basic System</vt:lpstr>
      <vt:lpstr>Critical Flow Rate</vt:lpstr>
      <vt:lpstr>CCI</vt:lpstr>
      <vt:lpstr>Reynold Number</vt:lpstr>
      <vt:lpstr>Power Law Constant</vt:lpstr>
      <vt:lpstr>Effective Viscosity</vt:lpstr>
      <vt:lpstr>P loss surface equipment</vt:lpstr>
      <vt:lpstr>P loss in annulus TJ correction</vt:lpstr>
      <vt:lpstr>P loss in annulus</vt:lpstr>
      <vt:lpstr>Ploss Drillstring TJ Correction</vt:lpstr>
      <vt:lpstr>Pressure Loss Drillstring</vt:lpstr>
      <vt:lpstr>TFA Table</vt:lpstr>
      <vt:lpstr>Surge Swab 2</vt:lpstr>
      <vt:lpstr>Surge Swab 1</vt:lpstr>
      <vt:lpstr>Cutting Slip Velocity 2</vt:lpstr>
      <vt:lpstr>Cutting Slip Velocity 1</vt:lpstr>
      <vt:lpstr>Max Pit Gain</vt:lpstr>
      <vt:lpstr>Max P gas influx</vt:lpstr>
      <vt:lpstr>HP loss gas cut mud</vt:lpstr>
      <vt:lpstr>Calculate Influx Height</vt:lpstr>
      <vt:lpstr>KWM</vt:lpstr>
      <vt:lpstr>Acutal Gas Migration Rate</vt:lpstr>
      <vt:lpstr>Estimate gas migration rate</vt:lpstr>
      <vt:lpstr>type of influx</vt:lpstr>
      <vt:lpstr>formation pressure well shut in</vt:lpstr>
      <vt:lpstr>Adjusting MASCIP</vt:lpstr>
      <vt:lpstr>max influx height</vt:lpstr>
      <vt:lpstr>Max shut in Pressure</vt:lpstr>
      <vt:lpstr>Max formation press</vt:lpstr>
      <vt:lpstr>max surface press</vt:lpstr>
      <vt:lpstr>KTF</vt:lpstr>
      <vt:lpstr>Trip Margin</vt:lpstr>
      <vt:lpstr>Lag Time</vt:lpstr>
      <vt:lpstr>Ton Miles</vt:lpstr>
      <vt:lpstr>d exponent</vt:lpstr>
      <vt:lpstr>Dilution LGS control</vt:lpstr>
      <vt:lpstr>Decrease oil water ratio</vt:lpstr>
      <vt:lpstr>Increase oil water ratio</vt:lpstr>
      <vt:lpstr>Oil water ratio</vt:lpstr>
      <vt:lpstr>density of oil-water mix</vt:lpstr>
      <vt:lpstr>Mix different density unlimit</vt:lpstr>
      <vt:lpstr>Mix different density limit</vt:lpstr>
      <vt:lpstr>Reduce mud weight</vt:lpstr>
      <vt:lpstr>Mud Calculation-Hematite</vt:lpstr>
      <vt:lpstr>Mud Calculation-Carbonate</vt:lpstr>
      <vt:lpstr>Mud Calculation-Barite</vt:lpstr>
      <vt:lpstr>Pressure to break CC</vt:lpstr>
      <vt:lpstr>light weight spot pill</vt:lpstr>
      <vt:lpstr>Loss HP due to loss returns</vt:lpstr>
      <vt:lpstr>Displacement</vt:lpstr>
      <vt:lpstr>Sutck Pipe Calculation</vt:lpstr>
      <vt:lpstr>accumulator capacity</vt:lpstr>
      <vt:lpstr>Inner Capacity</vt:lpstr>
      <vt:lpstr>Annular Capacity</vt:lpstr>
      <vt:lpstr>Cost Per Foot</vt:lpstr>
      <vt:lpstr>Pump Pressure and stroke</vt:lpstr>
      <vt:lpstr>Hydraulic Horse Power</vt:lpstr>
      <vt:lpstr>Formation Temperature</vt:lpstr>
      <vt:lpstr>Critial RPM</vt:lpstr>
      <vt:lpstr>ECD Calculation</vt:lpstr>
      <vt:lpstr>Annular Pressure Loss</vt:lpstr>
      <vt:lpstr>Angle Averaing Method</vt:lpstr>
      <vt:lpstr>Radius of Curvature Method</vt:lpstr>
      <vt:lpstr>Balanced Tangential Method</vt:lpstr>
      <vt:lpstr>Minimum Curvature Method</vt:lpstr>
      <vt:lpstr>Tangential Method</vt:lpstr>
      <vt:lpstr>Dogleg Radius C</vt:lpstr>
      <vt:lpstr>Dogleg Tangent</vt:lpstr>
      <vt:lpstr>Pressure and force</vt:lpstr>
      <vt:lpstr>LOT</vt:lpstr>
      <vt:lpstr>FIT</vt:lpstr>
      <vt:lpstr>ECD</vt:lpstr>
      <vt:lpstr>Specific Gravity (SG)</vt:lpstr>
      <vt:lpstr>Pressure to MW</vt:lpstr>
      <vt:lpstr>Slug Calculation</vt:lpstr>
      <vt:lpstr>Hydrostatic Pressure (HP)</vt:lpstr>
      <vt:lpstr>Annular Velocity (AV)</vt:lpstr>
      <vt:lpstr>Pump Out</vt:lpstr>
      <vt:lpstr>Bouyancy Factor</vt:lpstr>
      <vt:lpstr>Amount of cutting drilled</vt:lpstr>
      <vt:lpstr>Pressure Gradient</vt:lpstr>
      <vt:lpstr>Temp Convert</vt:lpstr>
      <vt:lpstr>Accumulator pressure</vt:lpstr>
      <vt:lpstr>Bulk Density Calculation</vt:lpstr>
      <vt:lpstr>ft pulled to lose HP</vt:lpstr>
      <vt:lpstr>HP decrease w POOH</vt:lpstr>
      <vt:lpstr>Depth of Washout</vt:lpstr>
      <vt:lpstr>'Index Page'!Print_Area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2011-03-25T17:43:34Z</cp:lastPrinted>
  <dcterms:created xsi:type="dcterms:W3CDTF">2007-08-03T20:22:15Z</dcterms:created>
  <dcterms:modified xsi:type="dcterms:W3CDTF">2016-04-29T05:10:55Z</dcterms:modified>
</cp:coreProperties>
</file>