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psybergate-my.sharepoint.com/personal/chris_psybergate_onmicrosoft_com/Documents/psy_mentoring_delivery/vac_work/202207/$share_vac_work_202207/$course_handouts/master/topics/project/"/>
    </mc:Choice>
  </mc:AlternateContent>
  <xr:revisionPtr revIDLastSave="8" documentId="13_ncr:1_{A6A2A1F8-DDEF-49ED-B8E2-EECCF8CE9AC3}" xr6:coauthVersionLast="47" xr6:coauthVersionMax="47" xr10:uidLastSave="{C72A5738-F3BE-4767-A5BC-DE71BB0841D9}"/>
  <bookViews>
    <workbookView xWindow="-108" yWindow="-108" windowWidth="23256" windowHeight="12456" xr2:uid="{00000000-000D-0000-FFFF-FFFF00000000}"/>
  </bookViews>
  <sheets>
    <sheet name="Sheet1" sheetId="1" r:id="rId1"/>
    <sheet name="CGT 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" i="1" l="1"/>
  <c r="J55" i="1"/>
  <c r="J54" i="1"/>
  <c r="J53" i="1"/>
  <c r="P49" i="1"/>
  <c r="D28" i="1"/>
  <c r="F31" i="2"/>
  <c r="E57" i="1" l="1"/>
  <c r="D57" i="1"/>
  <c r="C57" i="1"/>
  <c r="C55" i="1"/>
  <c r="C53" i="1"/>
  <c r="C51" i="1"/>
  <c r="C49" i="1"/>
  <c r="G33" i="1"/>
  <c r="G34" i="1" l="1"/>
  <c r="G26" i="1"/>
  <c r="D22" i="1"/>
  <c r="G20" i="1"/>
  <c r="G18" i="1"/>
  <c r="G16" i="1" l="1"/>
  <c r="G17" i="1"/>
  <c r="I23" i="1" l="1"/>
  <c r="E25" i="1"/>
  <c r="G25" i="1" s="1"/>
  <c r="G28" i="1" s="1"/>
  <c r="K40" i="1"/>
  <c r="K41" i="1"/>
  <c r="K42" i="1"/>
  <c r="K43" i="1"/>
  <c r="K44" i="1"/>
  <c r="K45" i="1"/>
  <c r="E20" i="2"/>
  <c r="E22" i="2" s="1"/>
  <c r="F27" i="2" s="1"/>
  <c r="E8" i="2"/>
  <c r="E9" i="2" s="1"/>
  <c r="E12" i="2" l="1"/>
  <c r="E13" i="2" s="1"/>
  <c r="F26" i="2" s="1"/>
  <c r="F29" i="2" s="1"/>
  <c r="G22" i="1"/>
  <c r="G30" i="1" s="1"/>
  <c r="O38" i="1" l="1"/>
  <c r="N39" i="1" l="1"/>
  <c r="P39" i="1" s="1"/>
  <c r="O39" i="1" l="1"/>
  <c r="N40" i="1" s="1"/>
  <c r="P40" i="1" s="1"/>
  <c r="O40" i="1" l="1"/>
  <c r="N41" i="1" s="1"/>
  <c r="P41" i="1" s="1"/>
  <c r="O41" i="1" l="1"/>
  <c r="N42" i="1" s="1"/>
  <c r="P42" i="1" l="1"/>
  <c r="O42" i="1"/>
  <c r="N43" i="1" l="1"/>
  <c r="P43" i="1" l="1"/>
  <c r="O43" i="1"/>
  <c r="N44" i="1" s="1"/>
  <c r="P44" i="1" s="1"/>
  <c r="O44" i="1" l="1"/>
  <c r="N45" i="1" l="1"/>
  <c r="P45" i="1" l="1"/>
  <c r="P47" i="1" s="1"/>
  <c r="P50" i="1" s="1"/>
  <c r="N46" i="1"/>
  <c r="O46" i="1" s="1"/>
  <c r="O45" i="1"/>
  <c r="G32" i="1" l="1"/>
  <c r="G36" i="1" s="1"/>
  <c r="P53" i="1" l="1"/>
  <c r="P51" i="1"/>
  <c r="G39" i="1"/>
</calcChain>
</file>

<file path=xl/sharedStrings.xml><?xml version="1.0" encoding="utf-8"?>
<sst xmlns="http://schemas.openxmlformats.org/spreadsheetml/2006/main" count="139" uniqueCount="102">
  <si>
    <t>Salary</t>
  </si>
  <si>
    <t>Income</t>
  </si>
  <si>
    <t>Interest Received</t>
  </si>
  <si>
    <t>Comments</t>
  </si>
  <si>
    <t>Exemption</t>
  </si>
  <si>
    <t>Income Items</t>
  </si>
  <si>
    <t>Bonuses</t>
  </si>
  <si>
    <t>Dividends</t>
  </si>
  <si>
    <t>All dividends are typically taxed at 20% at source</t>
  </si>
  <si>
    <t>Capital Gain</t>
  </si>
  <si>
    <t>Purchase of Property</t>
  </si>
  <si>
    <t>Assume was bought after Oct 2001 - that was when CGT was introduced - you are NOT exempt if you bought before Oct 2001</t>
  </si>
  <si>
    <t>Capital expenditure on property</t>
  </si>
  <si>
    <t>Painting / Built a patio / retiled</t>
  </si>
  <si>
    <t>Sold Property</t>
  </si>
  <si>
    <t>Base Cost of Property</t>
  </si>
  <si>
    <t>CGT Exemption</t>
  </si>
  <si>
    <t>UT Investment</t>
  </si>
  <si>
    <t>Amount invested</t>
  </si>
  <si>
    <t>Sold Price</t>
  </si>
  <si>
    <t>Total exemption even if you sold 10 investments - this is NOT per investment</t>
  </si>
  <si>
    <t>Total Income</t>
  </si>
  <si>
    <t>Tax Year:</t>
  </si>
  <si>
    <t>Retirement Funding</t>
  </si>
  <si>
    <t>Tax Deductable</t>
  </si>
  <si>
    <t>Travel allowance</t>
  </si>
  <si>
    <t>Total Expenses</t>
  </si>
  <si>
    <t>Now, we apply the tax tables</t>
  </si>
  <si>
    <t xml:space="preserve"> </t>
  </si>
  <si>
    <t>TAX TABLES ENDING:</t>
  </si>
  <si>
    <t>Low</t>
  </si>
  <si>
    <t>High</t>
  </si>
  <si>
    <t>Percentage</t>
  </si>
  <si>
    <t>Taxable Income</t>
  </si>
  <si>
    <t>Tax Payable</t>
  </si>
  <si>
    <t>Less Primary Rebate</t>
  </si>
  <si>
    <t>Tax payable</t>
  </si>
  <si>
    <t>Less:</t>
  </si>
  <si>
    <t>Medical Credits</t>
  </si>
  <si>
    <t>Final Tax Payable:</t>
  </si>
  <si>
    <t>Inclusion Rate</t>
  </si>
  <si>
    <t>40% of the Gain goes towards your capital gain</t>
  </si>
  <si>
    <t>CostToCompany</t>
  </si>
  <si>
    <t>Total interest received  - documents are received (IT3Bs)</t>
  </si>
  <si>
    <t>Incl Rate</t>
  </si>
  <si>
    <t>Total Capital Gains</t>
  </si>
  <si>
    <t>Sold 2 investment properties and 3 unit trusts and 10 shares</t>
  </si>
  <si>
    <t>10 years later (nett of all fees)</t>
  </si>
  <si>
    <t>Expense Items</t>
  </si>
  <si>
    <t>Expense</t>
  </si>
  <si>
    <t>Up to a maximum of 27.5% of your salary (technically it is your non-pensionable salary) up to a maximum of R350,000</t>
  </si>
  <si>
    <t>Primary Rebate</t>
  </si>
  <si>
    <t>Nett Tax Payable</t>
  </si>
  <si>
    <t>STOP HERE FOR THE SYSTEM</t>
  </si>
  <si>
    <t xml:space="preserve">Less: </t>
  </si>
  <si>
    <t>Tax already paid (as per IRP5)</t>
  </si>
  <si>
    <t>Basic high level formula:</t>
  </si>
  <si>
    <t>Equals:</t>
  </si>
  <si>
    <t>Other credits (only Medical Credits)</t>
  </si>
  <si>
    <t>Apply:</t>
  </si>
  <si>
    <t>Final Tax Payable to SARS</t>
  </si>
  <si>
    <t>All Income (taxable)</t>
  </si>
  <si>
    <t>All Expenses (taxable)</t>
  </si>
  <si>
    <t>Tax tables to Final Taxable Income</t>
  </si>
  <si>
    <t>Rebates (only Primary Rebate for people under 65)</t>
  </si>
  <si>
    <t>IRP5 (Psybergate produces this doc)</t>
  </si>
  <si>
    <t>Average Tax Rate:</t>
  </si>
  <si>
    <t>Todos</t>
  </si>
  <si>
    <t>For the year ending 202102 (Feb 2021)</t>
  </si>
  <si>
    <t>Tax returns from 1 July 2021 (you have until 23 Nov 2021)</t>
  </si>
  <si>
    <t>Need to be registered for tax (you have tax reference num)</t>
  </si>
  <si>
    <t>Fill in via SARS Efiling</t>
  </si>
  <si>
    <t>You can use TaxTim as well (pretty good)</t>
  </si>
  <si>
    <t>There is some rule if you only have 1 income (and you don't earn above a certain amount)</t>
  </si>
  <si>
    <t>Tax Payable (before Credits)</t>
  </si>
  <si>
    <t>Tax Payable (Annual)</t>
  </si>
  <si>
    <t>Tax Payable (Monthly)</t>
  </si>
  <si>
    <t>NETT TAXABLE INCOME (TOTAL)</t>
  </si>
  <si>
    <t>According to Tax Tables</t>
  </si>
  <si>
    <t>Company Profit</t>
  </si>
  <si>
    <t>Tax:</t>
  </si>
  <si>
    <t>PFAT</t>
  </si>
  <si>
    <t>In the company's bank account</t>
  </si>
  <si>
    <t>To Shareholders</t>
  </si>
  <si>
    <t>Total Tax:</t>
  </si>
  <si>
    <t>Tax Calcs</t>
  </si>
  <si>
    <t>Investment Property</t>
  </si>
  <si>
    <t>If primary residence</t>
  </si>
  <si>
    <t>Summarise:</t>
  </si>
  <si>
    <t>Capital Gain - Investment Property</t>
  </si>
  <si>
    <t>Capital Gain  -UT</t>
  </si>
  <si>
    <t>Assuming marginal tax rate</t>
  </si>
  <si>
    <t>for all other investments</t>
  </si>
  <si>
    <t>if primary residence</t>
  </si>
  <si>
    <t>Total Taxable Income (CGT purposes)</t>
  </si>
  <si>
    <t>tax payable</t>
  </si>
  <si>
    <t xml:space="preserve">Look this one up </t>
  </si>
  <si>
    <t>Read up on this</t>
  </si>
  <si>
    <t>Max Allowed</t>
  </si>
  <si>
    <t>Less Medical Credits</t>
  </si>
  <si>
    <t xml:space="preserve">Note : </t>
  </si>
  <si>
    <t>THIS IS NOT FOR THE SYSTEM - RATHER FOR YOUR TAX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</si>
</sst>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 &quot;R&quot;\ * #,##0.00_ ;_ &quot;R&quot;\ * \-#,##0.00_ ;_ &quot;R&quot;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1" fillId="0" borderId="0" xfId="0" applyFont="1"/>
    <xf numFmtId="9" fontId="0" fillId="0" borderId="0" xfId="0" applyNumberFormat="1"/>
    <xf numFmtId="17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3" fontId="0" fillId="0" borderId="0" xfId="0" applyNumberFormat="1"/>
    <xf numFmtId="3" fontId="1" fillId="3" borderId="0" xfId="0" applyNumberFormat="1" applyFont="1" applyFill="1"/>
    <xf numFmtId="3" fontId="1" fillId="0" borderId="0" xfId="0" applyNumberFormat="1" applyFont="1"/>
    <xf numFmtId="3" fontId="1" fillId="4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0" fontId="0" fillId="5" borderId="0" xfId="0" applyFill="1"/>
    <xf numFmtId="3" fontId="0" fillId="5" borderId="0" xfId="0" applyNumberFormat="1" applyFill="1"/>
    <xf numFmtId="3" fontId="0" fillId="4" borderId="0" xfId="0" applyNumberFormat="1" applyFill="1"/>
    <xf numFmtId="10" fontId="1" fillId="0" borderId="0" xfId="1" applyNumberFormat="1" applyFont="1"/>
    <xf numFmtId="4" fontId="2" fillId="5" borderId="0" xfId="0" applyNumberFormat="1" applyFont="1" applyFill="1"/>
    <xf numFmtId="9" fontId="0" fillId="0" borderId="0" xfId="1" applyFont="1"/>
    <xf numFmtId="43" fontId="0" fillId="0" borderId="0" xfId="2" applyFont="1"/>
    <xf numFmtId="43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2" borderId="1" xfId="0" applyFill="1" applyBorder="1"/>
    <xf numFmtId="43" fontId="0" fillId="2" borderId="1" xfId="0" applyNumberFormat="1" applyFill="1" applyBorder="1" applyAlignment="1">
      <alignment horizontal="right"/>
    </xf>
    <xf numFmtId="0" fontId="2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/>
    <xf numFmtId="9" fontId="3" fillId="2" borderId="1" xfId="0" applyNumberFormat="1" applyFont="1" applyFill="1" applyBorder="1"/>
    <xf numFmtId="4" fontId="3" fillId="2" borderId="0" xfId="0" applyNumberFormat="1" applyFont="1" applyFill="1"/>
    <xf numFmtId="0" fontId="3" fillId="2" borderId="0" xfId="0" applyFont="1" applyFill="1"/>
    <xf numFmtId="4" fontId="2" fillId="2" borderId="0" xfId="0" applyNumberFormat="1" applyFont="1" applyFill="1"/>
    <xf numFmtId="17" fontId="2" fillId="2" borderId="1" xfId="0" quotePrefix="1" applyNumberFormat="1" applyFont="1" applyFill="1" applyBorder="1" applyAlignment="1">
      <alignment horizontal="right"/>
    </xf>
    <xf numFmtId="17" fontId="2" fillId="2" borderId="1" xfId="0" applyNumberFormat="1" applyFont="1" applyFill="1" applyBorder="1"/>
    <xf numFmtId="4" fontId="2" fillId="3" borderId="1" xfId="0" applyNumberFormat="1" applyFont="1" applyFill="1" applyBorder="1"/>
    <xf numFmtId="4" fontId="2" fillId="4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A34" workbookViewId="0">
      <selection activeCell="H53" sqref="H53:K57"/>
    </sheetView>
  </sheetViews>
  <sheetFormatPr defaultRowHeight="14.4" x14ac:dyDescent="0.3"/>
  <cols>
    <col min="2" max="2" width="20.33203125" customWidth="1"/>
    <col min="3" max="3" width="14.5546875" customWidth="1"/>
    <col min="4" max="4" width="9.88671875" bestFit="1" customWidth="1"/>
    <col min="7" max="7" width="14.21875" bestFit="1" customWidth="1"/>
    <col min="11" max="11" width="20.5546875" bestFit="1" customWidth="1"/>
    <col min="12" max="12" width="15" bestFit="1" customWidth="1"/>
    <col min="13" max="13" width="10.88671875" bestFit="1" customWidth="1"/>
    <col min="14" max="14" width="14.88671875" bestFit="1" customWidth="1"/>
    <col min="15" max="15" width="12.44140625" bestFit="1" customWidth="1"/>
    <col min="16" max="16" width="12.6640625" customWidth="1"/>
  </cols>
  <sheetData>
    <row r="1" spans="1:15" x14ac:dyDescent="0.3">
      <c r="A1" s="4" t="s">
        <v>22</v>
      </c>
      <c r="B1" s="6">
        <v>44256</v>
      </c>
      <c r="C1" s="6">
        <v>44593</v>
      </c>
    </row>
    <row r="2" spans="1:15" x14ac:dyDescent="0.3">
      <c r="A2" s="4"/>
      <c r="B2" s="6"/>
      <c r="C2" s="6"/>
      <c r="I2" s="4" t="s">
        <v>68</v>
      </c>
    </row>
    <row r="3" spans="1:15" x14ac:dyDescent="0.3">
      <c r="A3" s="4"/>
      <c r="B3" s="6" t="s">
        <v>56</v>
      </c>
      <c r="C3" s="6"/>
      <c r="D3" t="s">
        <v>61</v>
      </c>
      <c r="I3" s="4" t="s">
        <v>67</v>
      </c>
    </row>
    <row r="4" spans="1:15" x14ac:dyDescent="0.3">
      <c r="A4" s="4"/>
      <c r="B4" s="6"/>
      <c r="C4" s="6" t="s">
        <v>37</v>
      </c>
      <c r="D4" t="s">
        <v>62</v>
      </c>
      <c r="I4">
        <v>1</v>
      </c>
      <c r="J4" t="s">
        <v>69</v>
      </c>
    </row>
    <row r="5" spans="1:15" x14ac:dyDescent="0.3">
      <c r="A5" s="4"/>
      <c r="B5" s="6"/>
      <c r="C5" s="6"/>
      <c r="I5">
        <v>2</v>
      </c>
      <c r="J5" t="s">
        <v>70</v>
      </c>
    </row>
    <row r="6" spans="1:15" x14ac:dyDescent="0.3">
      <c r="A6" s="4"/>
      <c r="B6" s="6"/>
      <c r="C6" s="6" t="s">
        <v>57</v>
      </c>
      <c r="D6" t="s">
        <v>33</v>
      </c>
      <c r="I6">
        <v>3</v>
      </c>
      <c r="J6" t="s">
        <v>71</v>
      </c>
    </row>
    <row r="7" spans="1:15" x14ac:dyDescent="0.3">
      <c r="A7" s="4"/>
      <c r="B7" s="6"/>
      <c r="C7" s="6" t="s">
        <v>59</v>
      </c>
      <c r="D7" t="s">
        <v>63</v>
      </c>
      <c r="I7">
        <v>4</v>
      </c>
      <c r="J7" s="4" t="s">
        <v>72</v>
      </c>
      <c r="K7" s="4"/>
      <c r="L7" s="4"/>
    </row>
    <row r="8" spans="1:15" x14ac:dyDescent="0.3">
      <c r="A8" s="4"/>
      <c r="B8" s="6"/>
      <c r="C8" s="6" t="s">
        <v>57</v>
      </c>
      <c r="D8" t="s">
        <v>74</v>
      </c>
      <c r="I8">
        <v>5</v>
      </c>
      <c r="J8" t="s">
        <v>73</v>
      </c>
    </row>
    <row r="9" spans="1:15" x14ac:dyDescent="0.3">
      <c r="A9" s="4"/>
      <c r="B9" s="6"/>
      <c r="C9" s="6"/>
    </row>
    <row r="10" spans="1:15" x14ac:dyDescent="0.3">
      <c r="A10" s="4"/>
      <c r="B10" s="6"/>
      <c r="C10" s="6" t="s">
        <v>37</v>
      </c>
      <c r="D10" t="s">
        <v>64</v>
      </c>
    </row>
    <row r="11" spans="1:15" x14ac:dyDescent="0.3">
      <c r="A11" s="4"/>
      <c r="B11" s="6"/>
      <c r="C11" s="6" t="s">
        <v>37</v>
      </c>
      <c r="D11" t="s">
        <v>58</v>
      </c>
    </row>
    <row r="12" spans="1:15" x14ac:dyDescent="0.3">
      <c r="A12" s="4"/>
      <c r="B12" s="6"/>
      <c r="C12" s="6"/>
      <c r="O12" s="22"/>
    </row>
    <row r="13" spans="1:15" x14ac:dyDescent="0.3">
      <c r="A13" s="4"/>
      <c r="B13" s="6"/>
      <c r="C13" s="6" t="s">
        <v>57</v>
      </c>
      <c r="D13" s="15" t="s">
        <v>60</v>
      </c>
      <c r="E13" s="15"/>
      <c r="F13" s="15"/>
      <c r="G13" t="s">
        <v>28</v>
      </c>
      <c r="H13" t="s">
        <v>28</v>
      </c>
      <c r="I13" t="s">
        <v>28</v>
      </c>
    </row>
    <row r="15" spans="1:15" x14ac:dyDescent="0.3">
      <c r="B15" s="7" t="s">
        <v>5</v>
      </c>
      <c r="C15" s="7"/>
      <c r="D15" s="15" t="s">
        <v>1</v>
      </c>
      <c r="E15" s="7" t="s">
        <v>4</v>
      </c>
      <c r="F15" s="7" t="s">
        <v>44</v>
      </c>
      <c r="G15" s="10" t="s">
        <v>33</v>
      </c>
      <c r="H15" s="7" t="s">
        <v>3</v>
      </c>
    </row>
    <row r="16" spans="1:15" x14ac:dyDescent="0.3">
      <c r="B16" t="s">
        <v>0</v>
      </c>
      <c r="C16" t="s">
        <v>42</v>
      </c>
      <c r="D16" s="18">
        <v>600000</v>
      </c>
      <c r="E16" s="11"/>
      <c r="G16" s="19">
        <f>D16</f>
        <v>600000</v>
      </c>
      <c r="H16" t="s">
        <v>65</v>
      </c>
    </row>
    <row r="17" spans="2:15" x14ac:dyDescent="0.3">
      <c r="B17" t="s">
        <v>6</v>
      </c>
      <c r="D17" s="18">
        <v>25000</v>
      </c>
      <c r="E17" s="11"/>
      <c r="G17" s="19">
        <f>D17</f>
        <v>25000</v>
      </c>
      <c r="H17" t="s">
        <v>65</v>
      </c>
    </row>
    <row r="18" spans="2:15" x14ac:dyDescent="0.3">
      <c r="B18" t="s">
        <v>2</v>
      </c>
      <c r="D18" s="18">
        <v>45312</v>
      </c>
      <c r="E18" s="11">
        <v>23800</v>
      </c>
      <c r="G18" s="19">
        <f>IF(D18-E18 &lt; 0, 0, D18-E18)</f>
        <v>21512</v>
      </c>
      <c r="H18" t="s">
        <v>43</v>
      </c>
    </row>
    <row r="19" spans="2:15" x14ac:dyDescent="0.3">
      <c r="B19" t="s">
        <v>7</v>
      </c>
      <c r="D19" s="18">
        <v>15381</v>
      </c>
      <c r="E19" s="11"/>
      <c r="G19" s="19">
        <v>0</v>
      </c>
      <c r="H19" t="s">
        <v>8</v>
      </c>
    </row>
    <row r="20" spans="2:15" x14ac:dyDescent="0.3">
      <c r="B20" t="s">
        <v>45</v>
      </c>
      <c r="C20" t="s">
        <v>9</v>
      </c>
      <c r="D20" s="18">
        <v>800000</v>
      </c>
      <c r="E20" s="11">
        <v>40000</v>
      </c>
      <c r="F20" s="5">
        <v>0.4</v>
      </c>
      <c r="G20" s="19">
        <f>IF(D20&lt;E20,0,(D20-E20)*F20)</f>
        <v>304000</v>
      </c>
      <c r="H20" t="s">
        <v>46</v>
      </c>
    </row>
    <row r="21" spans="2:15" x14ac:dyDescent="0.3">
      <c r="D21" s="18"/>
      <c r="E21" s="11"/>
      <c r="G21" s="19"/>
    </row>
    <row r="22" spans="2:15" x14ac:dyDescent="0.3">
      <c r="B22" s="4" t="s">
        <v>21</v>
      </c>
      <c r="D22" s="16">
        <f>SUM(D16:D21)</f>
        <v>1485693</v>
      </c>
      <c r="E22" s="11"/>
      <c r="G22" s="14">
        <f>SUM(G16:G21)</f>
        <v>950512</v>
      </c>
    </row>
    <row r="23" spans="2:15" x14ac:dyDescent="0.3">
      <c r="D23" s="18"/>
      <c r="G23" s="19"/>
      <c r="I23">
        <f>27.5%*G16</f>
        <v>165000</v>
      </c>
    </row>
    <row r="24" spans="2:15" x14ac:dyDescent="0.3">
      <c r="B24" s="8" t="s">
        <v>48</v>
      </c>
      <c r="C24" s="8"/>
      <c r="D24" s="12" t="s">
        <v>49</v>
      </c>
      <c r="E24" s="8" t="s">
        <v>98</v>
      </c>
      <c r="F24" s="8"/>
      <c r="G24" s="12" t="s">
        <v>24</v>
      </c>
      <c r="H24" s="8"/>
    </row>
    <row r="25" spans="2:15" x14ac:dyDescent="0.3">
      <c r="B25" t="s">
        <v>23</v>
      </c>
      <c r="D25" s="18">
        <v>162000</v>
      </c>
      <c r="E25" s="11">
        <f>IF(0.275*(G16+G17) &gt; 350000, 350000, 0.275*(G16+G17))</f>
        <v>171875</v>
      </c>
      <c r="G25" s="19">
        <f>IF(D25&lt;E25,D25,E25)</f>
        <v>162000</v>
      </c>
      <c r="H25" t="s">
        <v>50</v>
      </c>
    </row>
    <row r="26" spans="2:15" x14ac:dyDescent="0.3">
      <c r="B26" t="s">
        <v>25</v>
      </c>
      <c r="D26" s="18">
        <v>90000</v>
      </c>
      <c r="E26" s="11" t="s">
        <v>28</v>
      </c>
      <c r="G26" s="19">
        <f>IF(D26&lt;E26,D26,E26)</f>
        <v>90000</v>
      </c>
      <c r="H26" t="s">
        <v>96</v>
      </c>
    </row>
    <row r="27" spans="2:15" x14ac:dyDescent="0.3">
      <c r="D27" s="18"/>
      <c r="E27" s="11"/>
      <c r="G27" s="19"/>
    </row>
    <row r="28" spans="2:15" x14ac:dyDescent="0.3">
      <c r="B28" s="4" t="s">
        <v>26</v>
      </c>
      <c r="D28" s="16">
        <f>SUM(D25:D27)</f>
        <v>252000</v>
      </c>
      <c r="E28" s="11"/>
      <c r="G28" s="14">
        <f>SUM(G25:G27)</f>
        <v>252000</v>
      </c>
    </row>
    <row r="29" spans="2:15" x14ac:dyDescent="0.3">
      <c r="D29" s="11"/>
      <c r="E29" s="11"/>
      <c r="G29" s="11"/>
    </row>
    <row r="30" spans="2:15" x14ac:dyDescent="0.3">
      <c r="B30" s="4" t="s">
        <v>77</v>
      </c>
      <c r="D30" s="11"/>
      <c r="E30" s="11"/>
      <c r="G30" s="14">
        <f>G22-G28</f>
        <v>698512</v>
      </c>
      <c r="H30" s="4" t="s">
        <v>27</v>
      </c>
    </row>
    <row r="31" spans="2:15" x14ac:dyDescent="0.3">
      <c r="B31" s="4"/>
      <c r="D31" s="11"/>
      <c r="E31" s="11"/>
      <c r="G31" s="11"/>
    </row>
    <row r="32" spans="2:15" x14ac:dyDescent="0.3">
      <c r="B32" s="4" t="s">
        <v>36</v>
      </c>
      <c r="C32" s="4" t="s">
        <v>78</v>
      </c>
      <c r="D32" s="13"/>
      <c r="E32" s="13"/>
      <c r="F32" s="4"/>
      <c r="G32" s="13">
        <f>P47</f>
        <v>196450.92</v>
      </c>
      <c r="L32" t="s">
        <v>28</v>
      </c>
      <c r="M32" t="s">
        <v>28</v>
      </c>
      <c r="O32" t="s">
        <v>28</v>
      </c>
    </row>
    <row r="33" spans="2:17" x14ac:dyDescent="0.3">
      <c r="B33" s="4" t="s">
        <v>37</v>
      </c>
      <c r="C33" t="s">
        <v>38</v>
      </c>
      <c r="D33" s="11">
        <v>12000</v>
      </c>
      <c r="E33" t="s">
        <v>28</v>
      </c>
      <c r="G33" s="11">
        <f>IF(D33&lt;E33,D33,E33)</f>
        <v>12000</v>
      </c>
      <c r="H33" t="s">
        <v>97</v>
      </c>
    </row>
    <row r="34" spans="2:17" x14ac:dyDescent="0.3">
      <c r="B34" s="4" t="s">
        <v>37</v>
      </c>
      <c r="C34" t="s">
        <v>51</v>
      </c>
      <c r="D34" s="11"/>
      <c r="G34" s="11">
        <f>P48</f>
        <v>15714</v>
      </c>
      <c r="O34" t="s">
        <v>28</v>
      </c>
    </row>
    <row r="35" spans="2:17" x14ac:dyDescent="0.3">
      <c r="D35" s="11"/>
      <c r="G35" s="11"/>
      <c r="K35" s="27"/>
      <c r="L35" s="27"/>
      <c r="M35" s="28"/>
      <c r="N35" s="27"/>
      <c r="O35" s="27" t="s">
        <v>28</v>
      </c>
      <c r="P35" s="27"/>
      <c r="Q35" s="1" t="s">
        <v>28</v>
      </c>
    </row>
    <row r="36" spans="2:17" x14ac:dyDescent="0.3">
      <c r="B36" s="15" t="s">
        <v>52</v>
      </c>
      <c r="C36" s="15"/>
      <c r="D36" s="16"/>
      <c r="E36" s="15"/>
      <c r="F36" s="15"/>
      <c r="G36" s="16">
        <f>G32-G33-G34</f>
        <v>168736.92</v>
      </c>
      <c r="H36" s="15" t="s">
        <v>53</v>
      </c>
      <c r="I36" s="17"/>
      <c r="J36" s="17"/>
      <c r="K36" s="29" t="s">
        <v>29</v>
      </c>
      <c r="L36" s="40">
        <v>44256</v>
      </c>
      <c r="M36" s="39">
        <v>44593</v>
      </c>
      <c r="N36" s="30"/>
      <c r="O36" s="31" t="s">
        <v>28</v>
      </c>
      <c r="P36" s="30"/>
      <c r="Q36" s="2"/>
    </row>
    <row r="37" spans="2:17" x14ac:dyDescent="0.3">
      <c r="B37" s="4" t="s">
        <v>54</v>
      </c>
      <c r="C37" t="s">
        <v>55</v>
      </c>
      <c r="D37" s="11"/>
      <c r="G37" s="13">
        <v>191000</v>
      </c>
      <c r="H37" t="s">
        <v>28</v>
      </c>
      <c r="K37" s="30"/>
      <c r="L37" s="30"/>
      <c r="M37" s="30"/>
      <c r="N37" s="30"/>
      <c r="O37" s="29" t="s">
        <v>28</v>
      </c>
      <c r="P37" s="30"/>
      <c r="Q37" s="2"/>
    </row>
    <row r="38" spans="2:17" x14ac:dyDescent="0.3">
      <c r="D38" s="11"/>
      <c r="G38" s="11"/>
      <c r="K38" s="32" t="s">
        <v>30</v>
      </c>
      <c r="L38" s="32" t="s">
        <v>31</v>
      </c>
      <c r="M38" s="32" t="s">
        <v>32</v>
      </c>
      <c r="N38" s="42" t="s">
        <v>33</v>
      </c>
      <c r="O38" s="43">
        <f>G30</f>
        <v>698512</v>
      </c>
      <c r="P38" s="33" t="s">
        <v>34</v>
      </c>
      <c r="Q38" s="2"/>
    </row>
    <row r="39" spans="2:17" x14ac:dyDescent="0.3">
      <c r="B39" s="10" t="s">
        <v>39</v>
      </c>
      <c r="C39" s="9"/>
      <c r="D39" s="14"/>
      <c r="E39" s="9"/>
      <c r="F39" s="9"/>
      <c r="G39" s="14">
        <f>G36-G37</f>
        <v>-22263.079999999987</v>
      </c>
      <c r="H39" s="9"/>
      <c r="K39" s="34">
        <v>0</v>
      </c>
      <c r="L39" s="34">
        <v>216200</v>
      </c>
      <c r="M39" s="35">
        <v>0.18</v>
      </c>
      <c r="N39" s="34">
        <f t="shared" ref="N39:N45" si="0">IF(O38&lt;=(L39-K39),O38,L39-K39)</f>
        <v>216200</v>
      </c>
      <c r="O39" s="34">
        <f t="shared" ref="O39:O44" si="1">O38-N39</f>
        <v>482312</v>
      </c>
      <c r="P39" s="34">
        <f t="shared" ref="P39:P44" si="2">M39*N39</f>
        <v>38916</v>
      </c>
      <c r="Q39" s="2"/>
    </row>
    <row r="40" spans="2:17" x14ac:dyDescent="0.3">
      <c r="K40" s="34">
        <f t="shared" ref="K40:K45" si="3">L39+1</f>
        <v>216201</v>
      </c>
      <c r="L40" s="34">
        <v>337800</v>
      </c>
      <c r="M40" s="35">
        <v>0.26</v>
      </c>
      <c r="N40" s="34">
        <f t="shared" si="0"/>
        <v>121599</v>
      </c>
      <c r="O40" s="34">
        <f t="shared" si="1"/>
        <v>360713</v>
      </c>
      <c r="P40" s="34">
        <f t="shared" si="2"/>
        <v>31615.74</v>
      </c>
      <c r="Q40" s="2"/>
    </row>
    <row r="41" spans="2:17" x14ac:dyDescent="0.3">
      <c r="K41" s="34">
        <f t="shared" si="3"/>
        <v>337801</v>
      </c>
      <c r="L41" s="34">
        <v>467500</v>
      </c>
      <c r="M41" s="35">
        <v>0.31</v>
      </c>
      <c r="N41" s="34">
        <f t="shared" si="0"/>
        <v>129699</v>
      </c>
      <c r="O41" s="34">
        <f t="shared" si="1"/>
        <v>231014</v>
      </c>
      <c r="P41" s="34">
        <f t="shared" si="2"/>
        <v>40206.69</v>
      </c>
      <c r="Q41" s="2"/>
    </row>
    <row r="42" spans="2:17" x14ac:dyDescent="0.3">
      <c r="K42" s="34">
        <f t="shared" si="3"/>
        <v>467501</v>
      </c>
      <c r="L42" s="34">
        <v>613600</v>
      </c>
      <c r="M42" s="35">
        <v>0.36</v>
      </c>
      <c r="N42" s="34">
        <f t="shared" si="0"/>
        <v>146099</v>
      </c>
      <c r="O42" s="34">
        <f t="shared" si="1"/>
        <v>84915</v>
      </c>
      <c r="P42" s="34">
        <f t="shared" si="2"/>
        <v>52595.64</v>
      </c>
      <c r="Q42" s="2"/>
    </row>
    <row r="43" spans="2:17" x14ac:dyDescent="0.3">
      <c r="K43" s="34">
        <f t="shared" si="3"/>
        <v>613601</v>
      </c>
      <c r="L43" s="34">
        <v>782200</v>
      </c>
      <c r="M43" s="35">
        <v>0.39</v>
      </c>
      <c r="N43" s="34">
        <f t="shared" si="0"/>
        <v>84915</v>
      </c>
      <c r="O43" s="34">
        <f t="shared" si="1"/>
        <v>0</v>
      </c>
      <c r="P43" s="34">
        <f t="shared" si="2"/>
        <v>33116.85</v>
      </c>
      <c r="Q43" s="2"/>
    </row>
    <row r="44" spans="2:17" x14ac:dyDescent="0.3">
      <c r="K44" s="34">
        <f t="shared" si="3"/>
        <v>782201</v>
      </c>
      <c r="L44" s="34">
        <v>1656600</v>
      </c>
      <c r="M44" s="35">
        <v>0.41</v>
      </c>
      <c r="N44" s="34">
        <f t="shared" si="0"/>
        <v>0</v>
      </c>
      <c r="O44" s="34">
        <f t="shared" si="1"/>
        <v>0</v>
      </c>
      <c r="P44" s="34">
        <f t="shared" si="2"/>
        <v>0</v>
      </c>
      <c r="Q44" s="2"/>
    </row>
    <row r="45" spans="2:17" x14ac:dyDescent="0.3">
      <c r="K45" s="34">
        <f t="shared" si="3"/>
        <v>1656601</v>
      </c>
      <c r="L45" s="34">
        <v>1000000000</v>
      </c>
      <c r="M45" s="35">
        <v>0.45</v>
      </c>
      <c r="N45" s="34">
        <f t="shared" si="0"/>
        <v>0</v>
      </c>
      <c r="O45" s="34">
        <f>O44-N45</f>
        <v>0</v>
      </c>
      <c r="P45" s="34">
        <f>M45*N45</f>
        <v>0</v>
      </c>
      <c r="Q45" s="2"/>
    </row>
    <row r="46" spans="2:17" x14ac:dyDescent="0.3">
      <c r="K46" s="34"/>
      <c r="L46" s="34"/>
      <c r="M46" s="30"/>
      <c r="N46" s="43">
        <f>SUM(N39:N45)</f>
        <v>698512</v>
      </c>
      <c r="O46" s="41">
        <f>N46-O38</f>
        <v>0</v>
      </c>
      <c r="P46" s="34"/>
      <c r="Q46" s="2"/>
    </row>
    <row r="47" spans="2:17" x14ac:dyDescent="0.3">
      <c r="K47" s="36" t="s">
        <v>28</v>
      </c>
      <c r="L47" s="36" t="s">
        <v>28</v>
      </c>
      <c r="M47" s="37"/>
      <c r="N47" s="36"/>
      <c r="O47" s="36"/>
      <c r="P47" s="38">
        <f>SUM(P39:P46)</f>
        <v>196450.92</v>
      </c>
      <c r="Q47" s="2"/>
    </row>
    <row r="48" spans="2:17" x14ac:dyDescent="0.3">
      <c r="B48" t="s">
        <v>79</v>
      </c>
      <c r="C48" s="23">
        <v>10000000</v>
      </c>
      <c r="K48" s="37"/>
      <c r="L48" s="37"/>
      <c r="M48" s="37"/>
      <c r="N48" s="38" t="s">
        <v>35</v>
      </c>
      <c r="O48" s="38"/>
      <c r="P48" s="38">
        <v>15714</v>
      </c>
      <c r="Q48" s="2"/>
    </row>
    <row r="49" spans="2:17" x14ac:dyDescent="0.3">
      <c r="B49" t="s">
        <v>80</v>
      </c>
      <c r="C49" s="24">
        <f>D49*C48</f>
        <v>2800000.0000000005</v>
      </c>
      <c r="D49" s="5">
        <v>0.28000000000000003</v>
      </c>
      <c r="K49" s="2"/>
      <c r="L49" s="2"/>
      <c r="M49" s="2"/>
      <c r="N49" s="3" t="s">
        <v>99</v>
      </c>
      <c r="O49" s="3"/>
      <c r="P49" s="3">
        <f>G33</f>
        <v>12000</v>
      </c>
      <c r="Q49" s="2"/>
    </row>
    <row r="50" spans="2:17" x14ac:dyDescent="0.3">
      <c r="K50" s="2"/>
      <c r="L50" s="2" t="s">
        <v>28</v>
      </c>
      <c r="M50" s="2"/>
      <c r="N50" s="3" t="s">
        <v>75</v>
      </c>
      <c r="O50" s="3"/>
      <c r="P50" s="21">
        <f>P47-P48-P49</f>
        <v>168736.92</v>
      </c>
      <c r="Q50" s="2"/>
    </row>
    <row r="51" spans="2:17" x14ac:dyDescent="0.3">
      <c r="B51" t="s">
        <v>81</v>
      </c>
      <c r="C51" s="24">
        <f>C48-C49</f>
        <v>7200000</v>
      </c>
      <c r="D51" t="s">
        <v>82</v>
      </c>
      <c r="N51" t="s">
        <v>76</v>
      </c>
      <c r="P51" s="15">
        <f>ROUND(P50/12,2)</f>
        <v>14061.41</v>
      </c>
    </row>
    <row r="53" spans="2:17" x14ac:dyDescent="0.3">
      <c r="B53" t="s">
        <v>7</v>
      </c>
      <c r="C53" s="24">
        <f>D53*C51</f>
        <v>1440000</v>
      </c>
      <c r="D53" s="5">
        <v>0.2</v>
      </c>
      <c r="H53">
        <v>2</v>
      </c>
      <c r="I53">
        <v>332</v>
      </c>
      <c r="J53">
        <f>H53*I53</f>
        <v>664</v>
      </c>
      <c r="N53" s="4" t="s">
        <v>66</v>
      </c>
      <c r="O53" s="4"/>
      <c r="P53" s="20">
        <f>P50/O38</f>
        <v>0.24156624367226334</v>
      </c>
    </row>
    <row r="54" spans="2:17" x14ac:dyDescent="0.3">
      <c r="H54">
        <v>2</v>
      </c>
      <c r="I54">
        <v>224</v>
      </c>
      <c r="J54">
        <f>H54*I54</f>
        <v>448</v>
      </c>
    </row>
    <row r="55" spans="2:17" x14ac:dyDescent="0.3">
      <c r="B55" t="s">
        <v>83</v>
      </c>
      <c r="C55" s="24">
        <f>C51-C53</f>
        <v>5760000</v>
      </c>
      <c r="J55">
        <f>SUM(J53:J54)</f>
        <v>1112</v>
      </c>
    </row>
    <row r="56" spans="2:17" x14ac:dyDescent="0.3">
      <c r="J56">
        <f>J55*12</f>
        <v>13344</v>
      </c>
    </row>
    <row r="57" spans="2:17" x14ac:dyDescent="0.3">
      <c r="B57" t="s">
        <v>84</v>
      </c>
      <c r="C57" s="24">
        <f>C49+C53</f>
        <v>4240000</v>
      </c>
      <c r="D57" s="22">
        <f>C57/C48</f>
        <v>0.42399999999999999</v>
      </c>
      <c r="E57" s="25">
        <f>20%*72% + 28%</f>
        <v>0.42400000000000004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5973-0932-4B3C-8E48-8C2DCB55A52C}">
  <dimension ref="B1:J31"/>
  <sheetViews>
    <sheetView workbookViewId="0">
      <selection activeCell="E4" sqref="E4"/>
    </sheetView>
  </sheetViews>
  <sheetFormatPr defaultRowHeight="14.4" x14ac:dyDescent="0.3"/>
  <cols>
    <col min="5" max="5" width="9.44140625" bestFit="1" customWidth="1"/>
    <col min="6" max="6" width="13.44140625" bestFit="1" customWidth="1"/>
  </cols>
  <sheetData>
    <row r="1" spans="2:10" x14ac:dyDescent="0.3">
      <c r="B1" s="8" t="s">
        <v>100</v>
      </c>
      <c r="C1" s="8" t="s">
        <v>101</v>
      </c>
      <c r="D1" s="8"/>
      <c r="E1" s="8"/>
      <c r="F1" s="8"/>
      <c r="G1" s="8"/>
      <c r="H1" s="8"/>
    </row>
    <row r="2" spans="2:10" x14ac:dyDescent="0.3">
      <c r="B2" t="s">
        <v>86</v>
      </c>
    </row>
    <row r="3" spans="2:10" x14ac:dyDescent="0.3">
      <c r="B3" t="s">
        <v>10</v>
      </c>
      <c r="E3" s="11">
        <v>1000000</v>
      </c>
      <c r="F3" t="s">
        <v>11</v>
      </c>
    </row>
    <row r="4" spans="2:10" x14ac:dyDescent="0.3">
      <c r="B4" t="s">
        <v>12</v>
      </c>
      <c r="E4" s="11">
        <v>300000</v>
      </c>
      <c r="F4" t="s">
        <v>13</v>
      </c>
    </row>
    <row r="5" spans="2:10" x14ac:dyDescent="0.3">
      <c r="B5" t="s">
        <v>14</v>
      </c>
      <c r="E5" s="11">
        <v>5000000</v>
      </c>
      <c r="F5" t="s">
        <v>47</v>
      </c>
    </row>
    <row r="6" spans="2:10" x14ac:dyDescent="0.3">
      <c r="E6" s="11"/>
    </row>
    <row r="7" spans="2:10" x14ac:dyDescent="0.3">
      <c r="B7" s="15" t="s">
        <v>85</v>
      </c>
      <c r="C7" s="17"/>
      <c r="D7" s="17"/>
      <c r="E7" s="18"/>
      <c r="F7" s="17"/>
      <c r="G7" s="17"/>
      <c r="H7" s="17"/>
      <c r="I7" s="17"/>
      <c r="J7" s="17"/>
    </row>
    <row r="8" spans="2:10" x14ac:dyDescent="0.3">
      <c r="B8" t="s">
        <v>15</v>
      </c>
      <c r="E8" s="11">
        <f>E3+E4</f>
        <v>1300000</v>
      </c>
    </row>
    <row r="9" spans="2:10" x14ac:dyDescent="0.3">
      <c r="B9" t="s">
        <v>9</v>
      </c>
      <c r="E9" s="11">
        <f>E5-E8</f>
        <v>3700000</v>
      </c>
      <c r="F9" t="s">
        <v>28</v>
      </c>
      <c r="G9" s="11" t="s">
        <v>28</v>
      </c>
      <c r="H9" t="s">
        <v>28</v>
      </c>
      <c r="I9" t="s">
        <v>28</v>
      </c>
    </row>
    <row r="10" spans="2:10" x14ac:dyDescent="0.3">
      <c r="B10" t="s">
        <v>16</v>
      </c>
      <c r="E10" s="11">
        <v>-2000000</v>
      </c>
      <c r="F10" t="s">
        <v>87</v>
      </c>
      <c r="I10" s="5" t="s">
        <v>28</v>
      </c>
      <c r="J10" t="s">
        <v>28</v>
      </c>
    </row>
    <row r="11" spans="2:10" x14ac:dyDescent="0.3">
      <c r="E11" s="11"/>
    </row>
    <row r="12" spans="2:10" x14ac:dyDescent="0.3">
      <c r="B12" t="s">
        <v>9</v>
      </c>
      <c r="E12" s="11">
        <f>E9+E10</f>
        <v>1700000</v>
      </c>
    </row>
    <row r="13" spans="2:10" x14ac:dyDescent="0.3">
      <c r="B13" t="s">
        <v>40</v>
      </c>
      <c r="D13" s="5">
        <v>0.4</v>
      </c>
      <c r="E13" s="11">
        <f>D13*E12</f>
        <v>680000</v>
      </c>
      <c r="F13" t="s">
        <v>41</v>
      </c>
    </row>
    <row r="14" spans="2:10" x14ac:dyDescent="0.3">
      <c r="E14" s="11"/>
    </row>
    <row r="15" spans="2:10" x14ac:dyDescent="0.3">
      <c r="E15" s="11"/>
    </row>
    <row r="16" spans="2:10" x14ac:dyDescent="0.3">
      <c r="B16" t="s">
        <v>17</v>
      </c>
      <c r="E16" s="11"/>
    </row>
    <row r="17" spans="2:7" x14ac:dyDescent="0.3">
      <c r="B17" t="s">
        <v>18</v>
      </c>
      <c r="E17" s="11">
        <v>500000</v>
      </c>
    </row>
    <row r="18" spans="2:7" x14ac:dyDescent="0.3">
      <c r="B18" t="s">
        <v>19</v>
      </c>
      <c r="E18" s="11">
        <v>780000</v>
      </c>
    </row>
    <row r="19" spans="2:7" x14ac:dyDescent="0.3">
      <c r="E19" s="11"/>
    </row>
    <row r="20" spans="2:7" x14ac:dyDescent="0.3">
      <c r="B20" t="s">
        <v>9</v>
      </c>
      <c r="E20" s="11">
        <f>E18-E17</f>
        <v>280000</v>
      </c>
      <c r="F20" t="s">
        <v>92</v>
      </c>
    </row>
    <row r="21" spans="2:7" x14ac:dyDescent="0.3">
      <c r="B21" t="s">
        <v>16</v>
      </c>
      <c r="E21" s="11">
        <v>40000</v>
      </c>
      <c r="F21" t="s">
        <v>20</v>
      </c>
    </row>
    <row r="22" spans="2:7" x14ac:dyDescent="0.3">
      <c r="B22" t="s">
        <v>40</v>
      </c>
      <c r="D22" s="5">
        <v>0.4</v>
      </c>
      <c r="E22" s="11">
        <f>D22*(E20-E21)</f>
        <v>96000</v>
      </c>
    </row>
    <row r="23" spans="2:7" x14ac:dyDescent="0.3">
      <c r="E23" s="11"/>
    </row>
    <row r="25" spans="2:7" x14ac:dyDescent="0.3">
      <c r="B25" t="s">
        <v>88</v>
      </c>
    </row>
    <row r="26" spans="2:7" x14ac:dyDescent="0.3">
      <c r="B26" t="s">
        <v>89</v>
      </c>
      <c r="F26" s="26">
        <f>E13</f>
        <v>680000</v>
      </c>
      <c r="G26" t="s">
        <v>93</v>
      </c>
    </row>
    <row r="27" spans="2:7" x14ac:dyDescent="0.3">
      <c r="B27" t="s">
        <v>90</v>
      </c>
      <c r="F27" s="26">
        <f>E22</f>
        <v>96000</v>
      </c>
    </row>
    <row r="28" spans="2:7" x14ac:dyDescent="0.3">
      <c r="F28" s="26"/>
    </row>
    <row r="29" spans="2:7" x14ac:dyDescent="0.3">
      <c r="B29" t="s">
        <v>94</v>
      </c>
      <c r="F29" s="26">
        <f>F26+F27</f>
        <v>776000</v>
      </c>
    </row>
    <row r="31" spans="2:7" x14ac:dyDescent="0.3">
      <c r="B31" t="s">
        <v>91</v>
      </c>
      <c r="E31" s="5">
        <v>0.45</v>
      </c>
      <c r="F31" s="24">
        <f>E31*F29</f>
        <v>349200</v>
      </c>
      <c r="G31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CGT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Naidoo</dc:creator>
  <cp:lastModifiedBy>Chris Naidoo</cp:lastModifiedBy>
  <dcterms:created xsi:type="dcterms:W3CDTF">2015-06-05T18:17:20Z</dcterms:created>
  <dcterms:modified xsi:type="dcterms:W3CDTF">2022-07-06T10:10:49Z</dcterms:modified>
</cp:coreProperties>
</file>