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"/>
    </mc:Choice>
  </mc:AlternateContent>
  <xr:revisionPtr revIDLastSave="0" documentId="13_ncr:1_{FAE1F76A-E98E-4839-905B-2E42AFEF583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Telkom" sheetId="2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" l="1"/>
  <c r="H16" i="2" s="1"/>
  <c r="AH16" i="2" s="1"/>
  <c r="I16" i="2"/>
  <c r="G16" i="2" s="1"/>
  <c r="AF16" i="2" s="1"/>
  <c r="I2" i="2"/>
  <c r="H2" i="2"/>
  <c r="C17" i="2"/>
  <c r="AG16" i="2"/>
  <c r="AE16" i="2"/>
  <c r="P16" i="2"/>
  <c r="O16" i="2"/>
  <c r="N16" i="2"/>
  <c r="B16" i="2"/>
  <c r="AG15" i="2"/>
  <c r="AF15" i="2"/>
  <c r="AE15" i="2"/>
  <c r="P15" i="2"/>
  <c r="S15" i="2" s="1"/>
  <c r="O15" i="2"/>
  <c r="N15" i="2"/>
  <c r="M15" i="2"/>
  <c r="Q15" i="2" s="1"/>
  <c r="H15" i="2"/>
  <c r="AH15" i="2" s="1"/>
  <c r="G15" i="2"/>
  <c r="B15" i="2"/>
  <c r="AD15" i="2" s="1"/>
  <c r="AG14" i="2"/>
  <c r="AE14" i="2"/>
  <c r="P14" i="2"/>
  <c r="O14" i="2"/>
  <c r="N14" i="2"/>
  <c r="M14" i="2"/>
  <c r="Q14" i="2" s="1"/>
  <c r="H14" i="2"/>
  <c r="AH14" i="2" s="1"/>
  <c r="AD14" i="2" s="1"/>
  <c r="G14" i="2"/>
  <c r="AF14" i="2" s="1"/>
  <c r="B14" i="2"/>
  <c r="AG13" i="2"/>
  <c r="AE13" i="2"/>
  <c r="P13" i="2"/>
  <c r="O13" i="2"/>
  <c r="N13" i="2"/>
  <c r="M13" i="2"/>
  <c r="Q13" i="2" s="1"/>
  <c r="H13" i="2"/>
  <c r="AH13" i="2" s="1"/>
  <c r="G13" i="2"/>
  <c r="AF13" i="2" s="1"/>
  <c r="B13" i="2"/>
  <c r="AD13" i="2" s="1"/>
  <c r="AG12" i="2"/>
  <c r="AE12" i="2"/>
  <c r="P12" i="2"/>
  <c r="O12" i="2"/>
  <c r="N12" i="2"/>
  <c r="J12" i="2"/>
  <c r="I12" i="2"/>
  <c r="M12" i="2" s="1"/>
  <c r="Q12" i="2" s="1"/>
  <c r="H12" i="2"/>
  <c r="AH12" i="2" s="1"/>
  <c r="AD12" i="2" s="1"/>
  <c r="G12" i="2"/>
  <c r="AF12" i="2" s="1"/>
  <c r="B12" i="2"/>
  <c r="AG11" i="2"/>
  <c r="AE11" i="2"/>
  <c r="P11" i="2"/>
  <c r="O11" i="2"/>
  <c r="N11" i="2"/>
  <c r="M11" i="2"/>
  <c r="Q11" i="2" s="1"/>
  <c r="H11" i="2"/>
  <c r="AH11" i="2" s="1"/>
  <c r="G11" i="2"/>
  <c r="AF11" i="2" s="1"/>
  <c r="B11" i="2"/>
  <c r="AG10" i="2"/>
  <c r="AE10" i="2"/>
  <c r="Q10" i="2"/>
  <c r="T10" i="2" s="1"/>
  <c r="P10" i="2"/>
  <c r="O10" i="2"/>
  <c r="N10" i="2"/>
  <c r="M10" i="2"/>
  <c r="H10" i="2"/>
  <c r="AH10" i="2" s="1"/>
  <c r="G10" i="2"/>
  <c r="AF10" i="2" s="1"/>
  <c r="B10" i="2"/>
  <c r="AD10" i="2" s="1"/>
  <c r="AG9" i="2"/>
  <c r="AE9" i="2"/>
  <c r="Q9" i="2"/>
  <c r="P9" i="2"/>
  <c r="S9" i="2" s="1"/>
  <c r="O9" i="2"/>
  <c r="N9" i="2"/>
  <c r="M9" i="2"/>
  <c r="H9" i="2"/>
  <c r="AH9" i="2" s="1"/>
  <c r="G9" i="2"/>
  <c r="AF9" i="2" s="1"/>
  <c r="B9" i="2"/>
  <c r="AD9" i="2" s="1"/>
  <c r="J12" i="1"/>
  <c r="I12" i="1"/>
  <c r="M16" i="2" l="1"/>
  <c r="Q16" i="2" s="1"/>
  <c r="T16" i="2" s="1"/>
  <c r="AD16" i="2"/>
  <c r="V13" i="2"/>
  <c r="X13" i="2" s="1"/>
  <c r="T13" i="2"/>
  <c r="S13" i="2"/>
  <c r="R13" i="2"/>
  <c r="T15" i="2"/>
  <c r="V15" i="2"/>
  <c r="X15" i="2" s="1"/>
  <c r="T12" i="2"/>
  <c r="R12" i="2"/>
  <c r="V12" i="2"/>
  <c r="X12" i="2" s="1"/>
  <c r="S12" i="2"/>
  <c r="AD11" i="2"/>
  <c r="R14" i="2"/>
  <c r="V11" i="2"/>
  <c r="X11" i="2" s="1"/>
  <c r="R11" i="2"/>
  <c r="T11" i="2"/>
  <c r="S11" i="2"/>
  <c r="V14" i="2"/>
  <c r="X14" i="2" s="1"/>
  <c r="T14" i="2"/>
  <c r="W14" i="2"/>
  <c r="Z14" i="2" s="1"/>
  <c r="S14" i="2"/>
  <c r="R15" i="2"/>
  <c r="R9" i="2"/>
  <c r="V9" i="2"/>
  <c r="X9" i="2" s="1"/>
  <c r="R10" i="2"/>
  <c r="T9" i="2"/>
  <c r="V10" i="2"/>
  <c r="X10" i="2" s="1"/>
  <c r="S10" i="2"/>
  <c r="H9" i="1"/>
  <c r="C17" i="1"/>
  <c r="AG16" i="1"/>
  <c r="AE16" i="1"/>
  <c r="P16" i="1"/>
  <c r="O16" i="1"/>
  <c r="N16" i="1"/>
  <c r="Q16" i="1" s="1"/>
  <c r="M16" i="1"/>
  <c r="H16" i="1"/>
  <c r="AH16" i="1" s="1"/>
  <c r="G16" i="1"/>
  <c r="AF16" i="1" s="1"/>
  <c r="B16" i="1"/>
  <c r="AD16" i="1" s="1"/>
  <c r="AG15" i="1"/>
  <c r="AE15" i="1"/>
  <c r="P15" i="1"/>
  <c r="O15" i="1"/>
  <c r="N15" i="1"/>
  <c r="M15" i="1"/>
  <c r="Q15" i="1" s="1"/>
  <c r="H15" i="1"/>
  <c r="AH15" i="1" s="1"/>
  <c r="G15" i="1"/>
  <c r="AF15" i="1" s="1"/>
  <c r="B15" i="1"/>
  <c r="AG14" i="1"/>
  <c r="AE14" i="1"/>
  <c r="P14" i="1"/>
  <c r="O14" i="1"/>
  <c r="N14" i="1"/>
  <c r="Q14" i="1" s="1"/>
  <c r="R14" i="1" s="1"/>
  <c r="M14" i="1"/>
  <c r="H14" i="1"/>
  <c r="AH14" i="1" s="1"/>
  <c r="G14" i="1"/>
  <c r="AF14" i="1" s="1"/>
  <c r="B14" i="1"/>
  <c r="AG13" i="1"/>
  <c r="AE13" i="1"/>
  <c r="P13" i="1"/>
  <c r="O13" i="1"/>
  <c r="N13" i="1"/>
  <c r="M13" i="1"/>
  <c r="Q13" i="1" s="1"/>
  <c r="T13" i="1" s="1"/>
  <c r="H13" i="1"/>
  <c r="AH13" i="1" s="1"/>
  <c r="G13" i="1"/>
  <c r="AF13" i="1" s="1"/>
  <c r="B13" i="1"/>
  <c r="AG12" i="1"/>
  <c r="AE12" i="1"/>
  <c r="P12" i="1"/>
  <c r="O12" i="1"/>
  <c r="N12" i="1"/>
  <c r="Q12" i="1" s="1"/>
  <c r="M12" i="1"/>
  <c r="H12" i="1"/>
  <c r="AH12" i="1" s="1"/>
  <c r="G12" i="1"/>
  <c r="AF12" i="1" s="1"/>
  <c r="B12" i="1"/>
  <c r="AG11" i="1"/>
  <c r="AE11" i="1"/>
  <c r="P11" i="1"/>
  <c r="O11" i="1"/>
  <c r="N11" i="1"/>
  <c r="M11" i="1"/>
  <c r="Q11" i="1" s="1"/>
  <c r="S11" i="1" s="1"/>
  <c r="H11" i="1"/>
  <c r="AH11" i="1" s="1"/>
  <c r="G11" i="1"/>
  <c r="AF11" i="1" s="1"/>
  <c r="B11" i="1"/>
  <c r="AG10" i="1"/>
  <c r="AE10" i="1"/>
  <c r="P10" i="1"/>
  <c r="O10" i="1"/>
  <c r="N10" i="1"/>
  <c r="M10" i="1"/>
  <c r="H10" i="1"/>
  <c r="AH10" i="1" s="1"/>
  <c r="G10" i="1"/>
  <c r="AF10" i="1" s="1"/>
  <c r="B10" i="1"/>
  <c r="AD10" i="1" s="1"/>
  <c r="AH9" i="1"/>
  <c r="AG9" i="1"/>
  <c r="AF9" i="1"/>
  <c r="AE9" i="1"/>
  <c r="P9" i="1"/>
  <c r="O9" i="1"/>
  <c r="N9" i="1"/>
  <c r="M9" i="1"/>
  <c r="G9" i="1"/>
  <c r="B9" i="1"/>
  <c r="C4" i="1"/>
  <c r="R16" i="2" l="1"/>
  <c r="R17" i="2" s="1"/>
  <c r="Q3" i="2" s="1"/>
  <c r="R3" i="2" s="1"/>
  <c r="V16" i="2"/>
  <c r="X16" i="2" s="1"/>
  <c r="S16" i="2"/>
  <c r="S17" i="2" s="1"/>
  <c r="Q4" i="2" s="1"/>
  <c r="R4" i="2" s="1"/>
  <c r="W9" i="2"/>
  <c r="Z9" i="2" s="1"/>
  <c r="W12" i="2"/>
  <c r="Z12" i="2" s="1"/>
  <c r="AB14" i="2"/>
  <c r="AA14" i="2"/>
  <c r="AI14" i="2"/>
  <c r="W15" i="2"/>
  <c r="Z15" i="2" s="1"/>
  <c r="T17" i="2"/>
  <c r="W10" i="2"/>
  <c r="Z10" i="2" s="1"/>
  <c r="W11" i="2"/>
  <c r="Z11" i="2" s="1"/>
  <c r="W13" i="2"/>
  <c r="Z13" i="2" s="1"/>
  <c r="AD13" i="1"/>
  <c r="AD9" i="1"/>
  <c r="AD15" i="1"/>
  <c r="AD11" i="1"/>
  <c r="S16" i="1"/>
  <c r="R11" i="1"/>
  <c r="R16" i="1"/>
  <c r="S13" i="1"/>
  <c r="AD14" i="1"/>
  <c r="R15" i="1"/>
  <c r="S12" i="1"/>
  <c r="AD12" i="1"/>
  <c r="V13" i="1"/>
  <c r="X13" i="1" s="1"/>
  <c r="S14" i="1"/>
  <c r="W13" i="1"/>
  <c r="Z13" i="1" s="1"/>
  <c r="T14" i="1"/>
  <c r="V14" i="1"/>
  <c r="X14" i="1" s="1"/>
  <c r="S15" i="1"/>
  <c r="T11" i="1"/>
  <c r="R12" i="1"/>
  <c r="T15" i="1"/>
  <c r="V15" i="1"/>
  <c r="X15" i="1" s="1"/>
  <c r="Q9" i="1"/>
  <c r="S9" i="1" s="1"/>
  <c r="V11" i="1"/>
  <c r="X11" i="1" s="1"/>
  <c r="W11" i="1"/>
  <c r="Z11" i="1" s="1"/>
  <c r="T12" i="1"/>
  <c r="R13" i="1"/>
  <c r="T16" i="1"/>
  <c r="Q10" i="1"/>
  <c r="V12" i="1"/>
  <c r="X12" i="1" s="1"/>
  <c r="V16" i="1"/>
  <c r="X16" i="1" s="1"/>
  <c r="W16" i="2" l="1"/>
  <c r="Z16" i="2" s="1"/>
  <c r="AA16" i="2" s="1"/>
  <c r="Q5" i="2"/>
  <c r="AB2" i="2" s="1"/>
  <c r="R5" i="2"/>
  <c r="AB15" i="2"/>
  <c r="AI15" i="2"/>
  <c r="AA15" i="2"/>
  <c r="AA11" i="2"/>
  <c r="AB11" i="2"/>
  <c r="AI11" i="2"/>
  <c r="AI10" i="2"/>
  <c r="AB10" i="2"/>
  <c r="AA10" i="2"/>
  <c r="AB9" i="2"/>
  <c r="AA9" i="2"/>
  <c r="AI9" i="2"/>
  <c r="AA13" i="2"/>
  <c r="AB13" i="2"/>
  <c r="AI13" i="2"/>
  <c r="AI12" i="2"/>
  <c r="AA12" i="2"/>
  <c r="AB12" i="2"/>
  <c r="W16" i="1"/>
  <c r="Z16" i="1" s="1"/>
  <c r="R9" i="1"/>
  <c r="W15" i="1"/>
  <c r="Z15" i="1" s="1"/>
  <c r="AI15" i="1" s="1"/>
  <c r="W14" i="1"/>
  <c r="Z14" i="1" s="1"/>
  <c r="AI14" i="1" s="1"/>
  <c r="AB13" i="1"/>
  <c r="AA13" i="1"/>
  <c r="AI13" i="1"/>
  <c r="V10" i="1"/>
  <c r="X10" i="1" s="1"/>
  <c r="S10" i="1"/>
  <c r="S17" i="1" s="1"/>
  <c r="Q4" i="1" s="1"/>
  <c r="R4" i="1" s="1"/>
  <c r="T10" i="1"/>
  <c r="AI11" i="1"/>
  <c r="AB11" i="1"/>
  <c r="AA11" i="1"/>
  <c r="AB16" i="1"/>
  <c r="AA16" i="1"/>
  <c r="AI16" i="1"/>
  <c r="W12" i="1"/>
  <c r="Z12" i="1" s="1"/>
  <c r="AA15" i="1"/>
  <c r="AB15" i="1"/>
  <c r="T9" i="1"/>
  <c r="V9" i="1"/>
  <c r="X9" i="1" s="1"/>
  <c r="R10" i="1"/>
  <c r="R17" i="1" s="1"/>
  <c r="Q3" i="1" s="1"/>
  <c r="AB3" i="2" l="1"/>
  <c r="AB4" i="2" s="1"/>
  <c r="AB16" i="2"/>
  <c r="AI16" i="2"/>
  <c r="AA14" i="1"/>
  <c r="AB14" i="1"/>
  <c r="W10" i="1"/>
  <c r="Z10" i="1" s="1"/>
  <c r="AI10" i="1" s="1"/>
  <c r="Q5" i="1"/>
  <c r="AB2" i="1" s="1"/>
  <c r="R3" i="1"/>
  <c r="R5" i="1" s="1"/>
  <c r="T17" i="1"/>
  <c r="AB12" i="1"/>
  <c r="AA12" i="1"/>
  <c r="AI12" i="1"/>
  <c r="W9" i="1"/>
  <c r="Z9" i="1" s="1"/>
  <c r="X4" i="2" l="1"/>
  <c r="X5" i="2" s="1"/>
  <c r="X3" i="2"/>
  <c r="AB5" i="2"/>
  <c r="AB10" i="1"/>
  <c r="AA10" i="1"/>
  <c r="AB9" i="1"/>
  <c r="AA9" i="1"/>
  <c r="AI9" i="1"/>
  <c r="AB3" i="1"/>
  <c r="X4" i="1" l="1"/>
  <c r="X5" i="1" s="1"/>
  <c r="AB5" i="1"/>
  <c r="X3" i="1"/>
  <c r="AB4" i="1"/>
</calcChain>
</file>

<file path=xl/sharedStrings.xml><?xml version="1.0" encoding="utf-8"?>
<sst xmlns="http://schemas.openxmlformats.org/spreadsheetml/2006/main" count="132" uniqueCount="49">
  <si>
    <t>Network Size</t>
  </si>
  <si>
    <t>Mbps</t>
  </si>
  <si>
    <t>MHz</t>
  </si>
  <si>
    <t>Cost</t>
  </si>
  <si>
    <t>Cost Mbps/month</t>
  </si>
  <si>
    <t>Suggested Mbps Forward</t>
  </si>
  <si>
    <t>Wholesale Mbps/month:</t>
  </si>
  <si>
    <t>Revenue</t>
  </si>
  <si>
    <t>Cost MHz/month</t>
  </si>
  <si>
    <t>Suggested Mbps Return</t>
  </si>
  <si>
    <t>Wholesale MHz/month</t>
  </si>
  <si>
    <t>Profit</t>
  </si>
  <si>
    <t>MIR calculation %</t>
  </si>
  <si>
    <t>Efficiency</t>
  </si>
  <si>
    <t>Total</t>
  </si>
  <si>
    <t>Wholesal txpd price:</t>
  </si>
  <si>
    <t>ARPU</t>
  </si>
  <si>
    <t>Service Plans</t>
  </si>
  <si>
    <t>Users</t>
  </si>
  <si>
    <t>[MIR]</t>
  </si>
  <si>
    <t>[CIR]</t>
  </si>
  <si>
    <t>Cont. Ratio</t>
  </si>
  <si>
    <t>Monthly</t>
  </si>
  <si>
    <t>Contention Dimensioned</t>
  </si>
  <si>
    <t>Usage Dimensioned</t>
  </si>
  <si>
    <t>Balanced Avg</t>
  </si>
  <si>
    <t>FWD</t>
  </si>
  <si>
    <t>RTN</t>
  </si>
  <si>
    <t xml:space="preserve">Total Network </t>
  </si>
  <si>
    <t>Total Cost</t>
  </si>
  <si>
    <t>Markup 
per plan</t>
  </si>
  <si>
    <t>Wholesale Price</t>
  </si>
  <si>
    <t>HS offer</t>
  </si>
  <si>
    <t>per plan</t>
  </si>
  <si>
    <t>Cap (GB)</t>
  </si>
  <si>
    <t>kbps</t>
  </si>
  <si>
    <t>CIR (Kbps)</t>
  </si>
  <si>
    <t>Size (Mbps)</t>
  </si>
  <si>
    <t>[CIR] per Plan</t>
  </si>
  <si>
    <t>Per Plan</t>
  </si>
  <si>
    <t>Per GB</t>
  </si>
  <si>
    <t>Mbps/month</t>
  </si>
  <si>
    <t>Service</t>
  </si>
  <si>
    <t>MIR Down</t>
  </si>
  <si>
    <t>CIR Down</t>
  </si>
  <si>
    <t>MIR Up</t>
  </si>
  <si>
    <t>CIR Up</t>
  </si>
  <si>
    <t>MRC</t>
  </si>
  <si>
    <t xml:space="preserve">Total Remotes: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</si>
</sst>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$-409]#,##0"/>
    <numFmt numFmtId="165" formatCode="0.0"/>
    <numFmt numFmtId="166" formatCode="#\ ???/???"/>
    <numFmt numFmtId="167" formatCode=";;;"/>
    <numFmt numFmtId="168" formatCode="[$$-409]#,##0.00"/>
    <numFmt numFmtId="169" formatCode="_-[$$-409]* #,##0.00_ ;_-[$$-409]* \-#,##0.00\ ;_-[$$-409]* &quot;-&quot;??_ ;_-@_ 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b/>
      <i/>
      <sz val="12"/>
      <color theme="0" tint="-0.499984740745262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2060"/>
      <name val="Arial"/>
      <family val="2"/>
    </font>
    <font>
      <b/>
      <sz val="10"/>
      <name val="Arial"/>
      <family val="2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sz val="11"/>
      <name val="Calibri"/>
      <family val="2"/>
    </font>
    <font>
      <sz val="11"/>
      <color rgb="FF0070C0"/>
      <name val="Calibri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  <font>
      <sz val="11"/>
      <color theme="0"/>
      <name val="Calibri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A0DD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10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164" fontId="5" fillId="5" borderId="3" xfId="0" applyNumberFormat="1" applyFont="1" applyFill="1" applyBorder="1" applyAlignment="1">
      <alignment horizontal="right" vertical="center"/>
    </xf>
    <xf numFmtId="164" fontId="7" fillId="5" borderId="3" xfId="2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9" fillId="5" borderId="3" xfId="1" applyNumberFormat="1" applyFont="1" applyFill="1" applyBorder="1" applyAlignment="1">
      <alignment horizontal="right" vertical="center"/>
    </xf>
    <xf numFmtId="0" fontId="4" fillId="5" borderId="4" xfId="0" applyFont="1" applyFill="1" applyBorder="1" applyAlignment="1">
      <alignment horizontal="left" vertical="center"/>
    </xf>
    <xf numFmtId="164" fontId="5" fillId="5" borderId="5" xfId="0" applyNumberFormat="1" applyFont="1" applyFill="1" applyBorder="1" applyAlignment="1">
      <alignment horizontal="right" vertical="center"/>
    </xf>
    <xf numFmtId="164" fontId="10" fillId="5" borderId="5" xfId="2" applyNumberFormat="1" applyFont="1" applyFill="1" applyBorder="1" applyAlignment="1">
      <alignment horizontal="right" vertical="center"/>
    </xf>
    <xf numFmtId="164" fontId="9" fillId="5" borderId="5" xfId="1" applyNumberFormat="1" applyFont="1" applyFill="1" applyBorder="1" applyAlignment="1">
      <alignment horizontal="right" vertical="center"/>
    </xf>
    <xf numFmtId="0" fontId="4" fillId="5" borderId="6" xfId="0" applyFont="1" applyFill="1" applyBorder="1" applyAlignment="1">
      <alignment horizontal="left" vertical="center"/>
    </xf>
    <xf numFmtId="9" fontId="7" fillId="5" borderId="7" xfId="3" applyFont="1" applyFill="1" applyBorder="1" applyAlignment="1">
      <alignment horizontal="right" vertical="center"/>
    </xf>
    <xf numFmtId="0" fontId="4" fillId="4" borderId="8" xfId="0" applyFont="1" applyFill="1" applyBorder="1" applyAlignment="1">
      <alignment vertical="center"/>
    </xf>
    <xf numFmtId="2" fontId="4" fillId="4" borderId="9" xfId="3" applyNumberFormat="1" applyFont="1" applyFill="1" applyBorder="1" applyAlignment="1">
      <alignment horizontal="right" vertical="center"/>
    </xf>
    <xf numFmtId="0" fontId="4" fillId="4" borderId="10" xfId="0" applyFont="1" applyFill="1" applyBorder="1" applyAlignment="1">
      <alignment horizontal="center" vertical="center"/>
    </xf>
    <xf numFmtId="165" fontId="5" fillId="4" borderId="10" xfId="0" applyNumberFormat="1" applyFont="1" applyFill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164" fontId="9" fillId="5" borderId="7" xfId="1" applyNumberFormat="1" applyFont="1" applyFill="1" applyBorder="1" applyAlignment="1">
      <alignment horizontal="right" vertical="center"/>
    </xf>
    <xf numFmtId="164" fontId="5" fillId="5" borderId="7" xfId="0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4" borderId="11" xfId="4" applyFont="1" applyFill="1" applyBorder="1" applyAlignment="1">
      <alignment horizontal="center" vertical="center" wrapText="1"/>
    </xf>
    <xf numFmtId="0" fontId="4" fillId="4" borderId="3" xfId="4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4" xfId="4" applyFont="1" applyFill="1" applyBorder="1" applyAlignment="1">
      <alignment horizontal="center" vertical="center" wrapText="1"/>
    </xf>
    <xf numFmtId="0" fontId="4" fillId="4" borderId="7" xfId="4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" fontId="14" fillId="2" borderId="8" xfId="0" applyNumberFormat="1" applyFont="1" applyFill="1" applyBorder="1" applyAlignment="1">
      <alignment horizontal="center" vertical="center" wrapText="1"/>
    </xf>
    <xf numFmtId="166" fontId="13" fillId="2" borderId="8" xfId="0" applyNumberFormat="1" applyFont="1" applyFill="1" applyBorder="1" applyAlignment="1">
      <alignment horizontal="center" vertical="center"/>
    </xf>
    <xf numFmtId="0" fontId="13" fillId="2" borderId="8" xfId="3" applyNumberFormat="1" applyFont="1" applyFill="1" applyBorder="1" applyAlignment="1">
      <alignment horizontal="center" vertical="center" wrapText="1"/>
    </xf>
    <xf numFmtId="0" fontId="15" fillId="0" borderId="0" xfId="3" applyNumberFormat="1" applyFont="1" applyFill="1" applyBorder="1" applyAlignment="1">
      <alignment horizontal="center" vertical="center" wrapText="1"/>
    </xf>
    <xf numFmtId="2" fontId="16" fillId="0" borderId="8" xfId="4" applyNumberFormat="1" applyFont="1" applyBorder="1" applyAlignment="1">
      <alignment horizontal="center" vertical="center"/>
    </xf>
    <xf numFmtId="167" fontId="16" fillId="2" borderId="0" xfId="4" applyNumberFormat="1" applyFont="1" applyFill="1" applyAlignment="1" applyProtection="1">
      <alignment vertical="center"/>
      <protection locked="0"/>
    </xf>
    <xf numFmtId="2" fontId="16" fillId="2" borderId="8" xfId="0" applyNumberFormat="1" applyFont="1" applyFill="1" applyBorder="1" applyAlignment="1">
      <alignment horizontal="center" vertical="center"/>
    </xf>
    <xf numFmtId="2" fontId="0" fillId="0" borderId="8" xfId="3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16" fillId="2" borderId="8" xfId="0" applyNumberFormat="1" applyFont="1" applyFill="1" applyBorder="1" applyAlignment="1">
      <alignment horizontal="center" vertical="center"/>
    </xf>
    <xf numFmtId="9" fontId="13" fillId="0" borderId="8" xfId="2" applyNumberFormat="1" applyFont="1" applyFill="1" applyBorder="1" applyAlignment="1">
      <alignment horizontal="center" vertical="center"/>
    </xf>
    <xf numFmtId="168" fontId="16" fillId="2" borderId="8" xfId="0" applyNumberFormat="1" applyFont="1" applyFill="1" applyBorder="1" applyAlignment="1">
      <alignment horizontal="center" vertical="center"/>
    </xf>
    <xf numFmtId="164" fontId="0" fillId="0" borderId="8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0" fontId="16" fillId="0" borderId="0" xfId="0" applyFont="1" applyAlignment="1">
      <alignment vertical="center"/>
    </xf>
    <xf numFmtId="1" fontId="16" fillId="0" borderId="0" xfId="0" applyNumberFormat="1" applyFont="1" applyAlignment="1">
      <alignment vertical="center"/>
    </xf>
    <xf numFmtId="168" fontId="16" fillId="0" borderId="0" xfId="0" applyNumberFormat="1" applyFont="1" applyAlignment="1">
      <alignment vertical="center"/>
    </xf>
    <xf numFmtId="0" fontId="11" fillId="6" borderId="8" xfId="0" applyFont="1" applyFill="1" applyBorder="1" applyAlignment="1">
      <alignment vertical="center" wrapText="1"/>
    </xf>
    <xf numFmtId="0" fontId="12" fillId="6" borderId="8" xfId="0" applyFont="1" applyFill="1" applyBorder="1" applyAlignment="1">
      <alignment horizontal="center" vertical="center" wrapText="1"/>
    </xf>
    <xf numFmtId="1" fontId="6" fillId="6" borderId="0" xfId="0" applyNumberFormat="1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1" fontId="14" fillId="6" borderId="8" xfId="0" applyNumberFormat="1" applyFont="1" applyFill="1" applyBorder="1" applyAlignment="1">
      <alignment horizontal="center" vertical="center" wrapText="1"/>
    </xf>
    <xf numFmtId="166" fontId="13" fillId="6" borderId="8" xfId="0" applyNumberFormat="1" applyFont="1" applyFill="1" applyBorder="1" applyAlignment="1">
      <alignment horizontal="center" vertical="center"/>
    </xf>
    <xf numFmtId="0" fontId="13" fillId="6" borderId="8" xfId="3" applyNumberFormat="1" applyFont="1" applyFill="1" applyBorder="1" applyAlignment="1">
      <alignment horizontal="center" vertical="center" wrapText="1"/>
    </xf>
    <xf numFmtId="0" fontId="15" fillId="6" borderId="0" xfId="3" applyNumberFormat="1" applyFont="1" applyFill="1" applyBorder="1" applyAlignment="1">
      <alignment horizontal="center" vertical="center" wrapText="1"/>
    </xf>
    <xf numFmtId="2" fontId="16" fillId="6" borderId="8" xfId="4" applyNumberFormat="1" applyFont="1" applyFill="1" applyBorder="1" applyAlignment="1">
      <alignment horizontal="center" vertical="center"/>
    </xf>
    <xf numFmtId="167" fontId="16" fillId="6" borderId="0" xfId="4" applyNumberFormat="1" applyFont="1" applyFill="1" applyAlignment="1" applyProtection="1">
      <alignment vertical="center"/>
      <protection locked="0"/>
    </xf>
    <xf numFmtId="2" fontId="16" fillId="6" borderId="8" xfId="0" applyNumberFormat="1" applyFont="1" applyFill="1" applyBorder="1" applyAlignment="1">
      <alignment horizontal="center" vertical="center"/>
    </xf>
    <xf numFmtId="2" fontId="0" fillId="6" borderId="8" xfId="3" applyNumberFormat="1" applyFon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164" fontId="16" fillId="6" borderId="8" xfId="0" applyNumberFormat="1" applyFont="1" applyFill="1" applyBorder="1" applyAlignment="1">
      <alignment horizontal="center" vertical="center"/>
    </xf>
    <xf numFmtId="9" fontId="13" fillId="6" borderId="8" xfId="2" applyNumberFormat="1" applyFont="1" applyFill="1" applyBorder="1" applyAlignment="1">
      <alignment horizontal="center" vertical="center"/>
    </xf>
    <xf numFmtId="168" fontId="16" fillId="6" borderId="8" xfId="0" applyNumberFormat="1" applyFont="1" applyFill="1" applyBorder="1" applyAlignment="1">
      <alignment horizontal="center" vertical="center"/>
    </xf>
    <xf numFmtId="164" fontId="0" fillId="6" borderId="8" xfId="0" applyNumberFormat="1" applyFill="1" applyBorder="1" applyAlignment="1">
      <alignment vertical="center"/>
    </xf>
    <xf numFmtId="164" fontId="0" fillId="6" borderId="0" xfId="0" applyNumberFormat="1" applyFill="1" applyAlignment="1">
      <alignment vertical="center"/>
    </xf>
    <xf numFmtId="0" fontId="16" fillId="6" borderId="0" xfId="0" applyFont="1" applyFill="1" applyAlignment="1">
      <alignment vertical="center"/>
    </xf>
    <xf numFmtId="1" fontId="16" fillId="6" borderId="0" xfId="0" applyNumberFormat="1" applyFont="1" applyFill="1" applyAlignment="1">
      <alignment vertical="center"/>
    </xf>
    <xf numFmtId="168" fontId="16" fillId="6" borderId="0" xfId="0" applyNumberFormat="1" applyFont="1" applyFill="1" applyAlignment="1">
      <alignment vertical="center"/>
    </xf>
    <xf numFmtId="0" fontId="4" fillId="4" borderId="8" xfId="0" applyFont="1" applyFill="1" applyBorder="1" applyAlignment="1">
      <alignment horizontal="right" vertical="center"/>
    </xf>
    <xf numFmtId="1" fontId="4" fillId="4" borderId="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4" borderId="0" xfId="0" applyFont="1" applyFill="1" applyAlignment="1">
      <alignment horizontal="center" vertical="center" wrapText="1"/>
    </xf>
    <xf numFmtId="166" fontId="6" fillId="4" borderId="0" xfId="0" applyNumberFormat="1" applyFont="1" applyFill="1" applyAlignment="1">
      <alignment horizontal="center" vertical="center"/>
    </xf>
    <xf numFmtId="9" fontId="0" fillId="4" borderId="0" xfId="3" applyFont="1" applyFill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17" fillId="4" borderId="0" xfId="4" applyNumberFormat="1" applyFont="1" applyFill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/>
    </xf>
    <xf numFmtId="2" fontId="4" fillId="4" borderId="16" xfId="2" applyNumberFormat="1" applyFont="1" applyFill="1" applyBorder="1" applyAlignment="1">
      <alignment horizontal="center" vertical="center"/>
    </xf>
    <xf numFmtId="2" fontId="4" fillId="4" borderId="17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169" fontId="5" fillId="5" borderId="0" xfId="0" applyNumberFormat="1" applyFont="1" applyFill="1" applyAlignment="1">
      <alignment horizontal="center" vertical="center"/>
    </xf>
    <xf numFmtId="9" fontId="0" fillId="5" borderId="0" xfId="2" applyNumberFormat="1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1" fontId="6" fillId="2" borderId="0" xfId="0" applyNumberFormat="1" applyFont="1" applyFill="1" applyAlignment="1">
      <alignment horizontal="center" vertical="center"/>
    </xf>
    <xf numFmtId="0" fontId="11" fillId="2" borderId="8" xfId="0" applyFont="1" applyFill="1" applyBorder="1" applyAlignment="1">
      <alignment vertical="center" wrapText="1"/>
    </xf>
    <xf numFmtId="167" fontId="16" fillId="2" borderId="0" xfId="4" applyNumberFormat="1" applyFont="1" applyFill="1" applyAlignment="1" applyProtection="1">
      <alignment vertical="center"/>
      <protection locked="0"/>
    </xf>
    <xf numFmtId="2" fontId="16" fillId="2" borderId="8" xfId="4" applyNumberFormat="1" applyFont="1" applyFill="1" applyBorder="1" applyAlignment="1">
      <alignment horizontal="center" vertical="center"/>
    </xf>
    <xf numFmtId="0" fontId="15" fillId="2" borderId="0" xfId="3" applyNumberFormat="1" applyFont="1" applyFill="1" applyBorder="1" applyAlignment="1">
      <alignment horizontal="center" vertical="center" wrapText="1"/>
    </xf>
    <xf numFmtId="2" fontId="0" fillId="2" borderId="8" xfId="3" applyNumberFormat="1" applyFon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9" fontId="13" fillId="2" borderId="8" xfId="2" applyNumberFormat="1" applyFont="1" applyFill="1" applyBorder="1" applyAlignment="1">
      <alignment horizontal="center" vertical="center"/>
    </xf>
    <xf numFmtId="164" fontId="0" fillId="2" borderId="8" xfId="0" applyNumberForma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0" fontId="16" fillId="2" borderId="0" xfId="0" applyFont="1" applyFill="1" applyAlignment="1">
      <alignment vertical="center"/>
    </xf>
    <xf numFmtId="1" fontId="16" fillId="2" borderId="0" xfId="0" applyNumberFormat="1" applyFont="1" applyFill="1" applyAlignment="1">
      <alignment vertical="center"/>
    </xf>
    <xf numFmtId="168" fontId="16" fillId="2" borderId="0" xfId="0" applyNumberFormat="1" applyFont="1" applyFill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left" vertical="center"/>
    </xf>
    <xf numFmtId="0" fontId="9" fillId="5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43" fontId="0" fillId="2" borderId="0" xfId="1" applyFont="1" applyFill="1" applyAlignment="1">
      <alignment vertical="center"/>
    </xf>
    <xf numFmtId="43" fontId="0" fillId="2" borderId="0" xfId="0" applyNumberFormat="1" applyFill="1" applyAlignment="1">
      <alignment vertical="center"/>
    </xf>
    <xf numFmtId="43" fontId="3" fillId="0" borderId="0" xfId="0" applyNumberFormat="1" applyFont="1" applyAlignment="1">
      <alignment horizontal="center" vertical="center"/>
    </xf>
  </cellXfs>
  <cellStyles count="10">
    <cellStyle name="Comma" xfId="1" builtinId="3"/>
    <cellStyle name="Comma 2" xfId="7" xr:uid="{00000000-0005-0000-0000-000001000000}"/>
    <cellStyle name="Currency" xfId="2" builtinId="4"/>
    <cellStyle name="Currency 2" xfId="8" xr:uid="{00000000-0005-0000-0000-000003000000}"/>
    <cellStyle name="Normal" xfId="0" builtinId="0"/>
    <cellStyle name="Normal 2" xfId="4" xr:uid="{00000000-0005-0000-0000-000005000000}"/>
    <cellStyle name="Normal 3" xfId="5" xr:uid="{00000000-0005-0000-0000-000006000000}"/>
    <cellStyle name="Normal 3 2" xfId="6" xr:uid="{00000000-0005-0000-0000-000007000000}"/>
    <cellStyle name="Percent" xfId="3" builtinId="5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EA7E-D85D-4B6F-B601-420E40B68B92}">
  <dimension ref="A1:AN18"/>
  <sheetViews>
    <sheetView showGridLines="0" tabSelected="1" topLeftCell="Q1" zoomScaleNormal="125" workbookViewId="0">
      <selection activeCell="AK16" sqref="AK16"/>
    </sheetView>
  </sheetViews>
  <sheetFormatPr defaultColWidth="9.1328125" defaultRowHeight="12.75" x14ac:dyDescent="0.35"/>
  <cols>
    <col min="1" max="1" width="2.796875" style="3" customWidth="1"/>
    <col min="2" max="2" width="15.6640625" style="3" bestFit="1" customWidth="1"/>
    <col min="3" max="3" width="7.796875" style="3" bestFit="1" customWidth="1"/>
    <col min="4" max="4" width="2.33203125" style="115" customWidth="1"/>
    <col min="5" max="5" width="7.6640625" style="3" customWidth="1"/>
    <col min="6" max="6" width="7" style="3" customWidth="1"/>
    <col min="7" max="7" width="10.1328125" style="3" bestFit="1" customWidth="1"/>
    <col min="8" max="8" width="12.53125" style="3" bestFit="1" customWidth="1"/>
    <col min="9" max="9" width="13.19921875" style="3" bestFit="1" customWidth="1"/>
    <col min="10" max="10" width="10.46484375" style="3" bestFit="1" customWidth="1"/>
    <col min="11" max="11" width="8.6640625" style="3" bestFit="1" customWidth="1"/>
    <col min="12" max="12" width="2.1328125" style="3" customWidth="1"/>
    <col min="13" max="13" width="10.796875" style="3" customWidth="1"/>
    <col min="14" max="14" width="11.33203125" style="3" customWidth="1"/>
    <col min="15" max="15" width="11.796875" style="3" hidden="1" customWidth="1"/>
    <col min="16" max="16" width="4.1328125" style="3" hidden="1" customWidth="1"/>
    <col min="17" max="17" width="12.6640625" style="3" bestFit="1" customWidth="1"/>
    <col min="18" max="19" width="7" style="3" bestFit="1" customWidth="1"/>
    <col min="20" max="20" width="13.1328125" style="3" bestFit="1" customWidth="1"/>
    <col min="21" max="21" width="2.33203125" style="3" customWidth="1"/>
    <col min="22" max="22" width="12.46484375" style="3" bestFit="1" customWidth="1"/>
    <col min="23" max="23" width="9.6640625" style="3" bestFit="1" customWidth="1"/>
    <col min="24" max="24" width="9" style="3" bestFit="1" customWidth="1"/>
    <col min="25" max="25" width="6.1328125" style="3" bestFit="1" customWidth="1"/>
    <col min="26" max="26" width="8.1328125" style="3" bestFit="1" customWidth="1"/>
    <col min="27" max="27" width="8.33203125" style="3" bestFit="1" customWidth="1"/>
    <col min="28" max="28" width="11.46484375" style="3" bestFit="1" customWidth="1"/>
    <col min="29" max="29" width="3" style="3" customWidth="1"/>
    <col min="30" max="30" width="21.1328125" style="3" bestFit="1" customWidth="1"/>
    <col min="31" max="31" width="9.46484375" style="3" bestFit="1" customWidth="1"/>
    <col min="32" max="32" width="9.33203125" style="3" bestFit="1" customWidth="1"/>
    <col min="33" max="33" width="7" style="3" bestFit="1" customWidth="1"/>
    <col min="34" max="34" width="6.796875" style="3" bestFit="1" customWidth="1"/>
    <col min="35" max="35" width="7.6640625" style="3" bestFit="1" customWidth="1"/>
    <col min="36" max="36" width="3" style="3" customWidth="1"/>
    <col min="37" max="16384" width="9.1328125" style="3"/>
  </cols>
  <sheetData>
    <row r="1" spans="1:40" ht="15" x14ac:dyDescent="0.35">
      <c r="A1" s="1"/>
      <c r="B1" s="144"/>
      <c r="C1" s="144"/>
      <c r="D1" s="2"/>
      <c r="E1" s="1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1"/>
      <c r="AD1" s="1"/>
      <c r="AE1" s="1"/>
      <c r="AF1" s="1"/>
      <c r="AG1" s="1"/>
      <c r="AH1" s="1"/>
      <c r="AI1" s="1"/>
      <c r="AJ1" s="1"/>
    </row>
    <row r="2" spans="1:40" ht="15" x14ac:dyDescent="0.35">
      <c r="A2" s="1"/>
      <c r="B2" s="4"/>
      <c r="C2" s="4"/>
      <c r="D2" s="4"/>
      <c r="E2" s="1"/>
      <c r="F2" s="1"/>
      <c r="G2" s="1"/>
      <c r="H2" s="153">
        <f>1409*4000</f>
        <v>5636000</v>
      </c>
      <c r="I2" s="155">
        <f>H2/17</f>
        <v>331529.4117647059</v>
      </c>
      <c r="J2" s="4"/>
      <c r="K2" s="4"/>
      <c r="L2" s="4"/>
      <c r="M2" s="145" t="s">
        <v>0</v>
      </c>
      <c r="N2" s="146"/>
      <c r="O2" s="146"/>
      <c r="P2" s="146"/>
      <c r="Q2" s="133" t="s">
        <v>1</v>
      </c>
      <c r="R2" s="6" t="s">
        <v>2</v>
      </c>
      <c r="S2" s="1"/>
      <c r="T2" s="1"/>
      <c r="U2" s="1"/>
      <c r="V2" s="1"/>
      <c r="W2" s="1"/>
      <c r="X2" s="1"/>
      <c r="Y2" s="1"/>
      <c r="Z2" s="1"/>
      <c r="AA2" s="7" t="s">
        <v>3</v>
      </c>
      <c r="AB2" s="8">
        <f>C3*Q5</f>
        <v>6900</v>
      </c>
      <c r="AC2" s="1"/>
      <c r="AD2" s="1"/>
      <c r="AE2" s="1"/>
      <c r="AF2" s="1"/>
      <c r="AG2" s="1"/>
      <c r="AH2" s="1"/>
      <c r="AI2" s="1"/>
      <c r="AJ2" s="1"/>
    </row>
    <row r="3" spans="1:40" ht="13.15" x14ac:dyDescent="0.35">
      <c r="A3" s="1"/>
      <c r="B3" s="7" t="s">
        <v>4</v>
      </c>
      <c r="C3" s="9">
        <v>300</v>
      </c>
      <c r="D3" s="10"/>
      <c r="E3" s="1"/>
      <c r="F3" s="1"/>
      <c r="G3" s="1"/>
      <c r="H3" s="153"/>
      <c r="I3" s="11"/>
      <c r="J3" s="1"/>
      <c r="K3" s="1"/>
      <c r="L3" s="11"/>
      <c r="M3" s="147" t="s">
        <v>5</v>
      </c>
      <c r="N3" s="148"/>
      <c r="O3" s="12"/>
      <c r="P3" s="12"/>
      <c r="Q3" s="13">
        <f>IF(CEILING(($R$17*1000)/1000,0.5)&lt;(MAX($E$9:$E$16)/1000),MAX($E$9:$E$16)/1000,CEILING(($R$17*1000)/1000,0.5))</f>
        <v>20</v>
      </c>
      <c r="R3" s="14">
        <f>Q3/K5</f>
        <v>10</v>
      </c>
      <c r="S3" s="1"/>
      <c r="T3" s="1"/>
      <c r="U3" s="1"/>
      <c r="V3" s="149" t="s">
        <v>6</v>
      </c>
      <c r="W3" s="150"/>
      <c r="X3" s="15">
        <f>AB3/Q5</f>
        <v>0</v>
      </c>
      <c r="Y3" s="1"/>
      <c r="Z3" s="1"/>
      <c r="AA3" s="16" t="s">
        <v>7</v>
      </c>
      <c r="AB3" s="17">
        <f>SUMPRODUCT(C9:C16,Z9:Z16)</f>
        <v>0</v>
      </c>
      <c r="AC3" s="1"/>
      <c r="AD3" s="1"/>
      <c r="AE3" s="1"/>
      <c r="AF3" s="1"/>
      <c r="AG3" s="1"/>
      <c r="AH3" s="1"/>
      <c r="AI3" s="1"/>
      <c r="AJ3" s="1"/>
    </row>
    <row r="4" spans="1:40" ht="13.15" x14ac:dyDescent="0.35">
      <c r="A4" s="1"/>
      <c r="B4" s="16" t="s">
        <v>8</v>
      </c>
      <c r="C4" s="18">
        <v>600</v>
      </c>
      <c r="D4" s="10"/>
      <c r="E4" s="1"/>
      <c r="F4" s="1"/>
      <c r="G4" s="1"/>
      <c r="H4" s="154"/>
      <c r="I4" s="11"/>
      <c r="J4" s="1"/>
      <c r="K4" s="1"/>
      <c r="L4" s="11"/>
      <c r="M4" s="147" t="s">
        <v>9</v>
      </c>
      <c r="N4" s="148"/>
      <c r="O4" s="12"/>
      <c r="P4" s="12"/>
      <c r="Q4" s="13">
        <f>IF(CEILING(($S$17*1000)/1000,0.5)&lt;(MAX($F$9:$F$16)/1000),MAX($F$9:$F$16)/1000,CEILING(($S$17*1000)/1000,0.5))</f>
        <v>3</v>
      </c>
      <c r="R4" s="14">
        <f>Q4/K5</f>
        <v>1.5</v>
      </c>
      <c r="S4" s="1"/>
      <c r="T4" s="1"/>
      <c r="U4" s="1"/>
      <c r="V4" s="151" t="s">
        <v>10</v>
      </c>
      <c r="W4" s="152"/>
      <c r="X4" s="19">
        <f>AB3/R5</f>
        <v>0</v>
      </c>
      <c r="Y4" s="1"/>
      <c r="Z4" s="1"/>
      <c r="AA4" s="16" t="s">
        <v>11</v>
      </c>
      <c r="AB4" s="17">
        <f>AB3-AB2</f>
        <v>-6900</v>
      </c>
      <c r="AC4" s="1"/>
      <c r="AD4" s="1"/>
      <c r="AE4" s="1"/>
      <c r="AF4" s="1"/>
      <c r="AG4" s="1"/>
      <c r="AH4" s="1"/>
      <c r="AI4" s="1"/>
      <c r="AJ4" s="1"/>
    </row>
    <row r="5" spans="1:40" ht="13.15" x14ac:dyDescent="0.35">
      <c r="A5" s="1"/>
      <c r="B5" s="20" t="s">
        <v>12</v>
      </c>
      <c r="C5" s="21">
        <v>0</v>
      </c>
      <c r="D5" s="10"/>
      <c r="E5" s="1"/>
      <c r="F5" s="1"/>
      <c r="G5" s="1"/>
      <c r="H5" s="1"/>
      <c r="I5" s="11"/>
      <c r="J5" s="22" t="s">
        <v>13</v>
      </c>
      <c r="K5" s="23">
        <v>2</v>
      </c>
      <c r="L5" s="11"/>
      <c r="M5" s="134" t="s">
        <v>14</v>
      </c>
      <c r="N5" s="135"/>
      <c r="O5" s="129"/>
      <c r="P5" s="129"/>
      <c r="Q5" s="25">
        <f>SUM(Q3,Q4)</f>
        <v>23</v>
      </c>
      <c r="R5" s="26">
        <f>SUM(R3:R4)</f>
        <v>11.5</v>
      </c>
      <c r="S5" s="1"/>
      <c r="T5" s="1"/>
      <c r="U5" s="1"/>
      <c r="V5" s="136" t="s">
        <v>15</v>
      </c>
      <c r="W5" s="137"/>
      <c r="X5" s="27">
        <f>X4*36*12</f>
        <v>0</v>
      </c>
      <c r="Y5" s="1"/>
      <c r="Z5" s="11"/>
      <c r="AA5" s="20" t="s">
        <v>16</v>
      </c>
      <c r="AB5" s="28" t="e">
        <f>AB3/C17</f>
        <v>#DIV/0!</v>
      </c>
      <c r="AC5" s="1"/>
      <c r="AD5" s="1"/>
      <c r="AE5" s="1"/>
      <c r="AF5" s="1"/>
      <c r="AG5" s="1"/>
      <c r="AH5" s="1"/>
      <c r="AI5" s="1"/>
      <c r="AJ5" s="1"/>
    </row>
    <row r="6" spans="1:40" ht="13.05" customHeight="1" x14ac:dyDescent="0.35">
      <c r="A6" s="1"/>
      <c r="B6" s="11"/>
      <c r="C6" s="11"/>
      <c r="D6" s="29"/>
      <c r="E6" s="30"/>
      <c r="F6" s="3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"/>
      <c r="V6" s="11"/>
      <c r="W6" s="11"/>
      <c r="X6" s="11"/>
      <c r="Y6" s="11"/>
      <c r="Z6" s="11"/>
      <c r="AA6" s="11"/>
      <c r="AB6" s="1"/>
      <c r="AC6" s="1"/>
      <c r="AD6" s="1"/>
      <c r="AE6" s="1"/>
      <c r="AF6" s="1"/>
      <c r="AG6" s="1"/>
      <c r="AH6" s="1"/>
      <c r="AI6" s="1"/>
      <c r="AJ6" s="1"/>
    </row>
    <row r="7" spans="1:40" s="45" customFormat="1" ht="24" customHeight="1" x14ac:dyDescent="0.35">
      <c r="A7" s="31"/>
      <c r="B7" s="138" t="s">
        <v>17</v>
      </c>
      <c r="C7" s="130" t="s">
        <v>18</v>
      </c>
      <c r="D7" s="33"/>
      <c r="E7" s="34" t="s">
        <v>19</v>
      </c>
      <c r="F7" s="35" t="s">
        <v>19</v>
      </c>
      <c r="G7" s="35" t="s">
        <v>20</v>
      </c>
      <c r="H7" s="35" t="s">
        <v>20</v>
      </c>
      <c r="I7" s="35" t="s">
        <v>21</v>
      </c>
      <c r="J7" s="35" t="s">
        <v>21</v>
      </c>
      <c r="K7" s="36" t="s">
        <v>22</v>
      </c>
      <c r="L7" s="37"/>
      <c r="M7" s="38" t="s">
        <v>23</v>
      </c>
      <c r="N7" s="39" t="s">
        <v>24</v>
      </c>
      <c r="O7" s="40"/>
      <c r="P7" s="40"/>
      <c r="Q7" s="130" t="s">
        <v>25</v>
      </c>
      <c r="R7" s="130" t="s">
        <v>26</v>
      </c>
      <c r="S7" s="130" t="s">
        <v>27</v>
      </c>
      <c r="T7" s="41" t="s">
        <v>28</v>
      </c>
      <c r="U7" s="40"/>
      <c r="V7" s="42" t="s">
        <v>3</v>
      </c>
      <c r="W7" s="43" t="s">
        <v>29</v>
      </c>
      <c r="X7" s="43" t="s">
        <v>3</v>
      </c>
      <c r="Y7" s="140" t="s">
        <v>30</v>
      </c>
      <c r="Z7" s="142" t="s">
        <v>31</v>
      </c>
      <c r="AA7" s="142"/>
      <c r="AB7" s="44" t="s">
        <v>3</v>
      </c>
      <c r="AC7" s="11"/>
      <c r="AD7" s="143" t="s">
        <v>32</v>
      </c>
      <c r="AE7" s="143"/>
      <c r="AF7" s="143"/>
      <c r="AG7" s="143"/>
      <c r="AH7" s="143"/>
      <c r="AI7" s="143"/>
      <c r="AJ7" s="31"/>
      <c r="AK7" s="3"/>
      <c r="AL7" s="3"/>
      <c r="AM7" s="3"/>
      <c r="AN7" s="3"/>
    </row>
    <row r="8" spans="1:40" s="45" customFormat="1" ht="14" customHeight="1" x14ac:dyDescent="0.35">
      <c r="A8" s="31"/>
      <c r="B8" s="139"/>
      <c r="C8" s="46" t="s">
        <v>33</v>
      </c>
      <c r="D8" s="47"/>
      <c r="E8" s="48" t="s">
        <v>26</v>
      </c>
      <c r="F8" s="49" t="s">
        <v>27</v>
      </c>
      <c r="G8" s="49" t="s">
        <v>26</v>
      </c>
      <c r="H8" s="49" t="s">
        <v>27</v>
      </c>
      <c r="I8" s="49" t="s">
        <v>26</v>
      </c>
      <c r="J8" s="49" t="s">
        <v>27</v>
      </c>
      <c r="K8" s="50" t="s">
        <v>34</v>
      </c>
      <c r="L8" s="37"/>
      <c r="M8" s="51" t="s">
        <v>35</v>
      </c>
      <c r="N8" s="52" t="s">
        <v>35</v>
      </c>
      <c r="O8" s="40"/>
      <c r="P8" s="40"/>
      <c r="Q8" s="51" t="s">
        <v>36</v>
      </c>
      <c r="R8" s="131" t="s">
        <v>1</v>
      </c>
      <c r="S8" s="131" t="s">
        <v>1</v>
      </c>
      <c r="T8" s="46" t="s">
        <v>37</v>
      </c>
      <c r="U8" s="40"/>
      <c r="V8" s="54" t="s">
        <v>38</v>
      </c>
      <c r="W8" s="55" t="s">
        <v>39</v>
      </c>
      <c r="X8" s="55" t="s">
        <v>40</v>
      </c>
      <c r="Y8" s="141"/>
      <c r="Z8" s="55" t="s">
        <v>39</v>
      </c>
      <c r="AA8" s="55" t="s">
        <v>40</v>
      </c>
      <c r="AB8" s="56" t="s">
        <v>41</v>
      </c>
      <c r="AC8" s="11"/>
      <c r="AD8" s="132" t="s">
        <v>42</v>
      </c>
      <c r="AE8" s="132" t="s">
        <v>43</v>
      </c>
      <c r="AF8" s="132" t="s">
        <v>44</v>
      </c>
      <c r="AG8" s="132" t="s">
        <v>45</v>
      </c>
      <c r="AH8" s="132" t="s">
        <v>46</v>
      </c>
      <c r="AI8" s="132" t="s">
        <v>47</v>
      </c>
      <c r="AJ8" s="31"/>
    </row>
    <row r="9" spans="1:40" ht="14.25" x14ac:dyDescent="0.35">
      <c r="A9" s="1"/>
      <c r="B9" s="58" t="str">
        <f t="shared" ref="B9:B12" si="0">E9&amp; "/" &amp; F9 &amp; " Kbps"</f>
        <v>1000/256 Kbps</v>
      </c>
      <c r="C9" s="59">
        <v>0</v>
      </c>
      <c r="D9" s="47"/>
      <c r="E9" s="60">
        <v>1000</v>
      </c>
      <c r="F9" s="60">
        <v>256</v>
      </c>
      <c r="G9" s="61">
        <f t="shared" ref="G9:H16" si="1">E9*I9</f>
        <v>33.333333333333336</v>
      </c>
      <c r="H9" s="61">
        <f>F9*J9</f>
        <v>8.5333333333333332</v>
      </c>
      <c r="I9" s="62">
        <v>3.3333333333333333E-2</v>
      </c>
      <c r="J9" s="62">
        <v>3.3333333333333333E-2</v>
      </c>
      <c r="K9" s="63">
        <v>0</v>
      </c>
      <c r="L9" s="64"/>
      <c r="M9" s="65">
        <f>(E9*I9)+(F9*J9)</f>
        <v>41.866666666666667</v>
      </c>
      <c r="N9" s="65">
        <f t="shared" ref="N9:N16" si="2">(K9*1000*1000*8*(1/30)*(1/24)*(1/3600))</f>
        <v>0</v>
      </c>
      <c r="O9" s="118">
        <f t="shared" ref="O9:O16" si="3">E9/GCD(E9,F9)</f>
        <v>125</v>
      </c>
      <c r="P9" s="118">
        <f t="shared" ref="P9:P16" si="4">F9/GCD(E9,F9)</f>
        <v>32</v>
      </c>
      <c r="Q9" s="67">
        <f t="shared" ref="Q9:Q16" si="5">AVERAGEIF(M9:N9,"&gt;0")</f>
        <v>41.866666666666667</v>
      </c>
      <c r="R9" s="68">
        <f>(((O9/(O9+P9))*Q9)*C9)/1000</f>
        <v>0</v>
      </c>
      <c r="S9" s="68">
        <f t="shared" ref="S9:S16" si="6">(((P9/(O9+P9))*Q9)*C9/1000)</f>
        <v>0</v>
      </c>
      <c r="T9" s="69">
        <f t="shared" ref="T9:T16" si="7">(Q9*C9)/1000</f>
        <v>0</v>
      </c>
      <c r="U9" s="118"/>
      <c r="V9" s="70">
        <f t="shared" ref="V9:V12" si="8">($C$3/1000)*Q9</f>
        <v>12.56</v>
      </c>
      <c r="W9" s="70">
        <f>SUM(V9,((SUM(E9:F9)-Q9)*$C$5*($C$3/1024)))</f>
        <v>12.56</v>
      </c>
      <c r="X9" s="70" t="str">
        <f t="shared" ref="X9:X16" si="9">IFERROR(V9/K9,"-")</f>
        <v>-</v>
      </c>
      <c r="Y9" s="71">
        <v>0</v>
      </c>
      <c r="Z9" s="72">
        <f t="shared" ref="Z9:Z16" si="10">W9*(1+Y9)</f>
        <v>12.56</v>
      </c>
      <c r="AA9" s="70" t="str">
        <f t="shared" ref="AA9:AA16" si="11">IFERROR(Z9/K9,"-")</f>
        <v>-</v>
      </c>
      <c r="AB9" s="73">
        <f t="shared" ref="AB9:AB15" si="12">(Z9/M9)*1000</f>
        <v>300</v>
      </c>
      <c r="AC9" s="74"/>
      <c r="AD9" s="75" t="str">
        <f t="shared" ref="AD9:AD12" si="13">B9 &amp; " ratio 1" &amp; ":"&amp; AG9/AH9</f>
        <v>1000/256 Kbps ratio 1:30</v>
      </c>
      <c r="AE9" s="76">
        <f t="shared" ref="AE9:AE16" si="14">E9</f>
        <v>1000</v>
      </c>
      <c r="AF9" s="76">
        <f t="shared" ref="AF9:AF16" si="15">G9</f>
        <v>33.333333333333336</v>
      </c>
      <c r="AG9" s="76">
        <f t="shared" ref="AG9:AG16" si="16">F9</f>
        <v>256</v>
      </c>
      <c r="AH9" s="76">
        <f t="shared" ref="AH9:AH16" si="17">H9</f>
        <v>8.5333333333333332</v>
      </c>
      <c r="AI9" s="77">
        <f t="shared" ref="AI9:AI16" si="18">Z9</f>
        <v>12.56</v>
      </c>
      <c r="AJ9" s="1"/>
    </row>
    <row r="10" spans="1:40" ht="14.25" x14ac:dyDescent="0.35">
      <c r="A10" s="1"/>
      <c r="B10" s="58" t="str">
        <f t="shared" si="0"/>
        <v>2000/512 Kbps</v>
      </c>
      <c r="C10" s="59">
        <v>0</v>
      </c>
      <c r="D10" s="47"/>
      <c r="E10" s="60">
        <v>2000</v>
      </c>
      <c r="F10" s="60">
        <v>512</v>
      </c>
      <c r="G10" s="61">
        <f t="shared" si="1"/>
        <v>66.666666666666671</v>
      </c>
      <c r="H10" s="61">
        <f t="shared" si="1"/>
        <v>17.066666666666666</v>
      </c>
      <c r="I10" s="62">
        <v>3.3333333333333333E-2</v>
      </c>
      <c r="J10" s="62">
        <v>3.3333333333333333E-2</v>
      </c>
      <c r="K10" s="63">
        <v>0</v>
      </c>
      <c r="L10" s="64"/>
      <c r="M10" s="65">
        <f>(E10*I10)+(F10*J10)</f>
        <v>83.733333333333334</v>
      </c>
      <c r="N10" s="65">
        <f t="shared" si="2"/>
        <v>0</v>
      </c>
      <c r="O10" s="118">
        <f t="shared" si="3"/>
        <v>125</v>
      </c>
      <c r="P10" s="118">
        <f t="shared" si="4"/>
        <v>32</v>
      </c>
      <c r="Q10" s="67">
        <f t="shared" si="5"/>
        <v>83.733333333333334</v>
      </c>
      <c r="R10" s="68">
        <f>(((O10/(O10+P10))*Q10)*C10)/1000</f>
        <v>0</v>
      </c>
      <c r="S10" s="68">
        <f t="shared" si="6"/>
        <v>0</v>
      </c>
      <c r="T10" s="69">
        <f t="shared" si="7"/>
        <v>0</v>
      </c>
      <c r="U10" s="118"/>
      <c r="V10" s="70">
        <f t="shared" si="8"/>
        <v>25.12</v>
      </c>
      <c r="W10" s="70">
        <f t="shared" ref="W10:W16" si="19">SUM(V10,((SUM(E10:F10)-Q10)*$C$5*($C$3/1024)))</f>
        <v>25.12</v>
      </c>
      <c r="X10" s="70" t="str">
        <f t="shared" si="9"/>
        <v>-</v>
      </c>
      <c r="Y10" s="71">
        <v>0</v>
      </c>
      <c r="Z10" s="72">
        <f t="shared" si="10"/>
        <v>25.12</v>
      </c>
      <c r="AA10" s="70" t="str">
        <f t="shared" si="11"/>
        <v>-</v>
      </c>
      <c r="AB10" s="73">
        <f t="shared" si="12"/>
        <v>300</v>
      </c>
      <c r="AC10" s="74"/>
      <c r="AD10" s="75" t="str">
        <f t="shared" si="13"/>
        <v>2000/512 Kbps ratio 1:30</v>
      </c>
      <c r="AE10" s="76">
        <f t="shared" si="14"/>
        <v>2000</v>
      </c>
      <c r="AF10" s="76">
        <f t="shared" si="15"/>
        <v>66.666666666666671</v>
      </c>
      <c r="AG10" s="76">
        <f t="shared" si="16"/>
        <v>512</v>
      </c>
      <c r="AH10" s="76">
        <f t="shared" si="17"/>
        <v>17.066666666666666</v>
      </c>
      <c r="AI10" s="77">
        <f t="shared" si="18"/>
        <v>25.12</v>
      </c>
      <c r="AJ10" s="1"/>
    </row>
    <row r="11" spans="1:40" ht="14.25" x14ac:dyDescent="0.35">
      <c r="A11" s="1"/>
      <c r="B11" s="58" t="str">
        <f t="shared" si="0"/>
        <v>3000/768 Kbps</v>
      </c>
      <c r="C11" s="59">
        <v>0</v>
      </c>
      <c r="D11" s="47"/>
      <c r="E11" s="60">
        <v>3000</v>
      </c>
      <c r="F11" s="60">
        <v>768</v>
      </c>
      <c r="G11" s="61">
        <f t="shared" si="1"/>
        <v>100</v>
      </c>
      <c r="H11" s="61">
        <f t="shared" si="1"/>
        <v>25.6</v>
      </c>
      <c r="I11" s="62">
        <v>3.3333333333333333E-2</v>
      </c>
      <c r="J11" s="62">
        <v>3.3333333333333333E-2</v>
      </c>
      <c r="K11" s="63">
        <v>0</v>
      </c>
      <c r="L11" s="64"/>
      <c r="M11" s="65">
        <f>(E11*I11)+(F11*J11)</f>
        <v>125.6</v>
      </c>
      <c r="N11" s="65">
        <f t="shared" si="2"/>
        <v>0</v>
      </c>
      <c r="O11" s="118">
        <f t="shared" si="3"/>
        <v>125</v>
      </c>
      <c r="P11" s="118">
        <f t="shared" si="4"/>
        <v>32</v>
      </c>
      <c r="Q11" s="67">
        <f t="shared" si="5"/>
        <v>125.6</v>
      </c>
      <c r="R11" s="68">
        <f>(((O11/(O11+P11))*Q11)*C11)/1000</f>
        <v>0</v>
      </c>
      <c r="S11" s="68">
        <f t="shared" si="6"/>
        <v>0</v>
      </c>
      <c r="T11" s="69">
        <f t="shared" si="7"/>
        <v>0</v>
      </c>
      <c r="U11" s="118"/>
      <c r="V11" s="70">
        <f t="shared" si="8"/>
        <v>37.68</v>
      </c>
      <c r="W11" s="70">
        <f t="shared" si="19"/>
        <v>37.68</v>
      </c>
      <c r="X11" s="70" t="str">
        <f t="shared" si="9"/>
        <v>-</v>
      </c>
      <c r="Y11" s="71">
        <v>0</v>
      </c>
      <c r="Z11" s="72">
        <f t="shared" si="10"/>
        <v>37.68</v>
      </c>
      <c r="AA11" s="70" t="str">
        <f t="shared" si="11"/>
        <v>-</v>
      </c>
      <c r="AB11" s="73">
        <f t="shared" si="12"/>
        <v>300</v>
      </c>
      <c r="AC11" s="74"/>
      <c r="AD11" s="75" t="str">
        <f t="shared" si="13"/>
        <v>3000/768 Kbps ratio 1:30</v>
      </c>
      <c r="AE11" s="76">
        <f t="shared" si="14"/>
        <v>3000</v>
      </c>
      <c r="AF11" s="76">
        <f t="shared" si="15"/>
        <v>100</v>
      </c>
      <c r="AG11" s="76">
        <f t="shared" si="16"/>
        <v>768</v>
      </c>
      <c r="AH11" s="76">
        <f t="shared" si="17"/>
        <v>25.6</v>
      </c>
      <c r="AI11" s="77">
        <f t="shared" si="18"/>
        <v>37.68</v>
      </c>
      <c r="AJ11" s="1"/>
    </row>
    <row r="12" spans="1:40" ht="14.25" x14ac:dyDescent="0.35">
      <c r="A12" s="1"/>
      <c r="B12" s="78" t="str">
        <f t="shared" si="0"/>
        <v>4096/1024 Kbps</v>
      </c>
      <c r="C12" s="79">
        <v>0</v>
      </c>
      <c r="D12" s="80"/>
      <c r="E12" s="81">
        <v>4096</v>
      </c>
      <c r="F12" s="81">
        <v>1024</v>
      </c>
      <c r="G12" s="82">
        <f t="shared" si="1"/>
        <v>409.6</v>
      </c>
      <c r="H12" s="82">
        <f t="shared" si="1"/>
        <v>102.4</v>
      </c>
      <c r="I12" s="83">
        <f>1/10</f>
        <v>0.1</v>
      </c>
      <c r="J12" s="83">
        <f>1/10</f>
        <v>0.1</v>
      </c>
      <c r="K12" s="84">
        <v>0</v>
      </c>
      <c r="L12" s="85"/>
      <c r="M12" s="86">
        <f>(E12*I12)+(F12*J12)</f>
        <v>512</v>
      </c>
      <c r="N12" s="86">
        <f t="shared" si="2"/>
        <v>0</v>
      </c>
      <c r="O12" s="87">
        <f t="shared" si="3"/>
        <v>4</v>
      </c>
      <c r="P12" s="87">
        <f t="shared" si="4"/>
        <v>1</v>
      </c>
      <c r="Q12" s="88">
        <f t="shared" si="5"/>
        <v>512</v>
      </c>
      <c r="R12" s="89">
        <f>(((O12/(O12+P12))*Q12)*C12)/1000</f>
        <v>0</v>
      </c>
      <c r="S12" s="89">
        <f t="shared" si="6"/>
        <v>0</v>
      </c>
      <c r="T12" s="90">
        <f t="shared" si="7"/>
        <v>0</v>
      </c>
      <c r="U12" s="87"/>
      <c r="V12" s="91">
        <f t="shared" si="8"/>
        <v>153.6</v>
      </c>
      <c r="W12" s="91">
        <f t="shared" si="19"/>
        <v>153.6</v>
      </c>
      <c r="X12" s="91" t="str">
        <f t="shared" si="9"/>
        <v>-</v>
      </c>
      <c r="Y12" s="92">
        <v>0</v>
      </c>
      <c r="Z12" s="93">
        <f t="shared" si="10"/>
        <v>153.6</v>
      </c>
      <c r="AA12" s="91" t="str">
        <f t="shared" si="11"/>
        <v>-</v>
      </c>
      <c r="AB12" s="94">
        <f t="shared" si="12"/>
        <v>300</v>
      </c>
      <c r="AC12" s="95"/>
      <c r="AD12" s="96" t="str">
        <f t="shared" si="13"/>
        <v>4096/1024 Kbps ratio 1:10</v>
      </c>
      <c r="AE12" s="97">
        <f t="shared" si="14"/>
        <v>4096</v>
      </c>
      <c r="AF12" s="97">
        <f t="shared" si="15"/>
        <v>409.6</v>
      </c>
      <c r="AG12" s="97">
        <f t="shared" si="16"/>
        <v>1024</v>
      </c>
      <c r="AH12" s="97">
        <f t="shared" si="17"/>
        <v>102.4</v>
      </c>
      <c r="AI12" s="98">
        <f t="shared" si="18"/>
        <v>153.6</v>
      </c>
      <c r="AJ12" s="1"/>
    </row>
    <row r="13" spans="1:40" ht="14.25" x14ac:dyDescent="0.35">
      <c r="A13" s="1"/>
      <c r="B13" s="117" t="str">
        <f>E13&amp; "/" &amp; F13 &amp; " Kbps"</f>
        <v>8000/2000 Kbps</v>
      </c>
      <c r="C13" s="59">
        <v>0</v>
      </c>
      <c r="D13" s="116"/>
      <c r="E13" s="60">
        <v>8000</v>
      </c>
      <c r="F13" s="60">
        <v>2000</v>
      </c>
      <c r="G13" s="61">
        <f t="shared" si="1"/>
        <v>266.66666666666669</v>
      </c>
      <c r="H13" s="61">
        <f t="shared" si="1"/>
        <v>66.666666666666671</v>
      </c>
      <c r="I13" s="62">
        <v>3.3333333333333333E-2</v>
      </c>
      <c r="J13" s="62">
        <v>3.3333333333333333E-2</v>
      </c>
      <c r="K13" s="63">
        <v>0</v>
      </c>
      <c r="L13" s="120"/>
      <c r="M13" s="119">
        <f t="shared" ref="M13:M16" si="20">(E13*I13)+(F13*J13)</f>
        <v>333.33333333333337</v>
      </c>
      <c r="N13" s="119">
        <f t="shared" si="2"/>
        <v>0</v>
      </c>
      <c r="O13" s="118">
        <f t="shared" si="3"/>
        <v>4</v>
      </c>
      <c r="P13" s="118">
        <f t="shared" si="4"/>
        <v>1</v>
      </c>
      <c r="Q13" s="67">
        <f t="shared" si="5"/>
        <v>333.33333333333337</v>
      </c>
      <c r="R13" s="121">
        <f t="shared" ref="R13:R16" si="21">(((O13/(O13+P13))*Q13)*C13)/1000</f>
        <v>0</v>
      </c>
      <c r="S13" s="121">
        <f t="shared" si="6"/>
        <v>0</v>
      </c>
      <c r="T13" s="122">
        <f t="shared" si="7"/>
        <v>0</v>
      </c>
      <c r="U13" s="118"/>
      <c r="V13" s="70">
        <f>($C$3/1000)*Q13</f>
        <v>100.00000000000001</v>
      </c>
      <c r="W13" s="70">
        <f t="shared" si="19"/>
        <v>100.00000000000001</v>
      </c>
      <c r="X13" s="70" t="str">
        <f t="shared" si="9"/>
        <v>-</v>
      </c>
      <c r="Y13" s="123">
        <v>0</v>
      </c>
      <c r="Z13" s="72">
        <f t="shared" si="10"/>
        <v>100.00000000000001</v>
      </c>
      <c r="AA13" s="70" t="str">
        <f t="shared" si="11"/>
        <v>-</v>
      </c>
      <c r="AB13" s="124">
        <f t="shared" si="12"/>
        <v>300</v>
      </c>
      <c r="AC13" s="125"/>
      <c r="AD13" s="126" t="str">
        <f>B13 &amp; " ratio 1" &amp; ":"&amp; AG13/AH13</f>
        <v>8000/2000 Kbps ratio 1:30</v>
      </c>
      <c r="AE13" s="127">
        <f t="shared" si="14"/>
        <v>8000</v>
      </c>
      <c r="AF13" s="127">
        <f t="shared" si="15"/>
        <v>266.66666666666669</v>
      </c>
      <c r="AG13" s="127">
        <f t="shared" si="16"/>
        <v>2000</v>
      </c>
      <c r="AH13" s="127">
        <f t="shared" si="17"/>
        <v>66.666666666666671</v>
      </c>
      <c r="AI13" s="128">
        <f t="shared" si="18"/>
        <v>100.00000000000001</v>
      </c>
      <c r="AJ13" s="1"/>
    </row>
    <row r="14" spans="1:40" ht="14.25" x14ac:dyDescent="0.35">
      <c r="A14" s="1"/>
      <c r="B14" s="58" t="str">
        <f>E14&amp; "/" &amp; F14 &amp; " Kbps"</f>
        <v>10000/2500 Kbps</v>
      </c>
      <c r="C14" s="59">
        <v>0</v>
      </c>
      <c r="D14" s="47"/>
      <c r="E14" s="60">
        <v>10000</v>
      </c>
      <c r="F14" s="60">
        <v>2500</v>
      </c>
      <c r="G14" s="61">
        <f t="shared" si="1"/>
        <v>333.33333333333331</v>
      </c>
      <c r="H14" s="61">
        <f t="shared" si="1"/>
        <v>83.333333333333329</v>
      </c>
      <c r="I14" s="62">
        <v>3.3333333333333333E-2</v>
      </c>
      <c r="J14" s="62">
        <v>3.3333333333333333E-2</v>
      </c>
      <c r="K14" s="63">
        <v>0</v>
      </c>
      <c r="L14" s="64"/>
      <c r="M14" s="65">
        <f t="shared" si="20"/>
        <v>416.66666666666663</v>
      </c>
      <c r="N14" s="65">
        <f t="shared" si="2"/>
        <v>0</v>
      </c>
      <c r="O14" s="118">
        <f t="shared" si="3"/>
        <v>4</v>
      </c>
      <c r="P14" s="118">
        <f t="shared" si="4"/>
        <v>1</v>
      </c>
      <c r="Q14" s="67">
        <f t="shared" si="5"/>
        <v>416.66666666666663</v>
      </c>
      <c r="R14" s="68">
        <f t="shared" si="21"/>
        <v>0</v>
      </c>
      <c r="S14" s="68">
        <f t="shared" si="6"/>
        <v>0</v>
      </c>
      <c r="T14" s="69">
        <f t="shared" si="7"/>
        <v>0</v>
      </c>
      <c r="U14" s="118"/>
      <c r="V14" s="70">
        <f>($C$3/1000)*Q14</f>
        <v>124.99999999999999</v>
      </c>
      <c r="W14" s="70">
        <f t="shared" si="19"/>
        <v>124.99999999999999</v>
      </c>
      <c r="X14" s="70" t="str">
        <f t="shared" si="9"/>
        <v>-</v>
      </c>
      <c r="Y14" s="71">
        <v>0</v>
      </c>
      <c r="Z14" s="72">
        <f t="shared" si="10"/>
        <v>124.99999999999999</v>
      </c>
      <c r="AA14" s="70" t="str">
        <f t="shared" si="11"/>
        <v>-</v>
      </c>
      <c r="AB14" s="73">
        <f t="shared" si="12"/>
        <v>300</v>
      </c>
      <c r="AC14" s="74"/>
      <c r="AD14" s="75" t="str">
        <f>B14 &amp; " ratio 1" &amp; ":"&amp; AG14/AH14</f>
        <v>10000/2500 Kbps ratio 1:30</v>
      </c>
      <c r="AE14" s="76">
        <f t="shared" si="14"/>
        <v>10000</v>
      </c>
      <c r="AF14" s="76">
        <f t="shared" si="15"/>
        <v>333.33333333333331</v>
      </c>
      <c r="AG14" s="76">
        <f t="shared" si="16"/>
        <v>2500</v>
      </c>
      <c r="AH14" s="76">
        <f t="shared" si="17"/>
        <v>83.333333333333329</v>
      </c>
      <c r="AI14" s="77">
        <f t="shared" si="18"/>
        <v>124.99999999999999</v>
      </c>
      <c r="AJ14" s="1"/>
    </row>
    <row r="15" spans="1:40" ht="14.25" x14ac:dyDescent="0.35">
      <c r="A15" s="1"/>
      <c r="B15" s="58" t="str">
        <f t="shared" ref="B15:B16" si="22">E15&amp; "/" &amp; F15 &amp; " Kbps"</f>
        <v>15000/3000 Kbps</v>
      </c>
      <c r="C15" s="59">
        <v>0</v>
      </c>
      <c r="D15" s="47"/>
      <c r="E15" s="60">
        <v>15000</v>
      </c>
      <c r="F15" s="60">
        <v>3000</v>
      </c>
      <c r="G15" s="61">
        <f t="shared" si="1"/>
        <v>500</v>
      </c>
      <c r="H15" s="61">
        <f t="shared" si="1"/>
        <v>100</v>
      </c>
      <c r="I15" s="62">
        <v>3.3333333333333333E-2</v>
      </c>
      <c r="J15" s="62">
        <v>3.3333333333333333E-2</v>
      </c>
      <c r="K15" s="63">
        <v>0</v>
      </c>
      <c r="L15" s="64"/>
      <c r="M15" s="65">
        <f t="shared" si="20"/>
        <v>600</v>
      </c>
      <c r="N15" s="65">
        <f t="shared" si="2"/>
        <v>0</v>
      </c>
      <c r="O15" s="118">
        <f t="shared" si="3"/>
        <v>5</v>
      </c>
      <c r="P15" s="118">
        <f t="shared" si="4"/>
        <v>1</v>
      </c>
      <c r="Q15" s="67">
        <f t="shared" si="5"/>
        <v>600</v>
      </c>
      <c r="R15" s="68">
        <f t="shared" si="21"/>
        <v>0</v>
      </c>
      <c r="S15" s="68">
        <f t="shared" si="6"/>
        <v>0</v>
      </c>
      <c r="T15" s="69">
        <f t="shared" si="7"/>
        <v>0</v>
      </c>
      <c r="U15" s="118"/>
      <c r="V15" s="70">
        <f t="shared" ref="V15:V16" si="23">($C$3/1000)*Q15</f>
        <v>180</v>
      </c>
      <c r="W15" s="70">
        <f t="shared" si="19"/>
        <v>180</v>
      </c>
      <c r="X15" s="70" t="str">
        <f t="shared" si="9"/>
        <v>-</v>
      </c>
      <c r="Y15" s="71">
        <v>0</v>
      </c>
      <c r="Z15" s="72">
        <f t="shared" si="10"/>
        <v>180</v>
      </c>
      <c r="AA15" s="70" t="str">
        <f t="shared" si="11"/>
        <v>-</v>
      </c>
      <c r="AB15" s="73">
        <f t="shared" si="12"/>
        <v>300</v>
      </c>
      <c r="AC15" s="11"/>
      <c r="AD15" s="75" t="str">
        <f t="shared" ref="AD15:AD16" si="24">B15 &amp; " ratio 1" &amp; ":"&amp; AG15/AH15</f>
        <v>15000/3000 Kbps ratio 1:30</v>
      </c>
      <c r="AE15" s="76">
        <f t="shared" si="14"/>
        <v>15000</v>
      </c>
      <c r="AF15" s="76">
        <f t="shared" si="15"/>
        <v>500</v>
      </c>
      <c r="AG15" s="76">
        <f t="shared" si="16"/>
        <v>3000</v>
      </c>
      <c r="AH15" s="76">
        <f t="shared" si="17"/>
        <v>100</v>
      </c>
      <c r="AI15" s="77">
        <f t="shared" si="18"/>
        <v>180</v>
      </c>
      <c r="AJ15" s="1"/>
    </row>
    <row r="16" spans="1:40" ht="14.25" x14ac:dyDescent="0.35">
      <c r="A16" s="1"/>
      <c r="B16" s="58" t="str">
        <f t="shared" si="22"/>
        <v>20000/2500 Kbps</v>
      </c>
      <c r="C16" s="59">
        <v>0</v>
      </c>
      <c r="D16" s="47"/>
      <c r="E16" s="60">
        <v>20000</v>
      </c>
      <c r="F16" s="60">
        <v>2500</v>
      </c>
      <c r="G16" s="61">
        <f t="shared" si="1"/>
        <v>222.22222222222223</v>
      </c>
      <c r="H16" s="61">
        <f t="shared" si="1"/>
        <v>27.777777777777779</v>
      </c>
      <c r="I16" s="62">
        <f>1/90</f>
        <v>1.1111111111111112E-2</v>
      </c>
      <c r="J16" s="62">
        <f>1/90</f>
        <v>1.1111111111111112E-2</v>
      </c>
      <c r="K16" s="63">
        <v>0</v>
      </c>
      <c r="L16" s="64"/>
      <c r="M16" s="65">
        <f t="shared" si="20"/>
        <v>250</v>
      </c>
      <c r="N16" s="65">
        <f t="shared" si="2"/>
        <v>0</v>
      </c>
      <c r="O16" s="118">
        <f t="shared" si="3"/>
        <v>8</v>
      </c>
      <c r="P16" s="118">
        <f t="shared" si="4"/>
        <v>1</v>
      </c>
      <c r="Q16" s="67">
        <f t="shared" si="5"/>
        <v>250</v>
      </c>
      <c r="R16" s="68">
        <f t="shared" si="21"/>
        <v>0</v>
      </c>
      <c r="S16" s="68">
        <f t="shared" si="6"/>
        <v>0</v>
      </c>
      <c r="T16" s="69">
        <f t="shared" si="7"/>
        <v>0</v>
      </c>
      <c r="U16" s="118"/>
      <c r="V16" s="70">
        <f t="shared" si="23"/>
        <v>75</v>
      </c>
      <c r="W16" s="70">
        <f t="shared" si="19"/>
        <v>75</v>
      </c>
      <c r="X16" s="70" t="str">
        <f t="shared" si="9"/>
        <v>-</v>
      </c>
      <c r="Y16" s="71">
        <v>0</v>
      </c>
      <c r="Z16" s="72">
        <f t="shared" si="10"/>
        <v>75</v>
      </c>
      <c r="AA16" s="70" t="str">
        <f t="shared" si="11"/>
        <v>-</v>
      </c>
      <c r="AB16" s="73">
        <f>(Z16/M16)*1000</f>
        <v>300</v>
      </c>
      <c r="AC16" s="11"/>
      <c r="AD16" s="75" t="str">
        <f t="shared" si="24"/>
        <v>20000/2500 Kbps ratio 1:90</v>
      </c>
      <c r="AE16" s="76">
        <f t="shared" si="14"/>
        <v>20000</v>
      </c>
      <c r="AF16" s="76">
        <f t="shared" si="15"/>
        <v>222.22222222222223</v>
      </c>
      <c r="AG16" s="76">
        <f t="shared" si="16"/>
        <v>2500</v>
      </c>
      <c r="AH16" s="76">
        <f t="shared" si="17"/>
        <v>27.777777777777779</v>
      </c>
      <c r="AI16" s="77">
        <f t="shared" si="18"/>
        <v>75</v>
      </c>
      <c r="AJ16" s="1"/>
    </row>
    <row r="17" spans="1:36" ht="14.25" x14ac:dyDescent="0.35">
      <c r="A17" s="1"/>
      <c r="B17" s="99" t="s">
        <v>48</v>
      </c>
      <c r="C17" s="100">
        <f>SUM(C9:C16)</f>
        <v>0</v>
      </c>
      <c r="D17" s="101"/>
      <c r="E17" s="102"/>
      <c r="F17" s="102"/>
      <c r="G17" s="102"/>
      <c r="H17" s="103"/>
      <c r="I17" s="103"/>
      <c r="J17" s="103"/>
      <c r="K17" s="104"/>
      <c r="L17" s="105"/>
      <c r="M17" s="106"/>
      <c r="N17" s="107"/>
      <c r="O17" s="11"/>
      <c r="P17" s="1"/>
      <c r="Q17" s="108"/>
      <c r="R17" s="109">
        <f>SUM(R9:R16)</f>
        <v>0</v>
      </c>
      <c r="S17" s="110">
        <f>SUM(S9:S16)</f>
        <v>0</v>
      </c>
      <c r="T17" s="111">
        <f>SUM(T9:T16)</f>
        <v>0</v>
      </c>
      <c r="U17" s="1"/>
      <c r="V17" s="112"/>
      <c r="W17" s="112"/>
      <c r="X17" s="112"/>
      <c r="Y17" s="113"/>
      <c r="Z17" s="112"/>
      <c r="AA17" s="112"/>
      <c r="AB17" s="113"/>
      <c r="AC17" s="11"/>
      <c r="AD17" s="114"/>
      <c r="AE17" s="114"/>
      <c r="AF17" s="114"/>
      <c r="AG17" s="114"/>
      <c r="AH17" s="114"/>
      <c r="AI17" s="114"/>
      <c r="AJ17" s="1"/>
    </row>
    <row r="18" spans="1:36" x14ac:dyDescent="0.35">
      <c r="A18" s="1"/>
      <c r="B18" s="11"/>
      <c r="C18" s="11"/>
      <c r="D18" s="29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"/>
      <c r="AD18" s="1"/>
      <c r="AE18" s="1"/>
      <c r="AF18" s="1"/>
      <c r="AG18" s="1"/>
      <c r="AH18" s="1"/>
      <c r="AI18" s="1"/>
      <c r="AJ18" s="1"/>
    </row>
  </sheetData>
  <mergeCells count="12">
    <mergeCell ref="M5:N5"/>
    <mergeCell ref="V5:W5"/>
    <mergeCell ref="B7:B8"/>
    <mergeCell ref="Y7:Y8"/>
    <mergeCell ref="Z7:AA7"/>
    <mergeCell ref="AD7:AI7"/>
    <mergeCell ref="B1:C1"/>
    <mergeCell ref="M2:P2"/>
    <mergeCell ref="M3:N3"/>
    <mergeCell ref="V3:W3"/>
    <mergeCell ref="M4:N4"/>
    <mergeCell ref="V4:W4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showGridLines="0" zoomScaleNormal="125" workbookViewId="0">
      <selection activeCell="D16" sqref="D16"/>
    </sheetView>
  </sheetViews>
  <sheetFormatPr defaultColWidth="9.1328125" defaultRowHeight="12.75" x14ac:dyDescent="0.35"/>
  <cols>
    <col min="1" max="1" width="2.796875" style="3" customWidth="1"/>
    <col min="2" max="2" width="15.6640625" style="3" bestFit="1" customWidth="1"/>
    <col min="3" max="3" width="7.796875" style="3" bestFit="1" customWidth="1"/>
    <col min="4" max="4" width="2.33203125" style="115" customWidth="1"/>
    <col min="5" max="5" width="7.6640625" style="3" customWidth="1"/>
    <col min="6" max="6" width="7" style="3" customWidth="1"/>
    <col min="7" max="7" width="10.1328125" style="3" bestFit="1" customWidth="1"/>
    <col min="8" max="8" width="7.6640625" style="3" bestFit="1" customWidth="1"/>
    <col min="9" max="10" width="10.46484375" style="3" bestFit="1" customWidth="1"/>
    <col min="11" max="11" width="8.6640625" style="3" bestFit="1" customWidth="1"/>
    <col min="12" max="12" width="2.1328125" style="3" customWidth="1"/>
    <col min="13" max="13" width="10.796875" style="3" customWidth="1"/>
    <col min="14" max="14" width="11.33203125" style="3" customWidth="1"/>
    <col min="15" max="15" width="11.796875" style="3" hidden="1" customWidth="1"/>
    <col min="16" max="16" width="4.1328125" style="3" hidden="1" customWidth="1"/>
    <col min="17" max="17" width="12.6640625" style="3" bestFit="1" customWidth="1"/>
    <col min="18" max="19" width="7" style="3" bestFit="1" customWidth="1"/>
    <col min="20" max="20" width="13.1328125" style="3" bestFit="1" customWidth="1"/>
    <col min="21" max="21" width="2.33203125" style="3" customWidth="1"/>
    <col min="22" max="22" width="12.46484375" style="3" bestFit="1" customWidth="1"/>
    <col min="23" max="23" width="9.6640625" style="3" bestFit="1" customWidth="1"/>
    <col min="24" max="24" width="9" style="3" bestFit="1" customWidth="1"/>
    <col min="25" max="25" width="6.1328125" style="3" bestFit="1" customWidth="1"/>
    <col min="26" max="26" width="8.1328125" style="3" bestFit="1" customWidth="1"/>
    <col min="27" max="27" width="8.33203125" style="3" bestFit="1" customWidth="1"/>
    <col min="28" max="28" width="11.46484375" style="3" bestFit="1" customWidth="1"/>
    <col min="29" max="29" width="3" style="3" customWidth="1"/>
    <col min="30" max="30" width="21.1328125" style="3" bestFit="1" customWidth="1"/>
    <col min="31" max="31" width="9.46484375" style="3" bestFit="1" customWidth="1"/>
    <col min="32" max="32" width="9.33203125" style="3" bestFit="1" customWidth="1"/>
    <col min="33" max="33" width="7" style="3" bestFit="1" customWidth="1"/>
    <col min="34" max="34" width="6.796875" style="3" bestFit="1" customWidth="1"/>
    <col min="35" max="35" width="7.6640625" style="3" bestFit="1" customWidth="1"/>
    <col min="36" max="36" width="3" style="3" customWidth="1"/>
    <col min="37" max="16384" width="9.1328125" style="3"/>
  </cols>
  <sheetData>
    <row r="1" spans="1:40" ht="15" x14ac:dyDescent="0.35">
      <c r="A1" s="1"/>
      <c r="B1" s="144"/>
      <c r="C1" s="144"/>
      <c r="D1" s="2"/>
      <c r="E1" s="1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1"/>
      <c r="AD1" s="1"/>
      <c r="AE1" s="1"/>
      <c r="AF1" s="1"/>
      <c r="AG1" s="1"/>
      <c r="AH1" s="1"/>
      <c r="AI1" s="1"/>
      <c r="AJ1" s="1"/>
    </row>
    <row r="2" spans="1:40" ht="15" x14ac:dyDescent="0.35">
      <c r="A2" s="1"/>
      <c r="B2" s="4"/>
      <c r="C2" s="4"/>
      <c r="D2" s="4"/>
      <c r="E2" s="1"/>
      <c r="F2" s="1"/>
      <c r="G2" s="1"/>
      <c r="H2" s="1"/>
      <c r="I2" s="4"/>
      <c r="J2" s="4"/>
      <c r="K2" s="4"/>
      <c r="L2" s="4"/>
      <c r="M2" s="145" t="s">
        <v>0</v>
      </c>
      <c r="N2" s="146"/>
      <c r="O2" s="146"/>
      <c r="P2" s="146"/>
      <c r="Q2" s="5" t="s">
        <v>1</v>
      </c>
      <c r="R2" s="6" t="s">
        <v>2</v>
      </c>
      <c r="S2" s="1"/>
      <c r="T2" s="1"/>
      <c r="U2" s="1"/>
      <c r="V2" s="1"/>
      <c r="W2" s="1"/>
      <c r="X2" s="1"/>
      <c r="Y2" s="1"/>
      <c r="Z2" s="1"/>
      <c r="AA2" s="7" t="s">
        <v>3</v>
      </c>
      <c r="AB2" s="8">
        <f>C3*Q5</f>
        <v>10000</v>
      </c>
      <c r="AC2" s="1"/>
      <c r="AD2" s="1"/>
      <c r="AE2" s="1"/>
      <c r="AF2" s="1"/>
      <c r="AG2" s="1"/>
      <c r="AH2" s="1"/>
      <c r="AI2" s="1"/>
      <c r="AJ2" s="1"/>
    </row>
    <row r="3" spans="1:40" ht="13.15" x14ac:dyDescent="0.35">
      <c r="A3" s="1"/>
      <c r="B3" s="7" t="s">
        <v>4</v>
      </c>
      <c r="C3" s="9">
        <v>400</v>
      </c>
      <c r="D3" s="10"/>
      <c r="E3" s="1"/>
      <c r="F3" s="1"/>
      <c r="G3" s="1"/>
      <c r="H3" s="1"/>
      <c r="I3" s="11"/>
      <c r="J3" s="1"/>
      <c r="K3" s="1"/>
      <c r="L3" s="11"/>
      <c r="M3" s="147" t="s">
        <v>5</v>
      </c>
      <c r="N3" s="148"/>
      <c r="O3" s="12"/>
      <c r="P3" s="12"/>
      <c r="Q3" s="13">
        <f>IF(CEILING(($R$17*1000)/1000,0.5)&lt;(MAX($E$9:$E$16)/1000),MAX($E$9:$E$16)/1000,CEILING(($R$17*1000)/1000,0.5))</f>
        <v>20</v>
      </c>
      <c r="R3" s="14">
        <f>Q3/K5</f>
        <v>10</v>
      </c>
      <c r="S3" s="1"/>
      <c r="T3" s="1"/>
      <c r="U3" s="1"/>
      <c r="V3" s="149" t="s">
        <v>6</v>
      </c>
      <c r="W3" s="150"/>
      <c r="X3" s="15">
        <f>AB3/Q5</f>
        <v>0</v>
      </c>
      <c r="Y3" s="1"/>
      <c r="Z3" s="1"/>
      <c r="AA3" s="16" t="s">
        <v>7</v>
      </c>
      <c r="AB3" s="17">
        <f>SUMPRODUCT(C9:C16,Z9:Z16)</f>
        <v>0</v>
      </c>
      <c r="AC3" s="1"/>
      <c r="AD3" s="1"/>
      <c r="AE3" s="1"/>
      <c r="AF3" s="1"/>
      <c r="AG3" s="1"/>
      <c r="AH3" s="1"/>
      <c r="AI3" s="1"/>
      <c r="AJ3" s="1"/>
    </row>
    <row r="4" spans="1:40" ht="13.15" x14ac:dyDescent="0.35">
      <c r="A4" s="1"/>
      <c r="B4" s="16" t="s">
        <v>8</v>
      </c>
      <c r="C4" s="18">
        <f>C3*K5</f>
        <v>800</v>
      </c>
      <c r="D4" s="10"/>
      <c r="E4" s="1"/>
      <c r="F4" s="1"/>
      <c r="G4" s="1"/>
      <c r="H4" s="1"/>
      <c r="I4" s="11"/>
      <c r="J4" s="1"/>
      <c r="K4" s="1"/>
      <c r="L4" s="11"/>
      <c r="M4" s="147" t="s">
        <v>9</v>
      </c>
      <c r="N4" s="148"/>
      <c r="O4" s="12"/>
      <c r="P4" s="12"/>
      <c r="Q4" s="13">
        <f>IF(CEILING(($S$17*1000)/1000,0.5)&lt;(MAX($F$9:$F$16)/1000),MAX($F$9:$F$16)/1000,CEILING(($S$17*1000)/1000,0.5))</f>
        <v>5</v>
      </c>
      <c r="R4" s="14">
        <f>Q4/K5</f>
        <v>2.5</v>
      </c>
      <c r="S4" s="1"/>
      <c r="T4" s="1"/>
      <c r="U4" s="1"/>
      <c r="V4" s="151" t="s">
        <v>10</v>
      </c>
      <c r="W4" s="152"/>
      <c r="X4" s="19">
        <f>AB3/R5</f>
        <v>0</v>
      </c>
      <c r="Y4" s="1"/>
      <c r="Z4" s="1"/>
      <c r="AA4" s="16" t="s">
        <v>11</v>
      </c>
      <c r="AB4" s="17">
        <f>AB3-AB2</f>
        <v>-10000</v>
      </c>
      <c r="AC4" s="1"/>
      <c r="AD4" s="1"/>
      <c r="AE4" s="1"/>
      <c r="AF4" s="1"/>
      <c r="AG4" s="1"/>
      <c r="AH4" s="1"/>
      <c r="AI4" s="1"/>
      <c r="AJ4" s="1"/>
    </row>
    <row r="5" spans="1:40" ht="13.15" x14ac:dyDescent="0.35">
      <c r="A5" s="1"/>
      <c r="B5" s="20" t="s">
        <v>12</v>
      </c>
      <c r="C5" s="21">
        <v>0</v>
      </c>
      <c r="D5" s="10"/>
      <c r="E5" s="1"/>
      <c r="F5" s="1"/>
      <c r="G5" s="1"/>
      <c r="H5" s="1"/>
      <c r="I5" s="11"/>
      <c r="J5" s="22" t="s">
        <v>13</v>
      </c>
      <c r="K5" s="23">
        <v>2</v>
      </c>
      <c r="L5" s="11"/>
      <c r="M5" s="134" t="s">
        <v>14</v>
      </c>
      <c r="N5" s="135"/>
      <c r="O5" s="24"/>
      <c r="P5" s="24"/>
      <c r="Q5" s="25">
        <f>SUM(Q3,Q4)</f>
        <v>25</v>
      </c>
      <c r="R5" s="26">
        <f>SUM(R3:R4)</f>
        <v>12.5</v>
      </c>
      <c r="S5" s="1"/>
      <c r="T5" s="1"/>
      <c r="U5" s="1"/>
      <c r="V5" s="136" t="s">
        <v>15</v>
      </c>
      <c r="W5" s="137"/>
      <c r="X5" s="27">
        <f>X4*36*12</f>
        <v>0</v>
      </c>
      <c r="Y5" s="1"/>
      <c r="Z5" s="11"/>
      <c r="AA5" s="20" t="s">
        <v>16</v>
      </c>
      <c r="AB5" s="28" t="e">
        <f>AB3/C17</f>
        <v>#DIV/0!</v>
      </c>
      <c r="AC5" s="1"/>
      <c r="AD5" s="1"/>
      <c r="AE5" s="1"/>
      <c r="AF5" s="1"/>
      <c r="AG5" s="1"/>
      <c r="AH5" s="1"/>
      <c r="AI5" s="1"/>
      <c r="AJ5" s="1"/>
    </row>
    <row r="6" spans="1:40" ht="13.05" customHeight="1" x14ac:dyDescent="0.35">
      <c r="A6" s="1"/>
      <c r="B6" s="11"/>
      <c r="C6" s="11"/>
      <c r="D6" s="29"/>
      <c r="E6" s="30"/>
      <c r="F6" s="3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"/>
      <c r="V6" s="11"/>
      <c r="W6" s="11"/>
      <c r="X6" s="11"/>
      <c r="Y6" s="11"/>
      <c r="Z6" s="11"/>
      <c r="AA6" s="11"/>
      <c r="AB6" s="1"/>
      <c r="AC6" s="1"/>
      <c r="AD6" s="1"/>
      <c r="AE6" s="1"/>
      <c r="AF6" s="1"/>
      <c r="AG6" s="1"/>
      <c r="AH6" s="1"/>
      <c r="AI6" s="1"/>
      <c r="AJ6" s="1"/>
    </row>
    <row r="7" spans="1:40" s="45" customFormat="1" ht="24" customHeight="1" x14ac:dyDescent="0.35">
      <c r="A7" s="31"/>
      <c r="B7" s="138" t="s">
        <v>17</v>
      </c>
      <c r="C7" s="32" t="s">
        <v>18</v>
      </c>
      <c r="D7" s="33"/>
      <c r="E7" s="34" t="s">
        <v>19</v>
      </c>
      <c r="F7" s="35" t="s">
        <v>19</v>
      </c>
      <c r="G7" s="35" t="s">
        <v>20</v>
      </c>
      <c r="H7" s="35" t="s">
        <v>20</v>
      </c>
      <c r="I7" s="35" t="s">
        <v>21</v>
      </c>
      <c r="J7" s="35" t="s">
        <v>21</v>
      </c>
      <c r="K7" s="36" t="s">
        <v>22</v>
      </c>
      <c r="L7" s="37"/>
      <c r="M7" s="38" t="s">
        <v>23</v>
      </c>
      <c r="N7" s="39" t="s">
        <v>24</v>
      </c>
      <c r="O7" s="40"/>
      <c r="P7" s="40"/>
      <c r="Q7" s="32" t="s">
        <v>25</v>
      </c>
      <c r="R7" s="32" t="s">
        <v>26</v>
      </c>
      <c r="S7" s="32" t="s">
        <v>27</v>
      </c>
      <c r="T7" s="41" t="s">
        <v>28</v>
      </c>
      <c r="U7" s="40"/>
      <c r="V7" s="42" t="s">
        <v>3</v>
      </c>
      <c r="W7" s="43" t="s">
        <v>29</v>
      </c>
      <c r="X7" s="43" t="s">
        <v>3</v>
      </c>
      <c r="Y7" s="140" t="s">
        <v>30</v>
      </c>
      <c r="Z7" s="142" t="s">
        <v>31</v>
      </c>
      <c r="AA7" s="142"/>
      <c r="AB7" s="44" t="s">
        <v>3</v>
      </c>
      <c r="AC7" s="11"/>
      <c r="AD7" s="143" t="s">
        <v>32</v>
      </c>
      <c r="AE7" s="143"/>
      <c r="AF7" s="143"/>
      <c r="AG7" s="143"/>
      <c r="AH7" s="143"/>
      <c r="AI7" s="143"/>
      <c r="AJ7" s="31"/>
      <c r="AK7" s="3"/>
      <c r="AL7" s="3"/>
      <c r="AM7" s="3"/>
      <c r="AN7" s="3"/>
    </row>
    <row r="8" spans="1:40" s="45" customFormat="1" ht="14" customHeight="1" x14ac:dyDescent="0.35">
      <c r="A8" s="31"/>
      <c r="B8" s="139"/>
      <c r="C8" s="46" t="s">
        <v>33</v>
      </c>
      <c r="D8" s="47"/>
      <c r="E8" s="48" t="s">
        <v>26</v>
      </c>
      <c r="F8" s="49" t="s">
        <v>27</v>
      </c>
      <c r="G8" s="49" t="s">
        <v>26</v>
      </c>
      <c r="H8" s="49" t="s">
        <v>27</v>
      </c>
      <c r="I8" s="49" t="s">
        <v>26</v>
      </c>
      <c r="J8" s="49" t="s">
        <v>27</v>
      </c>
      <c r="K8" s="50" t="s">
        <v>34</v>
      </c>
      <c r="L8" s="37"/>
      <c r="M8" s="51" t="s">
        <v>35</v>
      </c>
      <c r="N8" s="52" t="s">
        <v>35</v>
      </c>
      <c r="O8" s="40"/>
      <c r="P8" s="40"/>
      <c r="Q8" s="51" t="s">
        <v>36</v>
      </c>
      <c r="R8" s="53" t="s">
        <v>1</v>
      </c>
      <c r="S8" s="53" t="s">
        <v>1</v>
      </c>
      <c r="T8" s="46" t="s">
        <v>37</v>
      </c>
      <c r="U8" s="40"/>
      <c r="V8" s="54" t="s">
        <v>38</v>
      </c>
      <c r="W8" s="55" t="s">
        <v>39</v>
      </c>
      <c r="X8" s="55" t="s">
        <v>40</v>
      </c>
      <c r="Y8" s="141"/>
      <c r="Z8" s="55" t="s">
        <v>39</v>
      </c>
      <c r="AA8" s="55" t="s">
        <v>40</v>
      </c>
      <c r="AB8" s="56" t="s">
        <v>41</v>
      </c>
      <c r="AC8" s="11"/>
      <c r="AD8" s="57" t="s">
        <v>42</v>
      </c>
      <c r="AE8" s="57" t="s">
        <v>43</v>
      </c>
      <c r="AF8" s="57" t="s">
        <v>44</v>
      </c>
      <c r="AG8" s="57" t="s">
        <v>45</v>
      </c>
      <c r="AH8" s="57" t="s">
        <v>46</v>
      </c>
      <c r="AI8" s="57" t="s">
        <v>47</v>
      </c>
      <c r="AJ8" s="31"/>
    </row>
    <row r="9" spans="1:40" ht="14.25" x14ac:dyDescent="0.35">
      <c r="A9" s="1"/>
      <c r="B9" s="58" t="str">
        <f t="shared" ref="B9:B12" si="0">E9&amp; "/" &amp; F9 &amp; " Kbps"</f>
        <v>1000/256 Kbps</v>
      </c>
      <c r="C9" s="59">
        <v>0</v>
      </c>
      <c r="D9" s="47"/>
      <c r="E9" s="60">
        <v>1000</v>
      </c>
      <c r="F9" s="60">
        <v>256</v>
      </c>
      <c r="G9" s="61">
        <f t="shared" ref="G9:H16" si="1">E9*I9</f>
        <v>33.333333333333336</v>
      </c>
      <c r="H9" s="61">
        <f>F9*J9</f>
        <v>8.5333333333333332</v>
      </c>
      <c r="I9" s="62">
        <v>3.3333333333333333E-2</v>
      </c>
      <c r="J9" s="62">
        <v>3.3333333333333333E-2</v>
      </c>
      <c r="K9" s="63">
        <v>0</v>
      </c>
      <c r="L9" s="64"/>
      <c r="M9" s="65">
        <f>(E9*I9)+(F9*J9)</f>
        <v>41.866666666666667</v>
      </c>
      <c r="N9" s="65">
        <f t="shared" ref="N9:N16" si="2">(K9*1000*1000*8*(1/30)*(1/24)*(1/3600))</f>
        <v>0</v>
      </c>
      <c r="O9" s="66">
        <f t="shared" ref="O9:O16" si="3">E9/GCD(E9,F9)</f>
        <v>125</v>
      </c>
      <c r="P9" s="66">
        <f t="shared" ref="P9:P16" si="4">F9/GCD(E9,F9)</f>
        <v>32</v>
      </c>
      <c r="Q9" s="67">
        <f t="shared" ref="Q9:Q16" si="5">AVERAGEIF(M9:N9,"&gt;0")</f>
        <v>41.866666666666667</v>
      </c>
      <c r="R9" s="68">
        <f>(((O9/(O9+P9))*Q9)*C9)/1000</f>
        <v>0</v>
      </c>
      <c r="S9" s="68">
        <f t="shared" ref="S9:S16" si="6">(((P9/(O9+P9))*Q9)*C9/1000)</f>
        <v>0</v>
      </c>
      <c r="T9" s="69">
        <f t="shared" ref="T9:T16" si="7">(Q9*C9)/1000</f>
        <v>0</v>
      </c>
      <c r="U9" s="66"/>
      <c r="V9" s="70">
        <f t="shared" ref="V9:V12" si="8">($C$3/1000)*Q9</f>
        <v>16.746666666666666</v>
      </c>
      <c r="W9" s="70">
        <f>SUM(V9,((SUM(E9:F9)-Q9)*$C$5*($C$3/1024)))</f>
        <v>16.746666666666666</v>
      </c>
      <c r="X9" s="70" t="str">
        <f t="shared" ref="X9:X16" si="9">IFERROR(V9/K9,"-")</f>
        <v>-</v>
      </c>
      <c r="Y9" s="71">
        <v>0</v>
      </c>
      <c r="Z9" s="72">
        <f t="shared" ref="Z9:Z16" si="10">W9*(1+Y9)</f>
        <v>16.746666666666666</v>
      </c>
      <c r="AA9" s="70" t="str">
        <f t="shared" ref="AA9:AA16" si="11">IFERROR(Z9/K9,"-")</f>
        <v>-</v>
      </c>
      <c r="AB9" s="73">
        <f t="shared" ref="AB9:AB15" si="12">(Z9/M9)*1000</f>
        <v>399.99999999999994</v>
      </c>
      <c r="AC9" s="74"/>
      <c r="AD9" s="75" t="str">
        <f t="shared" ref="AD9:AD12" si="13">B9 &amp; " ratio 1" &amp; ":"&amp; AG9/AH9</f>
        <v>1000/256 Kbps ratio 1:30</v>
      </c>
      <c r="AE9" s="76">
        <f t="shared" ref="AE9:AE16" si="14">E9</f>
        <v>1000</v>
      </c>
      <c r="AF9" s="76">
        <f t="shared" ref="AF9:AF16" si="15">G9</f>
        <v>33.333333333333336</v>
      </c>
      <c r="AG9" s="76">
        <f t="shared" ref="AG9:AG16" si="16">F9</f>
        <v>256</v>
      </c>
      <c r="AH9" s="76">
        <f t="shared" ref="AH9:AH16" si="17">H9</f>
        <v>8.5333333333333332</v>
      </c>
      <c r="AI9" s="77">
        <f t="shared" ref="AI9:AI16" si="18">Z9</f>
        <v>16.746666666666666</v>
      </c>
      <c r="AJ9" s="1"/>
    </row>
    <row r="10" spans="1:40" ht="14.25" x14ac:dyDescent="0.35">
      <c r="A10" s="1"/>
      <c r="B10" s="58" t="str">
        <f t="shared" si="0"/>
        <v>2000/512 Kbps</v>
      </c>
      <c r="C10" s="59">
        <v>0</v>
      </c>
      <c r="D10" s="47"/>
      <c r="E10" s="60">
        <v>2000</v>
      </c>
      <c r="F10" s="60">
        <v>512</v>
      </c>
      <c r="G10" s="61">
        <f t="shared" si="1"/>
        <v>66.666666666666671</v>
      </c>
      <c r="H10" s="61">
        <f t="shared" si="1"/>
        <v>17.066666666666666</v>
      </c>
      <c r="I10" s="62">
        <v>3.3333333333333333E-2</v>
      </c>
      <c r="J10" s="62">
        <v>3.3333333333333333E-2</v>
      </c>
      <c r="K10" s="63">
        <v>0</v>
      </c>
      <c r="L10" s="64"/>
      <c r="M10" s="65">
        <f>(E10*I10)+(F10*J10)</f>
        <v>83.733333333333334</v>
      </c>
      <c r="N10" s="65">
        <f t="shared" si="2"/>
        <v>0</v>
      </c>
      <c r="O10" s="66">
        <f t="shared" si="3"/>
        <v>125</v>
      </c>
      <c r="P10" s="66">
        <f t="shared" si="4"/>
        <v>32</v>
      </c>
      <c r="Q10" s="67">
        <f t="shared" si="5"/>
        <v>83.733333333333334</v>
      </c>
      <c r="R10" s="68">
        <f>(((O10/(O10+P10))*Q10)*C10)/1000</f>
        <v>0</v>
      </c>
      <c r="S10" s="68">
        <f t="shared" si="6"/>
        <v>0</v>
      </c>
      <c r="T10" s="69">
        <f t="shared" si="7"/>
        <v>0</v>
      </c>
      <c r="U10" s="66"/>
      <c r="V10" s="70">
        <f t="shared" si="8"/>
        <v>33.493333333333332</v>
      </c>
      <c r="W10" s="70">
        <f t="shared" ref="W10:W16" si="19">SUM(V10,((SUM(E10:F10)-Q10)*$C$5*($C$3/1024)))</f>
        <v>33.493333333333332</v>
      </c>
      <c r="X10" s="70" t="str">
        <f t="shared" si="9"/>
        <v>-</v>
      </c>
      <c r="Y10" s="71">
        <v>0</v>
      </c>
      <c r="Z10" s="72">
        <f t="shared" si="10"/>
        <v>33.493333333333332</v>
      </c>
      <c r="AA10" s="70" t="str">
        <f t="shared" si="11"/>
        <v>-</v>
      </c>
      <c r="AB10" s="73">
        <f t="shared" si="12"/>
        <v>399.99999999999994</v>
      </c>
      <c r="AC10" s="74"/>
      <c r="AD10" s="75" t="str">
        <f t="shared" si="13"/>
        <v>2000/512 Kbps ratio 1:30</v>
      </c>
      <c r="AE10" s="76">
        <f t="shared" si="14"/>
        <v>2000</v>
      </c>
      <c r="AF10" s="76">
        <f t="shared" si="15"/>
        <v>66.666666666666671</v>
      </c>
      <c r="AG10" s="76">
        <f t="shared" si="16"/>
        <v>512</v>
      </c>
      <c r="AH10" s="76">
        <f t="shared" si="17"/>
        <v>17.066666666666666</v>
      </c>
      <c r="AI10" s="77">
        <f t="shared" si="18"/>
        <v>33.493333333333332</v>
      </c>
      <c r="AJ10" s="1"/>
    </row>
    <row r="11" spans="1:40" ht="14.25" x14ac:dyDescent="0.35">
      <c r="A11" s="1"/>
      <c r="B11" s="58" t="str">
        <f t="shared" si="0"/>
        <v>3000/768 Kbps</v>
      </c>
      <c r="C11" s="59">
        <v>0</v>
      </c>
      <c r="D11" s="47"/>
      <c r="E11" s="60">
        <v>3000</v>
      </c>
      <c r="F11" s="60">
        <v>768</v>
      </c>
      <c r="G11" s="61">
        <f t="shared" si="1"/>
        <v>100</v>
      </c>
      <c r="H11" s="61">
        <f t="shared" si="1"/>
        <v>25.6</v>
      </c>
      <c r="I11" s="62">
        <v>3.3333333333333333E-2</v>
      </c>
      <c r="J11" s="62">
        <v>3.3333333333333333E-2</v>
      </c>
      <c r="K11" s="63">
        <v>0</v>
      </c>
      <c r="L11" s="64"/>
      <c r="M11" s="65">
        <f>(E11*I11)+(F11*J11)</f>
        <v>125.6</v>
      </c>
      <c r="N11" s="65">
        <f t="shared" si="2"/>
        <v>0</v>
      </c>
      <c r="O11" s="66">
        <f t="shared" si="3"/>
        <v>125</v>
      </c>
      <c r="P11" s="66">
        <f t="shared" si="4"/>
        <v>32</v>
      </c>
      <c r="Q11" s="67">
        <f t="shared" si="5"/>
        <v>125.6</v>
      </c>
      <c r="R11" s="68">
        <f>(((O11/(O11+P11))*Q11)*C11)/1000</f>
        <v>0</v>
      </c>
      <c r="S11" s="68">
        <f t="shared" si="6"/>
        <v>0</v>
      </c>
      <c r="T11" s="69">
        <f t="shared" si="7"/>
        <v>0</v>
      </c>
      <c r="U11" s="66"/>
      <c r="V11" s="70">
        <f t="shared" si="8"/>
        <v>50.24</v>
      </c>
      <c r="W11" s="70">
        <f t="shared" si="19"/>
        <v>50.24</v>
      </c>
      <c r="X11" s="70" t="str">
        <f t="shared" si="9"/>
        <v>-</v>
      </c>
      <c r="Y11" s="71">
        <v>0</v>
      </c>
      <c r="Z11" s="72">
        <f t="shared" si="10"/>
        <v>50.24</v>
      </c>
      <c r="AA11" s="70" t="str">
        <f t="shared" si="11"/>
        <v>-</v>
      </c>
      <c r="AB11" s="73">
        <f t="shared" si="12"/>
        <v>400</v>
      </c>
      <c r="AC11" s="74"/>
      <c r="AD11" s="75" t="str">
        <f t="shared" si="13"/>
        <v>3000/768 Kbps ratio 1:30</v>
      </c>
      <c r="AE11" s="76">
        <f t="shared" si="14"/>
        <v>3000</v>
      </c>
      <c r="AF11" s="76">
        <f t="shared" si="15"/>
        <v>100</v>
      </c>
      <c r="AG11" s="76">
        <f t="shared" si="16"/>
        <v>768</v>
      </c>
      <c r="AH11" s="76">
        <f t="shared" si="17"/>
        <v>25.6</v>
      </c>
      <c r="AI11" s="77">
        <f t="shared" si="18"/>
        <v>50.24</v>
      </c>
      <c r="AJ11" s="1"/>
    </row>
    <row r="12" spans="1:40" ht="14.25" x14ac:dyDescent="0.35">
      <c r="A12" s="1"/>
      <c r="B12" s="78" t="str">
        <f t="shared" si="0"/>
        <v>4096/1024 Kbps</v>
      </c>
      <c r="C12" s="79">
        <v>0</v>
      </c>
      <c r="D12" s="80"/>
      <c r="E12" s="81">
        <v>4096</v>
      </c>
      <c r="F12" s="81">
        <v>1024</v>
      </c>
      <c r="G12" s="82">
        <f t="shared" si="1"/>
        <v>409.6</v>
      </c>
      <c r="H12" s="82">
        <f t="shared" si="1"/>
        <v>102.4</v>
      </c>
      <c r="I12" s="83">
        <f>1/10</f>
        <v>0.1</v>
      </c>
      <c r="J12" s="83">
        <f>1/10</f>
        <v>0.1</v>
      </c>
      <c r="K12" s="84">
        <v>0</v>
      </c>
      <c r="L12" s="85"/>
      <c r="M12" s="86">
        <f>(E12*I12)+(F12*J12)</f>
        <v>512</v>
      </c>
      <c r="N12" s="86">
        <f t="shared" si="2"/>
        <v>0</v>
      </c>
      <c r="O12" s="87">
        <f t="shared" si="3"/>
        <v>4</v>
      </c>
      <c r="P12" s="87">
        <f t="shared" si="4"/>
        <v>1</v>
      </c>
      <c r="Q12" s="88">
        <f t="shared" si="5"/>
        <v>512</v>
      </c>
      <c r="R12" s="89">
        <f>(((O12/(O12+P12))*Q12)*C12)/1000</f>
        <v>0</v>
      </c>
      <c r="S12" s="89">
        <f t="shared" si="6"/>
        <v>0</v>
      </c>
      <c r="T12" s="90">
        <f t="shared" si="7"/>
        <v>0</v>
      </c>
      <c r="U12" s="87"/>
      <c r="V12" s="91">
        <f t="shared" si="8"/>
        <v>204.8</v>
      </c>
      <c r="W12" s="91">
        <f t="shared" si="19"/>
        <v>204.8</v>
      </c>
      <c r="X12" s="91" t="str">
        <f t="shared" si="9"/>
        <v>-</v>
      </c>
      <c r="Y12" s="92">
        <v>0</v>
      </c>
      <c r="Z12" s="93">
        <f t="shared" si="10"/>
        <v>204.8</v>
      </c>
      <c r="AA12" s="91" t="str">
        <f t="shared" si="11"/>
        <v>-</v>
      </c>
      <c r="AB12" s="94">
        <f t="shared" si="12"/>
        <v>400</v>
      </c>
      <c r="AC12" s="95"/>
      <c r="AD12" s="96" t="str">
        <f t="shared" si="13"/>
        <v>4096/1024 Kbps ratio 1:10</v>
      </c>
      <c r="AE12" s="97">
        <f t="shared" si="14"/>
        <v>4096</v>
      </c>
      <c r="AF12" s="97">
        <f t="shared" si="15"/>
        <v>409.6</v>
      </c>
      <c r="AG12" s="97">
        <f t="shared" si="16"/>
        <v>1024</v>
      </c>
      <c r="AH12" s="97">
        <f t="shared" si="17"/>
        <v>102.4</v>
      </c>
      <c r="AI12" s="98">
        <f t="shared" si="18"/>
        <v>204.8</v>
      </c>
      <c r="AJ12" s="1"/>
    </row>
    <row r="13" spans="1:40" ht="14.25" x14ac:dyDescent="0.35">
      <c r="A13" s="1"/>
      <c r="B13" s="117" t="str">
        <f>E13&amp; "/" &amp; F13 &amp; " Kbps"</f>
        <v>8000/2000 Kbps</v>
      </c>
      <c r="C13" s="59">
        <v>0</v>
      </c>
      <c r="D13" s="116"/>
      <c r="E13" s="60">
        <v>8000</v>
      </c>
      <c r="F13" s="60">
        <v>2000</v>
      </c>
      <c r="G13" s="61">
        <f t="shared" si="1"/>
        <v>266.66666666666669</v>
      </c>
      <c r="H13" s="61">
        <f t="shared" si="1"/>
        <v>66.666666666666671</v>
      </c>
      <c r="I13" s="62">
        <v>3.3333333333333333E-2</v>
      </c>
      <c r="J13" s="62">
        <v>3.3333333333333333E-2</v>
      </c>
      <c r="K13" s="63">
        <v>0</v>
      </c>
      <c r="L13" s="120"/>
      <c r="M13" s="119">
        <f t="shared" ref="M13:M16" si="20">(E13*I13)+(F13*J13)</f>
        <v>333.33333333333337</v>
      </c>
      <c r="N13" s="119">
        <f t="shared" si="2"/>
        <v>0</v>
      </c>
      <c r="O13" s="118">
        <f t="shared" si="3"/>
        <v>4</v>
      </c>
      <c r="P13" s="118">
        <f t="shared" si="4"/>
        <v>1</v>
      </c>
      <c r="Q13" s="67">
        <f t="shared" si="5"/>
        <v>333.33333333333337</v>
      </c>
      <c r="R13" s="121">
        <f t="shared" ref="R13:R16" si="21">(((O13/(O13+P13))*Q13)*C13)/1000</f>
        <v>0</v>
      </c>
      <c r="S13" s="121">
        <f t="shared" si="6"/>
        <v>0</v>
      </c>
      <c r="T13" s="122">
        <f t="shared" si="7"/>
        <v>0</v>
      </c>
      <c r="U13" s="118"/>
      <c r="V13" s="70">
        <f>($C$3/1000)*Q13</f>
        <v>133.33333333333334</v>
      </c>
      <c r="W13" s="70">
        <f t="shared" si="19"/>
        <v>133.33333333333334</v>
      </c>
      <c r="X13" s="70" t="str">
        <f t="shared" si="9"/>
        <v>-</v>
      </c>
      <c r="Y13" s="123">
        <v>0</v>
      </c>
      <c r="Z13" s="72">
        <f t="shared" si="10"/>
        <v>133.33333333333334</v>
      </c>
      <c r="AA13" s="70" t="str">
        <f t="shared" si="11"/>
        <v>-</v>
      </c>
      <c r="AB13" s="124">
        <f t="shared" si="12"/>
        <v>399.99999999999994</v>
      </c>
      <c r="AC13" s="125"/>
      <c r="AD13" s="126" t="str">
        <f>B13 &amp; " ratio 1" &amp; ":"&amp; AG13/AH13</f>
        <v>8000/2000 Kbps ratio 1:30</v>
      </c>
      <c r="AE13" s="127">
        <f t="shared" si="14"/>
        <v>8000</v>
      </c>
      <c r="AF13" s="127">
        <f t="shared" si="15"/>
        <v>266.66666666666669</v>
      </c>
      <c r="AG13" s="127">
        <f t="shared" si="16"/>
        <v>2000</v>
      </c>
      <c r="AH13" s="127">
        <f t="shared" si="17"/>
        <v>66.666666666666671</v>
      </c>
      <c r="AI13" s="128">
        <f t="shared" si="18"/>
        <v>133.33333333333334</v>
      </c>
      <c r="AJ13" s="1"/>
    </row>
    <row r="14" spans="1:40" ht="14.25" x14ac:dyDescent="0.35">
      <c r="A14" s="1"/>
      <c r="B14" s="58" t="str">
        <f>E14&amp; "/" &amp; F14 &amp; " Kbps"</f>
        <v>10000/2500 Kbps</v>
      </c>
      <c r="C14" s="59">
        <v>0</v>
      </c>
      <c r="D14" s="47"/>
      <c r="E14" s="60">
        <v>10000</v>
      </c>
      <c r="F14" s="60">
        <v>2500</v>
      </c>
      <c r="G14" s="61">
        <f t="shared" si="1"/>
        <v>333.33333333333331</v>
      </c>
      <c r="H14" s="61">
        <f t="shared" si="1"/>
        <v>83.333333333333329</v>
      </c>
      <c r="I14" s="62">
        <v>3.3333333333333333E-2</v>
      </c>
      <c r="J14" s="62">
        <v>3.3333333333333333E-2</v>
      </c>
      <c r="K14" s="63">
        <v>0</v>
      </c>
      <c r="L14" s="64"/>
      <c r="M14" s="65">
        <f t="shared" si="20"/>
        <v>416.66666666666663</v>
      </c>
      <c r="N14" s="65">
        <f t="shared" si="2"/>
        <v>0</v>
      </c>
      <c r="O14" s="66">
        <f t="shared" si="3"/>
        <v>4</v>
      </c>
      <c r="P14" s="66">
        <f t="shared" si="4"/>
        <v>1</v>
      </c>
      <c r="Q14" s="67">
        <f t="shared" si="5"/>
        <v>416.66666666666663</v>
      </c>
      <c r="R14" s="68">
        <f t="shared" si="21"/>
        <v>0</v>
      </c>
      <c r="S14" s="68">
        <f t="shared" si="6"/>
        <v>0</v>
      </c>
      <c r="T14" s="69">
        <f t="shared" si="7"/>
        <v>0</v>
      </c>
      <c r="U14" s="66"/>
      <c r="V14" s="70">
        <f>($C$3/1000)*Q14</f>
        <v>166.66666666666666</v>
      </c>
      <c r="W14" s="70">
        <f t="shared" si="19"/>
        <v>166.66666666666666</v>
      </c>
      <c r="X14" s="70" t="str">
        <f t="shared" si="9"/>
        <v>-</v>
      </c>
      <c r="Y14" s="71">
        <v>0</v>
      </c>
      <c r="Z14" s="72">
        <f t="shared" si="10"/>
        <v>166.66666666666666</v>
      </c>
      <c r="AA14" s="70" t="str">
        <f t="shared" si="11"/>
        <v>-</v>
      </c>
      <c r="AB14" s="73">
        <f t="shared" si="12"/>
        <v>400</v>
      </c>
      <c r="AC14" s="74"/>
      <c r="AD14" s="75" t="str">
        <f>B14 &amp; " ratio 1" &amp; ":"&amp; AG14/AH14</f>
        <v>10000/2500 Kbps ratio 1:30</v>
      </c>
      <c r="AE14" s="76">
        <f t="shared" si="14"/>
        <v>10000</v>
      </c>
      <c r="AF14" s="76">
        <f t="shared" si="15"/>
        <v>333.33333333333331</v>
      </c>
      <c r="AG14" s="76">
        <f t="shared" si="16"/>
        <v>2500</v>
      </c>
      <c r="AH14" s="76">
        <f t="shared" si="17"/>
        <v>83.333333333333329</v>
      </c>
      <c r="AI14" s="77">
        <f t="shared" si="18"/>
        <v>166.66666666666666</v>
      </c>
      <c r="AJ14" s="1"/>
    </row>
    <row r="15" spans="1:40" ht="14.25" x14ac:dyDescent="0.35">
      <c r="A15" s="1"/>
      <c r="B15" s="58" t="str">
        <f t="shared" ref="B15:B16" si="22">E15&amp; "/" &amp; F15 &amp; " Kbps"</f>
        <v>15000/3000 Kbps</v>
      </c>
      <c r="C15" s="59">
        <v>0</v>
      </c>
      <c r="D15" s="47"/>
      <c r="E15" s="60">
        <v>15000</v>
      </c>
      <c r="F15" s="60">
        <v>3000</v>
      </c>
      <c r="G15" s="61">
        <f t="shared" si="1"/>
        <v>500</v>
      </c>
      <c r="H15" s="61">
        <f t="shared" si="1"/>
        <v>100</v>
      </c>
      <c r="I15" s="62">
        <v>3.3333333333333333E-2</v>
      </c>
      <c r="J15" s="62">
        <v>3.3333333333333333E-2</v>
      </c>
      <c r="K15" s="63">
        <v>0</v>
      </c>
      <c r="L15" s="64"/>
      <c r="M15" s="65">
        <f t="shared" si="20"/>
        <v>600</v>
      </c>
      <c r="N15" s="65">
        <f t="shared" si="2"/>
        <v>0</v>
      </c>
      <c r="O15" s="66">
        <f t="shared" si="3"/>
        <v>5</v>
      </c>
      <c r="P15" s="66">
        <f t="shared" si="4"/>
        <v>1</v>
      </c>
      <c r="Q15" s="67">
        <f t="shared" si="5"/>
        <v>600</v>
      </c>
      <c r="R15" s="68">
        <f t="shared" si="21"/>
        <v>0</v>
      </c>
      <c r="S15" s="68">
        <f t="shared" si="6"/>
        <v>0</v>
      </c>
      <c r="T15" s="69">
        <f t="shared" si="7"/>
        <v>0</v>
      </c>
      <c r="U15" s="66"/>
      <c r="V15" s="70">
        <f t="shared" ref="V15:V16" si="23">($C$3/1000)*Q15</f>
        <v>240</v>
      </c>
      <c r="W15" s="70">
        <f t="shared" si="19"/>
        <v>240</v>
      </c>
      <c r="X15" s="70" t="str">
        <f t="shared" si="9"/>
        <v>-</v>
      </c>
      <c r="Y15" s="71">
        <v>0</v>
      </c>
      <c r="Z15" s="72">
        <f t="shared" si="10"/>
        <v>240</v>
      </c>
      <c r="AA15" s="70" t="str">
        <f t="shared" si="11"/>
        <v>-</v>
      </c>
      <c r="AB15" s="73">
        <f t="shared" si="12"/>
        <v>400</v>
      </c>
      <c r="AC15" s="11"/>
      <c r="AD15" s="75" t="str">
        <f t="shared" ref="AD15:AD16" si="24">B15 &amp; " ratio 1" &amp; ":"&amp; AG15/AH15</f>
        <v>15000/3000 Kbps ratio 1:30</v>
      </c>
      <c r="AE15" s="76">
        <f t="shared" si="14"/>
        <v>15000</v>
      </c>
      <c r="AF15" s="76">
        <f t="shared" si="15"/>
        <v>500</v>
      </c>
      <c r="AG15" s="76">
        <f t="shared" si="16"/>
        <v>3000</v>
      </c>
      <c r="AH15" s="76">
        <f t="shared" si="17"/>
        <v>100</v>
      </c>
      <c r="AI15" s="77">
        <f t="shared" si="18"/>
        <v>240</v>
      </c>
      <c r="AJ15" s="1"/>
    </row>
    <row r="16" spans="1:40" ht="14.25" x14ac:dyDescent="0.35">
      <c r="A16" s="1"/>
      <c r="B16" s="58" t="str">
        <f t="shared" si="22"/>
        <v>20000/5000 Kbps</v>
      </c>
      <c r="C16" s="59">
        <v>0</v>
      </c>
      <c r="D16" s="47"/>
      <c r="E16" s="60">
        <v>20000</v>
      </c>
      <c r="F16" s="60">
        <v>5000</v>
      </c>
      <c r="G16" s="61">
        <f t="shared" si="1"/>
        <v>666.66666666666663</v>
      </c>
      <c r="H16" s="61">
        <f t="shared" si="1"/>
        <v>166.66666666666666</v>
      </c>
      <c r="I16" s="62">
        <v>3.3333333333333333E-2</v>
      </c>
      <c r="J16" s="62">
        <v>3.3333333333333333E-2</v>
      </c>
      <c r="K16" s="63">
        <v>0</v>
      </c>
      <c r="L16" s="64"/>
      <c r="M16" s="65">
        <f t="shared" si="20"/>
        <v>833.33333333333326</v>
      </c>
      <c r="N16" s="65">
        <f t="shared" si="2"/>
        <v>0</v>
      </c>
      <c r="O16" s="66">
        <f t="shared" si="3"/>
        <v>4</v>
      </c>
      <c r="P16" s="66">
        <f t="shared" si="4"/>
        <v>1</v>
      </c>
      <c r="Q16" s="67">
        <f t="shared" si="5"/>
        <v>833.33333333333326</v>
      </c>
      <c r="R16" s="68">
        <f t="shared" si="21"/>
        <v>0</v>
      </c>
      <c r="S16" s="68">
        <f t="shared" si="6"/>
        <v>0</v>
      </c>
      <c r="T16" s="69">
        <f t="shared" si="7"/>
        <v>0</v>
      </c>
      <c r="U16" s="66"/>
      <c r="V16" s="70">
        <f t="shared" si="23"/>
        <v>333.33333333333331</v>
      </c>
      <c r="W16" s="70">
        <f t="shared" si="19"/>
        <v>333.33333333333331</v>
      </c>
      <c r="X16" s="70" t="str">
        <f t="shared" si="9"/>
        <v>-</v>
      </c>
      <c r="Y16" s="71">
        <v>-0.1</v>
      </c>
      <c r="Z16" s="72">
        <f t="shared" si="10"/>
        <v>300</v>
      </c>
      <c r="AA16" s="70" t="str">
        <f t="shared" si="11"/>
        <v>-</v>
      </c>
      <c r="AB16" s="73">
        <f>(Z16/M16)*1000</f>
        <v>360.00000000000006</v>
      </c>
      <c r="AC16" s="11"/>
      <c r="AD16" s="75" t="str">
        <f t="shared" si="24"/>
        <v>20000/5000 Kbps ratio 1:30</v>
      </c>
      <c r="AE16" s="76">
        <f t="shared" si="14"/>
        <v>20000</v>
      </c>
      <c r="AF16" s="76">
        <f t="shared" si="15"/>
        <v>666.66666666666663</v>
      </c>
      <c r="AG16" s="76">
        <f t="shared" si="16"/>
        <v>5000</v>
      </c>
      <c r="AH16" s="76">
        <f t="shared" si="17"/>
        <v>166.66666666666666</v>
      </c>
      <c r="AI16" s="77">
        <f t="shared" si="18"/>
        <v>300</v>
      </c>
      <c r="AJ16" s="1"/>
    </row>
    <row r="17" spans="1:36" ht="14.25" x14ac:dyDescent="0.35">
      <c r="A17" s="1"/>
      <c r="B17" s="99" t="s">
        <v>48</v>
      </c>
      <c r="C17" s="100">
        <f>SUM(C9:C16)</f>
        <v>0</v>
      </c>
      <c r="D17" s="101"/>
      <c r="E17" s="102"/>
      <c r="F17" s="102"/>
      <c r="G17" s="102"/>
      <c r="H17" s="103"/>
      <c r="I17" s="103"/>
      <c r="J17" s="103"/>
      <c r="K17" s="104"/>
      <c r="L17" s="105"/>
      <c r="M17" s="106"/>
      <c r="N17" s="107"/>
      <c r="O17" s="11"/>
      <c r="P17" s="1"/>
      <c r="Q17" s="108"/>
      <c r="R17" s="109">
        <f>SUM(R9:R16)</f>
        <v>0</v>
      </c>
      <c r="S17" s="110">
        <f>SUM(S9:S16)</f>
        <v>0</v>
      </c>
      <c r="T17" s="111">
        <f>SUM(T9:T16)</f>
        <v>0</v>
      </c>
      <c r="U17" s="1"/>
      <c r="V17" s="112"/>
      <c r="W17" s="112"/>
      <c r="X17" s="112"/>
      <c r="Y17" s="113"/>
      <c r="Z17" s="112"/>
      <c r="AA17" s="112"/>
      <c r="AB17" s="113"/>
      <c r="AC17" s="11"/>
      <c r="AD17" s="114"/>
      <c r="AE17" s="114"/>
      <c r="AF17" s="114"/>
      <c r="AG17" s="114"/>
      <c r="AH17" s="114"/>
      <c r="AI17" s="114"/>
      <c r="AJ17" s="1"/>
    </row>
    <row r="18" spans="1:36" x14ac:dyDescent="0.35">
      <c r="A18" s="1"/>
      <c r="B18" s="11"/>
      <c r="C18" s="11"/>
      <c r="D18" s="29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"/>
      <c r="AD18" s="1"/>
      <c r="AE18" s="1"/>
      <c r="AF18" s="1"/>
      <c r="AG18" s="1"/>
      <c r="AH18" s="1"/>
      <c r="AI18" s="1"/>
      <c r="AJ18" s="1"/>
    </row>
  </sheetData>
  <mergeCells count="12">
    <mergeCell ref="AD7:AI7"/>
    <mergeCell ref="B1:C1"/>
    <mergeCell ref="M2:P2"/>
    <mergeCell ref="M3:N3"/>
    <mergeCell ref="V3:W3"/>
    <mergeCell ref="M4:N4"/>
    <mergeCell ref="V4:W4"/>
    <mergeCell ref="M5:N5"/>
    <mergeCell ref="V5:W5"/>
    <mergeCell ref="B7:B8"/>
    <mergeCell ref="Y7:Y8"/>
    <mergeCell ref="Z7:AA7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Telkom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t.jappie@outlook.com</dc:creator>
  <cp:lastModifiedBy>t.jappie@outlook.com</cp:lastModifiedBy>
  <dcterms:created xsi:type="dcterms:W3CDTF">2021-10-27T07:23:54Z</dcterms:created>
  <dcterms:modified xsi:type="dcterms:W3CDTF">2022-09-02T06:21:37Z</dcterms:modified>
</cp:coreProperties>
</file>