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Valuation\"/>
    </mc:Choice>
  </mc:AlternateContent>
  <xr:revisionPtr revIDLastSave="0" documentId="13_ncr:1_{15C84836-F33D-4F61-8D20-E97FAF85F946}" xr6:coauthVersionLast="47" xr6:coauthVersionMax="47" xr10:uidLastSave="{00000000-0000-0000-0000-000000000000}"/>
  <bookViews>
    <workbookView xWindow="-120" yWindow="-120" windowWidth="29040" windowHeight="17520" activeTab="4" xr2:uid="{A113AAE8-6214-4B6D-AB8C-F5D663DFCC07}"/>
  </bookViews>
  <sheets>
    <sheet name="CSTC" sheetId="1" r:id="rId1"/>
    <sheet name="CĐKT" sheetId="2" r:id="rId2"/>
    <sheet name="LCTT" sheetId="4" r:id="rId3"/>
    <sheet name="KQKD" sheetId="3" r:id="rId4"/>
    <sheet name="DCF" sheetId="5" r:id="rId5"/>
    <sheet name="DDM" sheetId="10" r:id="rId6"/>
    <sheet name="WACC" sheetId="6" r:id="rId7"/>
  </sheets>
  <definedNames>
    <definedName name="re">DDM!$I$8</definedName>
    <definedName name="tgr">DCF!$D$18</definedName>
    <definedName name="tgr_d">DDM!$C$7</definedName>
    <definedName name="wacc">DCF!$D$17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/>
  <c r="H39" i="5"/>
  <c r="I39" i="5"/>
  <c r="M19" i="5"/>
  <c r="G19" i="5"/>
  <c r="F39" i="5"/>
  <c r="G39" i="5"/>
  <c r="J51" i="5"/>
  <c r="J45" i="5"/>
  <c r="J44" i="5"/>
  <c r="J50" i="5"/>
  <c r="J56" i="5"/>
  <c r="J59" i="5"/>
  <c r="J61" i="5"/>
  <c r="J65" i="5"/>
  <c r="J64" i="5"/>
  <c r="I70" i="5"/>
  <c r="I71" i="5"/>
  <c r="H70" i="5"/>
  <c r="H71" i="5"/>
  <c r="G70" i="5"/>
  <c r="G71" i="5"/>
  <c r="F70" i="5"/>
  <c r="F71" i="5"/>
  <c r="J17" i="5"/>
  <c r="J71" i="5"/>
  <c r="J70" i="5"/>
  <c r="J73" i="5"/>
  <c r="M18" i="5"/>
  <c r="G18" i="5"/>
  <c r="J68" i="5"/>
  <c r="J67" i="5"/>
  <c r="J66" i="5"/>
  <c r="M15" i="5"/>
  <c r="G15" i="5"/>
  <c r="O79" i="5"/>
  <c r="J14" i="10"/>
  <c r="J12" i="10"/>
  <c r="J11" i="10"/>
  <c r="O13" i="10"/>
  <c r="J13" i="10"/>
  <c r="E10" i="10"/>
  <c r="F10" i="10"/>
  <c r="G10" i="10"/>
  <c r="H10" i="10"/>
  <c r="I10" i="10"/>
  <c r="J10" i="10"/>
  <c r="K10" i="10"/>
  <c r="L10" i="10"/>
  <c r="M10" i="10"/>
  <c r="N10" i="10"/>
  <c r="O10" i="10"/>
  <c r="K13" i="10"/>
  <c r="O14" i="10"/>
  <c r="K14" i="10"/>
  <c r="K12" i="10"/>
  <c r="K11" i="10"/>
  <c r="L13" i="10"/>
  <c r="L14" i="10"/>
  <c r="L12" i="10"/>
  <c r="L11" i="10"/>
  <c r="M13" i="10"/>
  <c r="M14" i="10"/>
  <c r="M12" i="10"/>
  <c r="M11" i="10"/>
  <c r="N13" i="10"/>
  <c r="N14" i="10"/>
  <c r="N12" i="10"/>
  <c r="N11" i="10"/>
  <c r="O12" i="10"/>
  <c r="O11" i="10"/>
  <c r="F7" i="10"/>
  <c r="I7" i="10"/>
  <c r="C7" i="10"/>
  <c r="I8" i="10"/>
  <c r="O17" i="10"/>
  <c r="J9" i="10"/>
  <c r="J16" i="10"/>
  <c r="K9" i="10"/>
  <c r="K16" i="10"/>
  <c r="L9" i="10"/>
  <c r="L16" i="10"/>
  <c r="M9" i="10"/>
  <c r="M16" i="10"/>
  <c r="N9" i="10"/>
  <c r="N16" i="10"/>
  <c r="O9" i="10"/>
  <c r="O16" i="10"/>
  <c r="O18" i="10"/>
  <c r="O19" i="10"/>
  <c r="L7" i="10"/>
  <c r="J15" i="10"/>
  <c r="O15" i="10"/>
  <c r="K15" i="10"/>
  <c r="L15" i="10"/>
  <c r="M15" i="10"/>
  <c r="N15" i="10"/>
  <c r="I12" i="10"/>
  <c r="H12" i="10"/>
  <c r="G12" i="10"/>
  <c r="F12" i="10"/>
  <c r="E12" i="10"/>
  <c r="B1" i="6"/>
  <c r="B3" i="6"/>
  <c r="J53" i="5"/>
  <c r="J47" i="5"/>
  <c r="J48" i="5"/>
  <c r="I22" i="5"/>
  <c r="I44" i="5"/>
  <c r="J57" i="5"/>
  <c r="M12" i="5"/>
  <c r="O82" i="5"/>
  <c r="F22" i="5"/>
  <c r="F44" i="5"/>
  <c r="G22" i="5"/>
  <c r="G44" i="5"/>
  <c r="H22" i="5"/>
  <c r="H44" i="5"/>
  <c r="E22" i="5"/>
  <c r="F23" i="5"/>
  <c r="G23" i="5"/>
  <c r="H23" i="5"/>
  <c r="I23" i="5"/>
  <c r="J23" i="5"/>
  <c r="I36" i="5"/>
  <c r="H36" i="5"/>
  <c r="G36" i="5"/>
  <c r="F36" i="5"/>
  <c r="E36" i="5"/>
  <c r="I32" i="5"/>
  <c r="H32" i="5"/>
  <c r="G32" i="5"/>
  <c r="F32" i="5"/>
  <c r="I25" i="5"/>
  <c r="I50" i="5"/>
  <c r="B2" i="6"/>
  <c r="B7" i="6"/>
  <c r="B11" i="6"/>
  <c r="B13" i="6"/>
  <c r="F25" i="5"/>
  <c r="F26" i="5"/>
  <c r="G25" i="5"/>
  <c r="G26" i="5"/>
  <c r="H25" i="5"/>
  <c r="H26" i="5"/>
  <c r="I26" i="5"/>
  <c r="J26" i="5"/>
  <c r="F43" i="5"/>
  <c r="G43" i="5"/>
  <c r="H43" i="5"/>
  <c r="I43" i="5"/>
  <c r="J43" i="5"/>
  <c r="K43" i="5"/>
  <c r="L43" i="5"/>
  <c r="M43" i="5"/>
  <c r="N43" i="5"/>
  <c r="O43" i="5"/>
  <c r="O53" i="5"/>
  <c r="K53" i="5"/>
  <c r="L53" i="5"/>
  <c r="M53" i="5"/>
  <c r="N53" i="5"/>
  <c r="M11" i="5"/>
  <c r="J54" i="5"/>
  <c r="O54" i="5"/>
  <c r="K54" i="5"/>
  <c r="L54" i="5"/>
  <c r="M54" i="5"/>
  <c r="N54" i="5"/>
  <c r="G11" i="5"/>
  <c r="J52" i="5"/>
  <c r="O52" i="5"/>
  <c r="K52" i="5"/>
  <c r="L52" i="5"/>
  <c r="M52" i="5"/>
  <c r="N52" i="5"/>
  <c r="K57" i="5"/>
  <c r="L57" i="5"/>
  <c r="M57" i="5"/>
  <c r="N57" i="5"/>
  <c r="O57" i="5"/>
  <c r="E61" i="5"/>
  <c r="E44" i="5"/>
  <c r="E62" i="5"/>
  <c r="F61" i="5"/>
  <c r="F62" i="5"/>
  <c r="G61" i="5"/>
  <c r="G62" i="5"/>
  <c r="H61" i="5"/>
  <c r="H62" i="5"/>
  <c r="I61" i="5"/>
  <c r="I62" i="5"/>
  <c r="J62" i="5"/>
  <c r="K62" i="5"/>
  <c r="L62" i="5"/>
  <c r="M62" i="5"/>
  <c r="N62" i="5"/>
  <c r="O62" i="5"/>
  <c r="O47" i="5"/>
  <c r="D17" i="5"/>
  <c r="J42" i="5"/>
  <c r="J74" i="5" a="1"/>
  <c r="J74" i="5"/>
  <c r="K51" i="5"/>
  <c r="O67" i="5"/>
  <c r="K67" i="5"/>
  <c r="O68" i="5"/>
  <c r="K68" i="5"/>
  <c r="K65" i="5"/>
  <c r="K47" i="5"/>
  <c r="K48" i="5"/>
  <c r="K45" i="5"/>
  <c r="K44" i="5"/>
  <c r="K64" i="5"/>
  <c r="L51" i="5"/>
  <c r="L67" i="5"/>
  <c r="L68" i="5"/>
  <c r="L65" i="5"/>
  <c r="L47" i="5"/>
  <c r="O48" i="5"/>
  <c r="L48" i="5"/>
  <c r="L45" i="5"/>
  <c r="L44" i="5"/>
  <c r="L64" i="5"/>
  <c r="M51" i="5"/>
  <c r="M67" i="5"/>
  <c r="M68" i="5"/>
  <c r="M65" i="5"/>
  <c r="M47" i="5"/>
  <c r="M48" i="5"/>
  <c r="M45" i="5"/>
  <c r="M44" i="5"/>
  <c r="M64" i="5"/>
  <c r="N51" i="5"/>
  <c r="N67" i="5"/>
  <c r="N68" i="5"/>
  <c r="N65" i="5"/>
  <c r="N47" i="5"/>
  <c r="N48" i="5"/>
  <c r="N45" i="5"/>
  <c r="N44" i="5"/>
  <c r="N64" i="5"/>
  <c r="O51" i="5"/>
  <c r="O65" i="5"/>
  <c r="O45" i="5"/>
  <c r="O44" i="5"/>
  <c r="O64" i="5"/>
  <c r="D18" i="5"/>
  <c r="O80" i="5"/>
  <c r="K71" i="5"/>
  <c r="L71" i="5"/>
  <c r="M71" i="5"/>
  <c r="N71" i="5"/>
  <c r="O71" i="5"/>
  <c r="O66" i="5"/>
  <c r="K66" i="5"/>
  <c r="L66" i="5"/>
  <c r="M66" i="5"/>
  <c r="N66" i="5"/>
  <c r="J46" i="5"/>
  <c r="O46" i="5"/>
  <c r="E70" i="5"/>
  <c r="E71" i="5"/>
  <c r="I64" i="5"/>
  <c r="I65" i="5"/>
  <c r="H64" i="5"/>
  <c r="H65" i="5"/>
  <c r="G64" i="5"/>
  <c r="G65" i="5"/>
  <c r="F64" i="5"/>
  <c r="F65" i="5"/>
  <c r="E64" i="5"/>
  <c r="E65" i="5"/>
  <c r="E25" i="5"/>
  <c r="E26" i="5"/>
  <c r="L23" i="5"/>
  <c r="K23" i="5"/>
  <c r="O42" i="5"/>
  <c r="N42" i="5"/>
  <c r="M42" i="5"/>
  <c r="L42" i="5"/>
  <c r="K42" i="5"/>
  <c r="F28" i="5"/>
  <c r="F29" i="5"/>
  <c r="G28" i="5"/>
  <c r="G29" i="5"/>
  <c r="H28" i="5"/>
  <c r="H29" i="5"/>
  <c r="I28" i="5"/>
  <c r="I29" i="5"/>
  <c r="J29" i="5"/>
  <c r="O29" i="5"/>
  <c r="J22" i="5"/>
  <c r="K22" i="5"/>
  <c r="L22" i="5"/>
  <c r="M23" i="5"/>
  <c r="M22" i="5"/>
  <c r="N23" i="5"/>
  <c r="N22" i="5"/>
  <c r="O23" i="5"/>
  <c r="O22" i="5"/>
  <c r="O26" i="5"/>
  <c r="O25" i="5"/>
  <c r="O28" i="5"/>
  <c r="I56" i="5"/>
  <c r="I57" i="5"/>
  <c r="H56" i="5"/>
  <c r="H50" i="5"/>
  <c r="H57" i="5"/>
  <c r="G56" i="5"/>
  <c r="G50" i="5"/>
  <c r="G57" i="5"/>
  <c r="F56" i="5"/>
  <c r="F50" i="5"/>
  <c r="F57" i="5"/>
  <c r="E28" i="5"/>
  <c r="E56" i="5"/>
  <c r="E50" i="5"/>
  <c r="E57" i="5"/>
  <c r="N26" i="5"/>
  <c r="N25" i="5"/>
  <c r="M26" i="5"/>
  <c r="M25" i="5"/>
  <c r="L26" i="5"/>
  <c r="L25" i="5"/>
  <c r="K26" i="5"/>
  <c r="K25" i="5"/>
  <c r="J25" i="5"/>
  <c r="F51" i="5"/>
  <c r="G51" i="5"/>
  <c r="H51" i="5"/>
  <c r="I51" i="5"/>
  <c r="E51" i="5"/>
  <c r="F31" i="5"/>
  <c r="G31" i="5"/>
  <c r="H31" i="5"/>
  <c r="I31" i="5"/>
  <c r="J31" i="5"/>
  <c r="K31" i="5"/>
  <c r="L31" i="5"/>
  <c r="M31" i="5"/>
  <c r="N31" i="5"/>
  <c r="O31" i="5"/>
  <c r="F21" i="5"/>
  <c r="G21" i="5"/>
  <c r="H21" i="5"/>
  <c r="I21" i="5"/>
  <c r="J21" i="5"/>
  <c r="K21" i="5"/>
  <c r="L21" i="5"/>
  <c r="M21" i="5"/>
  <c r="N21" i="5"/>
  <c r="O21" i="5"/>
  <c r="G45" i="5"/>
  <c r="H45" i="5"/>
  <c r="I45" i="5"/>
  <c r="F45" i="5"/>
  <c r="G41" i="5"/>
  <c r="H41" i="5"/>
  <c r="I41" i="5"/>
  <c r="F41" i="5"/>
  <c r="F40" i="5"/>
  <c r="G40" i="5"/>
  <c r="H40" i="5"/>
  <c r="I40" i="5"/>
  <c r="F37" i="5"/>
  <c r="G37" i="5"/>
  <c r="H37" i="5"/>
  <c r="I37" i="5"/>
  <c r="E37" i="5"/>
  <c r="I34" i="5"/>
  <c r="H34" i="5"/>
  <c r="G34" i="5"/>
  <c r="F34" i="5"/>
  <c r="E34" i="5"/>
  <c r="F33" i="5"/>
  <c r="G33" i="5"/>
  <c r="H33" i="5"/>
  <c r="I33" i="5"/>
  <c r="E33" i="5"/>
  <c r="N29" i="5"/>
  <c r="N28" i="5"/>
  <c r="M29" i="5"/>
  <c r="M28" i="5"/>
  <c r="L29" i="5"/>
  <c r="L28" i="5"/>
  <c r="K29" i="5"/>
  <c r="K28" i="5"/>
  <c r="J28" i="5"/>
  <c r="E29" i="5"/>
  <c r="K46" i="5"/>
  <c r="L46" i="5"/>
  <c r="M46" i="5"/>
  <c r="N46" i="5"/>
  <c r="K50" i="5"/>
  <c r="K56" i="5"/>
  <c r="K59" i="5"/>
  <c r="K61" i="5"/>
  <c r="K70" i="5"/>
  <c r="K73" i="5"/>
  <c r="K74" i="5" a="1"/>
  <c r="K74" i="5"/>
  <c r="L50" i="5"/>
  <c r="L56" i="5"/>
  <c r="L59" i="5"/>
  <c r="L61" i="5"/>
  <c r="L70" i="5"/>
  <c r="L73" i="5"/>
  <c r="L74" i="5" a="1"/>
  <c r="L74" i="5"/>
  <c r="M50" i="5"/>
  <c r="M56" i="5"/>
  <c r="M59" i="5"/>
  <c r="M61" i="5"/>
  <c r="M70" i="5"/>
  <c r="M73" i="5"/>
  <c r="M74" i="5" a="1"/>
  <c r="N50" i="5"/>
  <c r="N56" i="5"/>
  <c r="N59" i="5"/>
  <c r="N61" i="5"/>
  <c r="N70" i="5"/>
  <c r="N73" i="5"/>
  <c r="N74" i="5" a="1"/>
  <c r="O50" i="5"/>
  <c r="O56" i="5"/>
  <c r="O59" i="5"/>
  <c r="O61" i="5"/>
  <c r="O70" i="5"/>
  <c r="O73" i="5"/>
  <c r="O74" i="5" a="1"/>
  <c r="O74" i="5"/>
  <c r="O75" i="5"/>
  <c r="O76" i="5"/>
  <c r="M74" i="5"/>
  <c r="N74" i="5"/>
  <c r="O78" i="5"/>
  <c r="O81" i="5"/>
  <c r="O83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<sst xmlns="http://schemas.openxmlformats.org/spreadsheetml/2006/main" count="426" uniqueCount="353">
  <si>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</si>
  <si>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</si>
  <si>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</si>
  <si>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</si>
  <si>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</si>
  <si>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</si>
  <si>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</si>
  <si>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</si>
  <si>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</si>
  <si>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</si>
  <si>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</si>
  <si>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</si>
  <si>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</si>
  <si>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</si>
  <si>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</si>
  <si>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</si>
  <si>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</si>
  <si>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</si>
  <si>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</si>
  <si>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</si>
  <si>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</si>
  <si>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</si>
  <si>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</si>
  <si>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</si>
  <si>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</si>
  <si>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</si>
  <si>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</si>
  <si>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</si>
  <si>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</si>
  <si>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</si>
  <si>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</si>
  <si>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</si>
  <si>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</si>
  <si>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</si>
  <si>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</si>
  <si>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</si>
  <si>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</si>
  <si>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</si>
  <si>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</si>
  <si>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doanh thu thuần</t>
  </si>
  <si>
    <t>Tăng trưởng lợi nhuận gộp</t>
  </si>
  <si>
    <t>Tăng trưởng lợi nhuận trước thuế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</si>
  <si>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</si>
  <si>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</si>
  <si>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</si>
  <si>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</si>
  <si>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</si>
  <si>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</si>
  <si>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</si>
  <si>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</si>
  <si>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</si>
  <si>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</si>
  <si>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</si>
  <si>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</si>
  <si>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</si>
  <si>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</si>
  <si>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</si>
  <si>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</si>
  <si>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</si>
  <si>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</si>
  <si>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</si>
  <si>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</si>
  <si>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</si>
  <si>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</si>
  <si>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</si>
  <si>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</si>
  <si>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</si>
  <si>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</si>
  <si>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</si>
  <si>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</si>
  <si>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</si>
  <si>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</si>
  <si>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</si>
  <si>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</si>
  <si>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</si>
  <si>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</si>
  <si>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</si>
  <si>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</si>
  <si>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</si>
  <si>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</si>
  <si>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</si>
  <si>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</si>
  <si>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</si>
  <si>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</si>
  <si>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</si>
  <si>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</si>
  <si>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</si>
  <si>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</si>
  <si>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</si>
  <si>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</si>
  <si>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</si>
  <si>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</si>
  <si>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</si>
  <si>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</si>
  <si>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</si>
  <si>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</si>
  <si>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</si>
  <si>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</si>
  <si>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</si>
  <si>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</si>
  <si>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</si>
  <si>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</si>
  <si>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</t>
  </si>
  <si>
    <t>   A. TÀI SẢN NGẮN HẠN</t>
  </si>
  <si>
    <t>    I. Tiền và các khoản tương đương tiền</t>
  </si>
  <si>
    <t>    II. Đầu tư tài chính ngắn hạn</t>
  </si>
  <si>
    <t>    III. Các khoản phải thu ngắn hạn</t>
  </si>
  <si>
    <t>    IV. Hàng tồn kho</t>
  </si>
  <si>
    <t>    V. Tài sản ngắn hạn khác</t>
  </si>
  <si>
    <t>   B. TÀI SẢN DÀI HẠN</t>
  </si>
  <si>
    <t>    I. Các khoản phải thu dài hạn</t>
  </si>
  <si>
    <t>    II. Tài sản cố định</t>
  </si>
  <si>
    <t>    III. Bất động sản đầu tư</t>
  </si>
  <si>
    <t>    IV. Tài sản dở dang dài hạn</t>
  </si>
  <si>
    <t>    V. Đầu tư tài chính dài hạn</t>
  </si>
  <si>
    <t>    VI.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</si>
  <si>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</si>
  <si>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</si>
  <si>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</si>
  <si>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</si>
  <si>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</si>
  <si>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II. Nợ dài hạn</t>
  </si>
  <si>
    <t>   B. VỐN CHỦ SỞ HỮU</t>
  </si>
  <si>
    <t>    I. Vốn chủ sở hữu</t>
  </si>
  <si>
    <t>    II. Nguồn kinh phí và quỹ khác</t>
  </si>
  <si>
    <t>  C. LỢI ÍCH CỔ ĐÔNG THIỂU SỐ</t>
  </si>
  <si>
    <t> TỔNG CỘNG NGUỒN VỐN</t>
  </si>
  <si>
    <t>    1. Tiền</t>
  </si>
  <si>
    <t>    2. Các khoản tương đương tiền</t>
  </si>
  <si>
    <t>    1. Chứng khoán kinh doanh</t>
  </si>
  <si>
    <t>    2. Dự phòng giảm giá chứng khoán kinh doanh (*)</t>
  </si>
  <si>
    <t>    3. Đầu tư nắm giữ đến ngày đáo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</si>
  <si>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</si>
  <si>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</si>
  <si>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</si>
  <si>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</si>
  <si>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</si>
  <si>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</si>
  <si>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</si>
  <si>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</si>
  <si>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1. Hàng tồn kho</t>
  </si>
  <si>
    <t>    2. Dự phòng giảm giá hàng tồn kho (*)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</si>
  <si>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</si>
  <si>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</si>
  <si>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</si>
  <si>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</si>
  <si>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</si>
  <si>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 1. Phải thu dài hạn của khách hàng</t>
  </si>
  <si>
    <t>    2. Trả trước cho người bán dài hạn</t>
  </si>
  <si>
    <t>    3. Vốn kinh doanh ở các đơn vị trực thuộc</t>
  </si>
  <si>
    <t>    4. Phải thu nội bộ dài hạn</t>
  </si>
  <si>
    <t>    5. Phải thu về cho vay dài hạn</t>
  </si>
  <si>
    <t>    6. Phải thu dài hạn khác</t>
  </si>
  <si>
    <t>    7. Dự phòng phải thu dài hạn khó đòi (*)</t>
  </si>
  <si>
    <t>     1. Tài sản cố định hữu hình</t>
  </si>
  <si>
    <t>     2. Tài sản cố định thuê tài chính</t>
  </si>
  <si>
    <t>     3. Tài sản cố định vô hình</t>
  </si>
  <si>
    <t>     - Nguyên giá</t>
  </si>
  <si>
    <t>     - Giá trị hao mòn lũy kế (*)</t>
  </si>
  <si>
    <t>    1. Chi phí sản xuất, kinh doanh dở dang dài hạn</t>
  </si>
  <si>
    <t>    2. Chi phí xây dựng cơ bản dở dang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</si>
  <si>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</si>
  <si>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</si>
  <si>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</si>
  <si>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</si>
  <si>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</si>
  <si>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</si>
  <si>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</si>
  <si>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</si>
  <si>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</si>
  <si>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</si>
  <si>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</si>
  <si>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</si>
  <si>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</si>
  <si>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</si>
  <si>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</si>
  <si>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</si>
  <si>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</si>
  <si>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</si>
  <si>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</si>
  <si>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</si>
  <si>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</si>
  <si>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</si>
  <si>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</si>
  <si>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</si>
  <si>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</si>
  <si>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</si>
  <si>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</si>
  <si>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</si>
  <si>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</si>
  <si>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</si>
  <si>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</si>
  <si>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</si>
  <si>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</si>
  <si>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</si>
  <si>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</si>
  <si>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</si>
  <si>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</si>
  <si>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</si>
  <si>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  1. Vốn góp của chủ sở hữu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</si>
  <si>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</si>
  <si>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</si>
  <si>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</si>
  <si>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</si>
  <si>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</si>
  <si>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</si>
  <si>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</si>
  <si>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</si>
  <si>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</si>
  <si>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</si>
  <si>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12. Nguồn vốn đầu tư XDCB</t>
  </si>
  <si>
    <t>    13. Lợi ích cổ đông không kiểm soát</t>
  </si>
  <si>
    <t>    14. Quỹ dự phòng tài chính</t>
  </si>
  <si>
    <t>    1. Nguồn kinh phí</t>
  </si>
  <si>
    <t>    2. Nguồn kinh phí đã hình thành TSCĐ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</si>
  <si>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</si>
  <si>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</si>
  <si>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</si>
  <si>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</si>
  <si>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</si>
  <si>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</si>
  <si>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</si>
  <si>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</si>
  <si>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</si>
  <si>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</si>
  <si>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</si>
  <si>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</si>
  <si>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</si>
  <si>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</si>
  <si>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</si>
  <si>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</si>
  <si>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</si>
  <si>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</si>
  <si>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</si>
  <si>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</si>
  <si>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</si>
  <si>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</si>
  <si>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</si>
  <si>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</si>
  <si>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I. Lưu chuyển tiền từ hoạt động kinh doanh</t>
  </si>
  <si>
    <t>Khấu hao TSCĐ và BĐSĐT</t>
  </si>
  <si>
    <t>II. Lưu chuyển tiền từ hoạt động đầu tư</t>
  </si>
  <si>
    <t>3. Tiền chi cho vay, mua các công cụ nợ của đơn vị khác</t>
  </si>
  <si>
    <t>III. Lưu chuyển tiền từ hoạt động tài chính</t>
  </si>
  <si>
    <t>3. Tiền thu từ đi vay</t>
  </si>
  <si>
    <t>5. Tiền trả nợ gốc thuê tài chính</t>
  </si>
  <si>
    <t>7. Tiền thu khác từ hoạt động tài chính</t>
  </si>
  <si>
    <t>8. Tiền chi khác cho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</si>
  <si>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</si>
  <si>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</si>
  <si>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</si>
  <si>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</si>
  <si>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Ticker</t>
  </si>
  <si>
    <t>Date</t>
  </si>
  <si>
    <t>x</t>
  </si>
  <si>
    <t>Assumptions</t>
  </si>
  <si>
    <t>Income Statement</t>
  </si>
  <si>
    <t>Cash Flow Items</t>
  </si>
  <si>
    <t>DCF</t>
  </si>
  <si>
    <t>Revenue</t>
  </si>
  <si>
    <t>% growth</t>
  </si>
  <si>
    <t>EBIT</t>
  </si>
  <si>
    <t>%Sales</t>
  </si>
  <si>
    <t>Taxes</t>
  </si>
  <si>
    <t>% of EBIT</t>
  </si>
  <si>
    <t>      - Nguyên giá</t>
  </si>
  <si>
    <t>      - Giá trị hao mòn lũy kế (*)</t>
  </si>
  <si>
    <t>     - Cổ phiếu phổ thông có quyền biểu quyết</t>
  </si>
  <si>
    <t>     - Cổ phiếu ưu đãi</t>
  </si>
  <si>
    <t>     - LNST chưa phân phối lũy kế đến cuối kỳ trước</t>
  </si>
  <si>
    <t>     - LNST chưa phân phối kỳ này</t>
  </si>
  <si>
    <t>D&amp;A</t>
  </si>
  <si>
    <t>% of sales</t>
  </si>
  <si>
    <t>% of CapEx</t>
  </si>
  <si>
    <t>CapEx</t>
  </si>
  <si>
    <t>% of Sales</t>
  </si>
  <si>
    <t>Change in NWC</t>
  </si>
  <si>
    <t>% of change in sales</t>
  </si>
  <si>
    <t>EBIAT</t>
  </si>
  <si>
    <t>Unlevered FCF</t>
  </si>
  <si>
    <t>Present Value of FCF</t>
  </si>
  <si>
    <t>% margin</t>
  </si>
  <si>
    <t>Conservative Case</t>
  </si>
  <si>
    <t>Base Case</t>
  </si>
  <si>
    <t>Optimistic Case</t>
  </si>
  <si>
    <t>% EBIT</t>
  </si>
  <si>
    <t>Switches</t>
  </si>
  <si>
    <t>Revenue Growth</t>
  </si>
  <si>
    <t>EBIT Margin</t>
  </si>
  <si>
    <t>WACC</t>
  </si>
  <si>
    <t>TGR</t>
  </si>
  <si>
    <t>Valuation Assumption</t>
  </si>
  <si>
    <t>Revenue 2027</t>
  </si>
  <si>
    <t>Revenue 2022</t>
  </si>
  <si>
    <t>EBIT 2022</t>
  </si>
  <si>
    <t>EBIT 2027</t>
  </si>
  <si>
    <t>NWC</t>
  </si>
  <si>
    <t>CapEx 2027</t>
  </si>
  <si>
    <t>Terminal Value</t>
  </si>
  <si>
    <t>Present Value of Terminal Value</t>
  </si>
  <si>
    <t>Enterprise Value</t>
  </si>
  <si>
    <t>+ Cash</t>
  </si>
  <si>
    <t>- Dept</t>
  </si>
  <si>
    <t>Equity Value</t>
  </si>
  <si>
    <t>Number of Shares</t>
  </si>
  <si>
    <t>Share price</t>
  </si>
  <si>
    <t>Implied Share Price</t>
  </si>
  <si>
    <t>Current Share Price</t>
  </si>
  <si>
    <t>debt</t>
  </si>
  <si>
    <t>% debt</t>
  </si>
  <si>
    <t>cost of debt</t>
  </si>
  <si>
    <t>equity</t>
  </si>
  <si>
    <t>% equity</t>
  </si>
  <si>
    <t>taxes</t>
  </si>
  <si>
    <t>cost of equity</t>
  </si>
  <si>
    <t>beta</t>
  </si>
  <si>
    <t>MRP</t>
  </si>
  <si>
    <t>risk free rate</t>
  </si>
  <si>
    <t>DRC DCF</t>
  </si>
  <si>
    <t>DRC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</si>
  <si>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</si>
  <si>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</si>
  <si>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</si>
  <si>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</si>
  <si>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</si>
  <si>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</si>
  <si>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</si>
  <si>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</si>
  <si>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1. Tiền chi để mua sắm, xây dựng TSCĐ và các tài sản dài hạn khác</t>
  </si>
  <si>
    <t>2. Tiền thu từ thanh lý, nhượng bán TSCĐ và các tài sản dài hạn khác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</si>
  <si>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</si>
  <si>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</si>
  <si>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</si>
  <si>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</si>
  <si>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</si>
  <si>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</si>
  <si>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</si>
  <si>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</si>
  <si>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</si>
  <si>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4. Tiền chi trả nợ gốc vay</t>
  </si>
  <si>
    <t>6. Cổ tức, lợi nhuận đã trả cho chủ sở hữu</t>
  </si>
  <si>
    <t>LƯU CHUYỂN TIỀN THUẦN TỪ HOẠT ĐỘNG TÀI CHÍNH</t>
  </si>
  <si>
    <t>Dividends</t>
  </si>
  <si>
    <t>Growth</t>
  </si>
  <si>
    <t>Growth 2022</t>
  </si>
  <si>
    <t>Growth 2027</t>
  </si>
  <si>
    <t>Cost of equity</t>
  </si>
  <si>
    <t>Terminal Dividends</t>
  </si>
  <si>
    <t>Present Value of TD</t>
  </si>
  <si>
    <t>Present Value of Dividends</t>
  </si>
  <si>
    <t>Price</t>
  </si>
  <si>
    <t>Chỉ số tài chính - DRC</t>
  </si>
  <si>
    <t>CapEx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</si>
</sst>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15096"/>
      <name val="Arial"/>
      <family val="2"/>
    </font>
    <font>
      <b/>
      <sz val="11"/>
      <color rgb="FF275F8F"/>
      <name val="Arial"/>
      <family val="2"/>
    </font>
    <font>
      <sz val="11"/>
      <color rgb="FF333333"/>
      <name val="Arial"/>
      <family val="2"/>
    </font>
    <font>
      <b/>
      <sz val="11"/>
      <color rgb="FF005288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8"/>
      <color theme="1"/>
      <name val="Arial"/>
      <family val="2"/>
    </font>
    <font>
      <sz val="11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1F0CD"/>
        <bgColor indexed="64"/>
      </patternFill>
    </fill>
    <fill>
      <patternFill patternType="solid">
        <fgColor rgb="FFFFDEA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2" fontId="0" fillId="0" borderId="0" xfId="0" applyNumberFormat="1"/>
    <xf numFmtId="3" fontId="6" fillId="2" borderId="2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0" fontId="7" fillId="4" borderId="0" xfId="0" applyFont="1" applyFill="1" applyAlignment="1">
      <alignment horizontal="center"/>
    </xf>
    <xf numFmtId="2" fontId="7" fillId="0" borderId="0" xfId="0" applyNumberFormat="1" applyFont="1"/>
    <xf numFmtId="14" fontId="7" fillId="4" borderId="0" xfId="0" applyNumberFormat="1" applyFont="1" applyFill="1" applyAlignment="1">
      <alignment horizontal="center"/>
    </xf>
    <xf numFmtId="0" fontId="9" fillId="5" borderId="0" xfId="0" applyFont="1" applyFill="1"/>
    <xf numFmtId="3" fontId="10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7" fillId="0" borderId="0" xfId="1" applyNumberFormat="1" applyFont="1"/>
    <xf numFmtId="164" fontId="7" fillId="0" borderId="0" xfId="0" applyNumberFormat="1" applyFont="1"/>
    <xf numFmtId="3" fontId="10" fillId="0" borderId="0" xfId="0" applyNumberFormat="1" applyFont="1"/>
    <xf numFmtId="3" fontId="7" fillId="0" borderId="0" xfId="0" applyNumberFormat="1" applyFont="1"/>
    <xf numFmtId="9" fontId="7" fillId="0" borderId="0" xfId="1" applyFont="1"/>
    <xf numFmtId="3" fontId="11" fillId="0" borderId="0" xfId="0" applyNumberFormat="1" applyFont="1"/>
    <xf numFmtId="164" fontId="11" fillId="4" borderId="3" xfId="0" applyNumberFormat="1" applyFont="1" applyFill="1" applyBorder="1"/>
    <xf numFmtId="164" fontId="7" fillId="4" borderId="5" xfId="0" applyNumberFormat="1" applyFont="1" applyFill="1" applyBorder="1"/>
    <xf numFmtId="164" fontId="11" fillId="4" borderId="5" xfId="0" applyNumberFormat="1" applyFont="1" applyFill="1" applyBorder="1"/>
    <xf numFmtId="164" fontId="7" fillId="4" borderId="3" xfId="0" applyNumberFormat="1" applyFont="1" applyFill="1" applyBorder="1"/>
    <xf numFmtId="164" fontId="11" fillId="4" borderId="4" xfId="0" applyNumberFormat="1" applyFont="1" applyFill="1" applyBorder="1"/>
    <xf numFmtId="164" fontId="7" fillId="4" borderId="4" xfId="0" applyNumberFormat="1" applyFont="1" applyFill="1" applyBorder="1"/>
    <xf numFmtId="164" fontId="7" fillId="4" borderId="5" xfId="1" applyNumberFormat="1" applyFont="1" applyFill="1" applyBorder="1"/>
    <xf numFmtId="0" fontId="8" fillId="6" borderId="0" xfId="0" applyFont="1" applyFill="1"/>
    <xf numFmtId="3" fontId="8" fillId="6" borderId="0" xfId="0" applyNumberFormat="1" applyFont="1" applyFill="1"/>
    <xf numFmtId="164" fontId="7" fillId="4" borderId="3" xfId="1" applyNumberFormat="1" applyFont="1" applyFill="1" applyBorder="1"/>
    <xf numFmtId="9" fontId="7" fillId="0" borderId="0" xfId="0" applyNumberFormat="1" applyFont="1"/>
    <xf numFmtId="0" fontId="7" fillId="0" borderId="0" xfId="0" quotePrefix="1" applyFont="1"/>
    <xf numFmtId="0" fontId="8" fillId="7" borderId="0" xfId="0" applyFont="1" applyFill="1"/>
    <xf numFmtId="3" fontId="8" fillId="7" borderId="0" xfId="0" applyNumberFormat="1" applyFont="1" applyFill="1"/>
    <xf numFmtId="2" fontId="8" fillId="7" borderId="0" xfId="0" applyNumberFormat="1" applyFont="1" applyFill="1"/>
    <xf numFmtId="0" fontId="12" fillId="0" borderId="0" xfId="0" applyFont="1"/>
    <xf numFmtId="9" fontId="7" fillId="4" borderId="0" xfId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0" fontId="7" fillId="0" borderId="0" xfId="0" applyNumberFormat="1" applyFont="1"/>
    <xf numFmtId="3" fontId="0" fillId="0" borderId="0" xfId="0" applyNumberFormat="1"/>
    <xf numFmtId="0" fontId="3" fillId="8" borderId="2" xfId="0" applyFont="1" applyFill="1" applyBorder="1" applyAlignment="1">
      <alignment horizontal="center" vertical="top" wrapText="1"/>
    </xf>
    <xf numFmtId="4" fontId="4" fillId="8" borderId="2" xfId="0" applyNumberFormat="1" applyFont="1" applyFill="1" applyBorder="1" applyAlignment="1">
      <alignment horizontal="right" vertical="top" wrapText="1"/>
    </xf>
    <xf numFmtId="3" fontId="4" fillId="8" borderId="2" xfId="0" applyNumberFormat="1" applyFont="1" applyFill="1" applyBorder="1" applyAlignment="1">
      <alignment horizontal="right" vertical="top" wrapText="1"/>
    </xf>
    <xf numFmtId="0" fontId="4" fillId="8" borderId="2" xfId="0" applyFont="1" applyFill="1" applyBorder="1" applyAlignment="1">
      <alignment horizontal="right" vertical="top" wrapText="1"/>
    </xf>
    <xf numFmtId="0" fontId="7" fillId="4" borderId="6" xfId="0" applyFont="1" applyFill="1" applyBorder="1"/>
    <xf numFmtId="164" fontId="7" fillId="4" borderId="6" xfId="1" applyNumberFormat="1" applyFont="1" applyFill="1" applyBorder="1"/>
    <xf numFmtId="0" fontId="3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top" wrapText="1"/>
    </xf>
    <xf numFmtId="164" fontId="13" fillId="4" borderId="0" xfId="0" applyNumberFormat="1" applyFont="1" applyFill="1" applyAlignment="1">
      <alignment horizontal="center"/>
    </xf>
    <xf numFmtId="164" fontId="13" fillId="4" borderId="0" xfId="1" applyNumberFormat="1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C76-A4DD-4585-84F6-D0923D0B1F7B}">
  <dimension ref="A1:U83"/>
  <sheetViews>
    <sheetView showGridLines="0" topLeftCell="A46" workbookViewId="0">
      <selection activeCell="C10" sqref="C10"/>
    </sheetView>
  </sheetViews>
  <sheetFormatPr defaultRowHeight="15" x14ac:dyDescent="0.25"/>
  <cols>
    <col min="1" max="1" width="76.7109375" bestFit="1" customWidth="1"/>
    <col min="2" max="12" width="9.140625" style="15"/>
  </cols>
  <sheetData>
    <row r="1" spans="1:21" ht="15.75" thickBot="1" x14ac:dyDescent="0.3">
      <c r="A1" s="1" t="s">
        <v>351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.5" thickTop="1" thickBot="1" x14ac:dyDescent="0.3">
      <c r="A2" s="3" t="s">
        <v>20</v>
      </c>
      <c r="B2" s="4"/>
      <c r="C2" s="4"/>
      <c r="D2" s="52"/>
      <c r="E2" s="4"/>
      <c r="F2" s="4"/>
      <c r="G2" s="4"/>
      <c r="H2" s="52"/>
      <c r="I2" s="4"/>
      <c r="J2" s="4"/>
      <c r="K2" s="4"/>
      <c r="L2" s="52"/>
      <c r="M2" s="4"/>
      <c r="N2" s="4"/>
      <c r="O2" s="4"/>
      <c r="P2" s="52"/>
      <c r="Q2" s="4"/>
      <c r="R2" s="4"/>
      <c r="S2" s="4"/>
      <c r="T2" s="52"/>
      <c r="U2" s="4"/>
    </row>
    <row r="3" spans="1:21" ht="15.75" thickBot="1" x14ac:dyDescent="0.3">
      <c r="A3" s="5" t="s">
        <v>21</v>
      </c>
      <c r="B3" s="19">
        <v>2571.02</v>
      </c>
      <c r="C3" s="19">
        <v>2052.7800000000002</v>
      </c>
      <c r="D3" s="53">
        <v>1360.96</v>
      </c>
      <c r="E3" s="6">
        <v>941.01</v>
      </c>
      <c r="F3" s="19">
        <v>1106.6199999999999</v>
      </c>
      <c r="G3" s="19">
        <v>1154.1500000000001</v>
      </c>
      <c r="H3" s="53">
        <v>1166.8499999999999</v>
      </c>
      <c r="I3" s="19">
        <v>1134.4100000000001</v>
      </c>
      <c r="J3" s="19">
        <v>1274.72</v>
      </c>
      <c r="K3" s="19">
        <v>1702.71</v>
      </c>
      <c r="L3" s="53">
        <v>2107.1</v>
      </c>
      <c r="M3" s="19">
        <v>2280.19</v>
      </c>
      <c r="N3" s="19">
        <v>2046.33</v>
      </c>
      <c r="O3" s="19">
        <v>1876.58</v>
      </c>
      <c r="P3" s="53">
        <v>2119.75</v>
      </c>
      <c r="Q3" s="19">
        <v>2340.67</v>
      </c>
      <c r="R3" s="19">
        <v>2870.95</v>
      </c>
      <c r="S3" s="17">
        <v>2636</v>
      </c>
      <c r="T3" s="53">
        <v>2449.87</v>
      </c>
      <c r="U3" s="19">
        <v>2467.6799999999998</v>
      </c>
    </row>
    <row r="4" spans="1:21" ht="15.75" thickBot="1" x14ac:dyDescent="0.3">
      <c r="A4" s="5" t="s">
        <v>22</v>
      </c>
      <c r="B4" s="17">
        <v>12637</v>
      </c>
      <c r="C4" s="17">
        <v>12850</v>
      </c>
      <c r="D4" s="54">
        <v>12611</v>
      </c>
      <c r="E4" s="17">
        <v>13027</v>
      </c>
      <c r="F4" s="17">
        <v>12584</v>
      </c>
      <c r="G4" s="17">
        <v>12845</v>
      </c>
      <c r="H4" s="54">
        <v>12819</v>
      </c>
      <c r="I4" s="17">
        <v>12981</v>
      </c>
      <c r="J4" s="17">
        <v>12870</v>
      </c>
      <c r="K4" s="17">
        <v>13559</v>
      </c>
      <c r="L4" s="54">
        <v>13738</v>
      </c>
      <c r="M4" s="17">
        <v>14054</v>
      </c>
      <c r="N4" s="17">
        <v>13225</v>
      </c>
      <c r="O4" s="17">
        <v>13784</v>
      </c>
      <c r="P4" s="54">
        <v>14206</v>
      </c>
      <c r="Q4" s="17">
        <v>14740</v>
      </c>
      <c r="R4" s="17">
        <v>14415</v>
      </c>
      <c r="S4" s="17">
        <v>14698</v>
      </c>
      <c r="T4" s="54">
        <v>14934</v>
      </c>
      <c r="U4" s="17">
        <v>15487</v>
      </c>
    </row>
    <row r="5" spans="1:21" ht="15.75" thickBot="1" x14ac:dyDescent="0.3">
      <c r="A5" s="5" t="s">
        <v>23</v>
      </c>
      <c r="B5" s="6">
        <v>12.47</v>
      </c>
      <c r="C5" s="6">
        <v>11.2</v>
      </c>
      <c r="D5" s="55">
        <v>17.78</v>
      </c>
      <c r="E5" s="6">
        <v>31.88</v>
      </c>
      <c r="F5" s="6">
        <v>21.33</v>
      </c>
      <c r="G5" s="6">
        <v>23.83</v>
      </c>
      <c r="H5" s="55">
        <v>18.43</v>
      </c>
      <c r="I5" s="6">
        <v>19.7</v>
      </c>
      <c r="J5" s="6">
        <v>14.43</v>
      </c>
      <c r="K5" s="6">
        <v>13.74</v>
      </c>
      <c r="L5" s="55">
        <v>11.06</v>
      </c>
      <c r="M5" s="6">
        <v>6.38</v>
      </c>
      <c r="N5" s="6">
        <v>8.6999999999999993</v>
      </c>
      <c r="O5" s="6">
        <v>11.16</v>
      </c>
      <c r="P5" s="55">
        <v>10.83</v>
      </c>
      <c r="Q5" s="6">
        <v>12.3</v>
      </c>
      <c r="R5" s="6">
        <v>10.54</v>
      </c>
      <c r="S5" s="6">
        <v>12.22</v>
      </c>
      <c r="T5" s="55">
        <v>13.33</v>
      </c>
      <c r="U5" s="6">
        <v>14.39</v>
      </c>
    </row>
    <row r="6" spans="1:21" ht="15.75" thickBot="1" x14ac:dyDescent="0.3">
      <c r="A6" s="5" t="s">
        <v>24</v>
      </c>
      <c r="B6" s="6">
        <v>2.54</v>
      </c>
      <c r="C6" s="6">
        <v>1.79</v>
      </c>
      <c r="D6" s="55">
        <v>1.92</v>
      </c>
      <c r="E6" s="6">
        <v>2.2999999999999998</v>
      </c>
      <c r="F6" s="6">
        <v>1.88</v>
      </c>
      <c r="G6" s="6">
        <v>2.14</v>
      </c>
      <c r="H6" s="55">
        <v>1.68</v>
      </c>
      <c r="I6" s="6">
        <v>1.72</v>
      </c>
      <c r="J6" s="6">
        <v>1.43</v>
      </c>
      <c r="K6" s="6">
        <v>1.73</v>
      </c>
      <c r="L6" s="55">
        <v>1.7</v>
      </c>
      <c r="M6" s="6">
        <v>1.04</v>
      </c>
      <c r="N6" s="6">
        <v>1.35</v>
      </c>
      <c r="O6" s="6">
        <v>1.52</v>
      </c>
      <c r="P6" s="55">
        <v>1.62</v>
      </c>
      <c r="Q6" s="6">
        <v>1.95</v>
      </c>
      <c r="R6" s="6">
        <v>2.1</v>
      </c>
      <c r="S6" s="6">
        <v>2.19</v>
      </c>
      <c r="T6" s="55">
        <v>2.19</v>
      </c>
      <c r="U6" s="6">
        <v>2.29</v>
      </c>
    </row>
    <row r="7" spans="1:21" ht="15.75" thickBot="1" x14ac:dyDescent="0.3">
      <c r="A7" s="5" t="s">
        <v>25</v>
      </c>
      <c r="B7" s="6">
        <v>4.3499999999999996</v>
      </c>
      <c r="C7" s="6">
        <v>3.11</v>
      </c>
      <c r="D7" s="55">
        <v>2.8</v>
      </c>
      <c r="E7" s="6">
        <v>4.8600000000000003</v>
      </c>
      <c r="F7" s="6">
        <v>3.02</v>
      </c>
      <c r="G7" s="6">
        <v>3.67</v>
      </c>
      <c r="H7" s="55">
        <v>2.56</v>
      </c>
      <c r="I7" s="6">
        <v>3.22</v>
      </c>
      <c r="J7" s="6">
        <v>1.99</v>
      </c>
      <c r="K7" s="6">
        <v>2.86</v>
      </c>
      <c r="L7" s="55">
        <v>2.86</v>
      </c>
      <c r="M7" s="6">
        <v>2.15</v>
      </c>
      <c r="N7" s="6">
        <v>2.68</v>
      </c>
      <c r="O7" s="6">
        <v>2.63</v>
      </c>
      <c r="P7" s="55">
        <v>2.46</v>
      </c>
      <c r="Q7" s="6">
        <v>3.75</v>
      </c>
      <c r="R7" s="6">
        <v>2.98</v>
      </c>
      <c r="S7" s="6">
        <v>4.12</v>
      </c>
      <c r="T7" s="55">
        <v>2.91</v>
      </c>
      <c r="U7" s="6">
        <v>3.29</v>
      </c>
    </row>
    <row r="8" spans="1:21" ht="15.75" thickBot="1" x14ac:dyDescent="0.3">
      <c r="A8" s="5" t="s">
        <v>26</v>
      </c>
      <c r="B8" s="6">
        <v>0.09</v>
      </c>
      <c r="C8" s="6">
        <v>0.12</v>
      </c>
      <c r="D8" s="55">
        <v>7.0000000000000007E-2</v>
      </c>
      <c r="E8" s="6">
        <v>0.06</v>
      </c>
      <c r="F8" s="6">
        <v>0.06</v>
      </c>
      <c r="G8" s="6">
        <v>0.05</v>
      </c>
      <c r="H8" s="55">
        <v>0.05</v>
      </c>
      <c r="I8" s="6">
        <v>0.05</v>
      </c>
      <c r="J8" s="6">
        <v>0.05</v>
      </c>
      <c r="K8" s="6">
        <v>0.04</v>
      </c>
      <c r="L8" s="55">
        <v>0.05</v>
      </c>
      <c r="M8" s="6">
        <v>0.08</v>
      </c>
      <c r="N8" s="6">
        <v>0.03</v>
      </c>
      <c r="O8" s="6">
        <v>7.0000000000000007E-2</v>
      </c>
      <c r="P8" s="55">
        <v>7.0000000000000007E-2</v>
      </c>
      <c r="Q8" s="6">
        <v>0.05</v>
      </c>
      <c r="R8" s="6">
        <v>0.08</v>
      </c>
      <c r="S8" s="6">
        <v>0.05</v>
      </c>
      <c r="T8" s="55">
        <v>0.05</v>
      </c>
      <c r="U8" s="6">
        <v>0.04</v>
      </c>
    </row>
    <row r="9" spans="1:21" ht="15.75" thickBot="1" x14ac:dyDescent="0.3">
      <c r="A9" s="5" t="s">
        <v>27</v>
      </c>
      <c r="B9" s="6">
        <v>0.63</v>
      </c>
      <c r="C9" s="6">
        <v>0.81</v>
      </c>
      <c r="D9" s="55">
        <v>0.73</v>
      </c>
      <c r="E9" s="6">
        <v>0.53</v>
      </c>
      <c r="F9" s="6">
        <v>0.6</v>
      </c>
      <c r="G9" s="6">
        <v>0.57999999999999996</v>
      </c>
      <c r="H9" s="55">
        <v>0.77</v>
      </c>
      <c r="I9" s="6">
        <v>0.79</v>
      </c>
      <c r="J9" s="6">
        <v>0.75</v>
      </c>
      <c r="K9" s="6">
        <v>0.78</v>
      </c>
      <c r="L9" s="55">
        <v>0.82</v>
      </c>
      <c r="M9" s="6">
        <v>1.1299999999999999</v>
      </c>
      <c r="N9" s="6">
        <v>1.1499999999999999</v>
      </c>
      <c r="O9" s="6">
        <v>1.1599999999999999</v>
      </c>
      <c r="P9" s="55">
        <v>1.07</v>
      </c>
      <c r="Q9" s="6">
        <v>0.94</v>
      </c>
      <c r="R9" s="6">
        <v>0.95</v>
      </c>
      <c r="S9" s="6">
        <v>0.99</v>
      </c>
      <c r="T9" s="55">
        <v>1</v>
      </c>
      <c r="U9" s="6">
        <v>0.9</v>
      </c>
    </row>
    <row r="10" spans="1:21" ht="15.75" thickBot="1" x14ac:dyDescent="0.3">
      <c r="A10" s="5" t="s">
        <v>28</v>
      </c>
      <c r="B10" s="6">
        <v>85.87</v>
      </c>
      <c r="C10" s="6">
        <v>87.25</v>
      </c>
      <c r="D10" s="55">
        <v>68.95</v>
      </c>
      <c r="E10" s="6">
        <v>128.72999999999999</v>
      </c>
      <c r="F10" s="6">
        <v>46.34</v>
      </c>
      <c r="G10" s="6">
        <v>81.06</v>
      </c>
      <c r="H10" s="55">
        <v>63.49</v>
      </c>
      <c r="I10" s="6">
        <v>105.25</v>
      </c>
      <c r="J10" s="6">
        <v>28.9</v>
      </c>
      <c r="K10" s="6">
        <v>30.42</v>
      </c>
      <c r="L10" s="55">
        <v>31.17</v>
      </c>
      <c r="M10" s="6">
        <v>42.58</v>
      </c>
      <c r="N10" s="6">
        <v>41.28</v>
      </c>
      <c r="O10" s="6">
        <v>33.409999999999997</v>
      </c>
      <c r="P10" s="55">
        <v>20.48</v>
      </c>
      <c r="Q10" s="6">
        <v>44.04</v>
      </c>
      <c r="R10" s="6">
        <v>29.03</v>
      </c>
      <c r="S10" s="6">
        <v>97.85</v>
      </c>
      <c r="T10" s="55">
        <v>38.83</v>
      </c>
      <c r="U10" s="6">
        <v>58.28</v>
      </c>
    </row>
    <row r="11" spans="1:21" ht="15.75" thickBot="1" x14ac:dyDescent="0.3">
      <c r="A11" s="5" t="s">
        <v>29</v>
      </c>
      <c r="B11" s="6"/>
      <c r="C11" s="6"/>
      <c r="D11" s="55"/>
      <c r="E11" s="6"/>
      <c r="F11" s="6"/>
      <c r="G11" s="6"/>
      <c r="H11" s="55"/>
      <c r="I11" s="6"/>
      <c r="J11" s="6"/>
      <c r="K11" s="6"/>
      <c r="L11" s="55"/>
      <c r="M11" s="6"/>
      <c r="N11" s="6"/>
      <c r="O11" s="6"/>
      <c r="P11" s="55"/>
      <c r="Q11" s="6"/>
      <c r="R11" s="6"/>
      <c r="S11" s="6"/>
      <c r="T11" s="55"/>
      <c r="U11" s="6"/>
    </row>
    <row r="12" spans="1:21" ht="15.75" thickBot="1" x14ac:dyDescent="0.3">
      <c r="A12" s="58" t="s">
        <v>30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15.75" thickBot="1" x14ac:dyDescent="0.3">
      <c r="A13" s="5" t="s">
        <v>31</v>
      </c>
      <c r="B13" s="6">
        <v>12.96</v>
      </c>
      <c r="C13" s="6">
        <v>11.18</v>
      </c>
      <c r="D13" s="55">
        <v>11.82</v>
      </c>
      <c r="E13" s="6">
        <v>10.39</v>
      </c>
      <c r="F13" s="6">
        <v>14.28</v>
      </c>
      <c r="G13" s="6">
        <v>12.22</v>
      </c>
      <c r="H13" s="55">
        <v>10.93</v>
      </c>
      <c r="I13" s="6">
        <v>9.73</v>
      </c>
      <c r="J13" s="6">
        <v>14.45</v>
      </c>
      <c r="K13" s="6">
        <v>16.72</v>
      </c>
      <c r="L13" s="55">
        <v>17.59</v>
      </c>
      <c r="M13" s="6">
        <v>14.72</v>
      </c>
      <c r="N13" s="6">
        <v>14.87</v>
      </c>
      <c r="O13" s="6">
        <v>15.29</v>
      </c>
      <c r="P13" s="55">
        <v>19.77</v>
      </c>
      <c r="Q13" s="6">
        <v>18.18</v>
      </c>
      <c r="R13" s="6">
        <v>18.8</v>
      </c>
      <c r="S13" s="6">
        <v>14.42</v>
      </c>
      <c r="T13" s="55">
        <v>16.559999999999999</v>
      </c>
      <c r="U13" s="6">
        <v>15.58</v>
      </c>
    </row>
    <row r="14" spans="1:21" ht="15.75" thickBot="1" x14ac:dyDescent="0.3">
      <c r="A14" s="5" t="s">
        <v>32</v>
      </c>
      <c r="B14" s="6">
        <v>6.37</v>
      </c>
      <c r="C14" s="6">
        <v>4.75</v>
      </c>
      <c r="D14" s="55">
        <v>5.28</v>
      </c>
      <c r="E14" s="6">
        <v>4.83</v>
      </c>
      <c r="F14" s="6">
        <v>8.7899999999999991</v>
      </c>
      <c r="G14" s="6">
        <v>5.91</v>
      </c>
      <c r="H14" s="55">
        <v>5.44</v>
      </c>
      <c r="I14" s="6">
        <v>4.05</v>
      </c>
      <c r="J14" s="6">
        <v>9.0500000000000007</v>
      </c>
      <c r="K14" s="6">
        <v>11.5</v>
      </c>
      <c r="L14" s="55">
        <v>11.28</v>
      </c>
      <c r="M14" s="6">
        <v>6.94</v>
      </c>
      <c r="N14" s="6">
        <v>7.55</v>
      </c>
      <c r="O14" s="6">
        <v>8.52</v>
      </c>
      <c r="P14" s="55">
        <v>12.53</v>
      </c>
      <c r="Q14" s="6">
        <v>9.0399999999999991</v>
      </c>
      <c r="R14" s="6">
        <v>11.18</v>
      </c>
      <c r="S14" s="6">
        <v>4.75</v>
      </c>
      <c r="T14" s="55">
        <v>8.43</v>
      </c>
      <c r="U14" s="6">
        <v>6.59</v>
      </c>
    </row>
    <row r="15" spans="1:21" ht="15.75" thickBot="1" x14ac:dyDescent="0.3">
      <c r="A15" s="5" t="s">
        <v>33</v>
      </c>
      <c r="B15" s="6">
        <v>13.5</v>
      </c>
      <c r="C15" s="6">
        <v>11.8</v>
      </c>
      <c r="D15" s="55">
        <v>11.45</v>
      </c>
      <c r="E15" s="6">
        <v>13.76</v>
      </c>
      <c r="F15" s="6">
        <v>15.95</v>
      </c>
      <c r="G15" s="6">
        <v>13.74</v>
      </c>
      <c r="H15" s="55">
        <v>12.35</v>
      </c>
      <c r="I15" s="6">
        <v>12.54</v>
      </c>
      <c r="J15" s="6">
        <v>15.35</v>
      </c>
      <c r="K15" s="6">
        <v>18.579999999999998</v>
      </c>
      <c r="L15" s="55">
        <v>18.09</v>
      </c>
      <c r="M15" s="6">
        <v>15.16</v>
      </c>
      <c r="N15" s="6">
        <v>15.92</v>
      </c>
      <c r="O15" s="6">
        <v>14.04</v>
      </c>
      <c r="P15" s="55">
        <v>14.88</v>
      </c>
      <c r="Q15" s="6">
        <v>11.89</v>
      </c>
      <c r="R15" s="6">
        <v>13.33</v>
      </c>
      <c r="S15" s="6">
        <v>7.5</v>
      </c>
      <c r="T15" s="55">
        <v>10.39</v>
      </c>
      <c r="U15" s="6">
        <v>8.2200000000000006</v>
      </c>
    </row>
    <row r="16" spans="1:21" ht="15.75" thickBot="1" x14ac:dyDescent="0.3">
      <c r="A16" s="5" t="s">
        <v>34</v>
      </c>
      <c r="B16" s="6">
        <v>4.0199999999999996</v>
      </c>
      <c r="C16" s="6">
        <v>2.88</v>
      </c>
      <c r="D16" s="55">
        <v>3.03</v>
      </c>
      <c r="E16" s="6">
        <v>2.83</v>
      </c>
      <c r="F16" s="6">
        <v>5.86</v>
      </c>
      <c r="G16" s="6">
        <v>3.48</v>
      </c>
      <c r="H16" s="55">
        <v>3.26</v>
      </c>
      <c r="I16" s="6">
        <v>2.0499999999999998</v>
      </c>
      <c r="J16" s="6">
        <v>6.48</v>
      </c>
      <c r="K16" s="6">
        <v>8.43</v>
      </c>
      <c r="L16" s="55">
        <v>8.33</v>
      </c>
      <c r="M16" s="6">
        <v>4.66</v>
      </c>
      <c r="N16" s="6">
        <v>5.48</v>
      </c>
      <c r="O16" s="6">
        <v>6.51</v>
      </c>
      <c r="P16" s="55">
        <v>9.8800000000000008</v>
      </c>
      <c r="Q16" s="6">
        <v>6.98</v>
      </c>
      <c r="R16" s="6">
        <v>8.82</v>
      </c>
      <c r="S16" s="6">
        <v>3.63</v>
      </c>
      <c r="T16" s="55">
        <v>6.55</v>
      </c>
      <c r="U16" s="6">
        <v>5.13</v>
      </c>
    </row>
    <row r="17" spans="1:21" ht="15.75" thickBot="1" x14ac:dyDescent="0.3">
      <c r="A17" s="5" t="s">
        <v>35</v>
      </c>
      <c r="B17" s="6">
        <v>2.2000000000000002</v>
      </c>
      <c r="C17" s="6">
        <v>1.67</v>
      </c>
      <c r="D17" s="55">
        <v>2.0499999999999998</v>
      </c>
      <c r="E17" s="6">
        <v>1.35</v>
      </c>
      <c r="F17" s="6">
        <v>3.57</v>
      </c>
      <c r="G17" s="6">
        <v>2.0499999999999998</v>
      </c>
      <c r="H17" s="55">
        <v>2.14</v>
      </c>
      <c r="I17" s="6">
        <v>1.1000000000000001</v>
      </c>
      <c r="J17" s="6">
        <v>4.63</v>
      </c>
      <c r="K17" s="6">
        <v>5.21</v>
      </c>
      <c r="L17" s="55">
        <v>4.97</v>
      </c>
      <c r="M17" s="6">
        <v>2.27</v>
      </c>
      <c r="N17" s="6">
        <v>2.67</v>
      </c>
      <c r="O17" s="6">
        <v>3.84</v>
      </c>
      <c r="P17" s="55">
        <v>6.59</v>
      </c>
      <c r="Q17" s="6">
        <v>3.7</v>
      </c>
      <c r="R17" s="6">
        <v>6.13</v>
      </c>
      <c r="S17" s="6">
        <v>1.95</v>
      </c>
      <c r="T17" s="55">
        <v>4.97</v>
      </c>
      <c r="U17" s="6">
        <v>3.64</v>
      </c>
    </row>
    <row r="18" spans="1:21" ht="15.75" thickBot="1" x14ac:dyDescent="0.3">
      <c r="A18" s="5" t="s">
        <v>36</v>
      </c>
      <c r="B18" s="6">
        <v>2.95</v>
      </c>
      <c r="C18" s="6">
        <v>2.29</v>
      </c>
      <c r="D18" s="55">
        <v>2.87</v>
      </c>
      <c r="E18" s="6">
        <v>1.82</v>
      </c>
      <c r="F18" s="6">
        <v>4.2</v>
      </c>
      <c r="G18" s="6">
        <v>2.81</v>
      </c>
      <c r="H18" s="55">
        <v>2.99</v>
      </c>
      <c r="I18" s="6">
        <v>1.89</v>
      </c>
      <c r="J18" s="6">
        <v>5.69</v>
      </c>
      <c r="K18" s="6">
        <v>6.4</v>
      </c>
      <c r="L18" s="55">
        <v>6.15</v>
      </c>
      <c r="M18" s="6">
        <v>3.11</v>
      </c>
      <c r="N18" s="6">
        <v>3.4</v>
      </c>
      <c r="O18" s="6">
        <v>4.79</v>
      </c>
      <c r="P18" s="55">
        <v>8.26</v>
      </c>
      <c r="Q18" s="6">
        <v>4.79</v>
      </c>
      <c r="R18" s="6">
        <v>7.77</v>
      </c>
      <c r="S18" s="6">
        <v>2.5499999999999998</v>
      </c>
      <c r="T18" s="55">
        <v>6.38</v>
      </c>
      <c r="U18" s="6">
        <v>4.68</v>
      </c>
    </row>
    <row r="19" spans="1:21" ht="15.75" thickBot="1" x14ac:dyDescent="0.3">
      <c r="A19" s="5" t="s">
        <v>37</v>
      </c>
      <c r="B19" s="6">
        <v>1.19</v>
      </c>
      <c r="C19" s="6">
        <v>0.88</v>
      </c>
      <c r="D19" s="55">
        <v>1.1200000000000001</v>
      </c>
      <c r="E19" s="6">
        <v>0.72</v>
      </c>
      <c r="F19" s="6">
        <v>1.79</v>
      </c>
      <c r="G19" s="6">
        <v>1.04</v>
      </c>
      <c r="H19" s="55">
        <v>1.1399999999999999</v>
      </c>
      <c r="I19" s="6">
        <v>0.6</v>
      </c>
      <c r="J19" s="6">
        <v>2.58</v>
      </c>
      <c r="K19" s="6">
        <v>3.05</v>
      </c>
      <c r="L19" s="55">
        <v>3.03</v>
      </c>
      <c r="M19" s="6">
        <v>1.39</v>
      </c>
      <c r="N19" s="6">
        <v>1.65</v>
      </c>
      <c r="O19" s="6">
        <v>2.5499999999999998</v>
      </c>
      <c r="P19" s="55">
        <v>4.6500000000000004</v>
      </c>
      <c r="Q19" s="6">
        <v>2.59</v>
      </c>
      <c r="R19" s="6">
        <v>4.1100000000000003</v>
      </c>
      <c r="S19" s="6">
        <v>1.2</v>
      </c>
      <c r="T19" s="55">
        <v>2.87</v>
      </c>
      <c r="U19" s="6">
        <v>2.0299999999999998</v>
      </c>
    </row>
    <row r="20" spans="1:21" ht="15.75" thickBot="1" x14ac:dyDescent="0.3">
      <c r="A20" s="3" t="s">
        <v>38</v>
      </c>
      <c r="B20" s="4"/>
      <c r="C20" s="4"/>
      <c r="D20" s="52"/>
      <c r="E20" s="4"/>
      <c r="F20" s="4"/>
      <c r="G20" s="4"/>
      <c r="H20" s="52"/>
      <c r="I20" s="4"/>
      <c r="J20" s="4"/>
      <c r="K20" s="4"/>
      <c r="L20" s="52"/>
      <c r="M20" s="4"/>
      <c r="N20" s="4"/>
      <c r="O20" s="4"/>
      <c r="P20" s="52"/>
      <c r="Q20" s="4"/>
      <c r="R20" s="4"/>
      <c r="S20" s="4"/>
      <c r="T20" s="52"/>
      <c r="U20" s="4"/>
    </row>
    <row r="21" spans="1:21" ht="15.75" thickBot="1" x14ac:dyDescent="0.3">
      <c r="A21" s="5" t="s">
        <v>39</v>
      </c>
      <c r="B21" s="6">
        <v>-2.73</v>
      </c>
      <c r="C21" s="6">
        <v>10.44</v>
      </c>
      <c r="D21" s="55">
        <v>10.42</v>
      </c>
      <c r="E21" s="6">
        <v>-18.510000000000002</v>
      </c>
      <c r="F21" s="6">
        <v>7.41</v>
      </c>
      <c r="G21" s="6">
        <v>1.44</v>
      </c>
      <c r="H21" s="55">
        <v>-2.69</v>
      </c>
      <c r="I21" s="6">
        <v>12.28</v>
      </c>
      <c r="J21" s="6">
        <v>18.190000000000001</v>
      </c>
      <c r="K21" s="6">
        <v>9</v>
      </c>
      <c r="L21" s="55">
        <v>-3.19</v>
      </c>
      <c r="M21" s="6">
        <v>-2.5</v>
      </c>
      <c r="N21" s="6">
        <v>-28.04</v>
      </c>
      <c r="O21" s="6">
        <v>-2.4700000000000002</v>
      </c>
      <c r="P21" s="55">
        <v>14.52</v>
      </c>
      <c r="Q21" s="6">
        <v>13.61</v>
      </c>
      <c r="R21" s="6">
        <v>52.69</v>
      </c>
      <c r="S21" s="6">
        <v>-1.84</v>
      </c>
      <c r="T21" s="55">
        <v>20.34</v>
      </c>
      <c r="U21" s="6">
        <v>40.69</v>
      </c>
    </row>
    <row r="22" spans="1:21" ht="15.75" thickBot="1" x14ac:dyDescent="0.3">
      <c r="A22" s="5" t="s">
        <v>40</v>
      </c>
      <c r="B22" s="6">
        <v>-44.51</v>
      </c>
      <c r="C22" s="6">
        <v>-34.869999999999997</v>
      </c>
      <c r="D22" s="55">
        <v>-36.89</v>
      </c>
      <c r="E22" s="6">
        <v>-42.29</v>
      </c>
      <c r="F22" s="6">
        <v>18.38</v>
      </c>
      <c r="G22" s="6">
        <v>10.81</v>
      </c>
      <c r="H22" s="55">
        <v>-9.98</v>
      </c>
      <c r="I22" s="6">
        <v>5.08</v>
      </c>
      <c r="J22" s="6">
        <v>19.61</v>
      </c>
      <c r="K22" s="6">
        <v>49.15</v>
      </c>
      <c r="L22" s="55">
        <v>55.73</v>
      </c>
      <c r="M22" s="6">
        <v>47.57</v>
      </c>
      <c r="N22" s="6">
        <v>-25.93</v>
      </c>
      <c r="O22" s="6">
        <v>-10.8</v>
      </c>
      <c r="P22" s="55">
        <v>28.76</v>
      </c>
      <c r="Q22" s="6">
        <v>40.28</v>
      </c>
      <c r="R22" s="6">
        <v>93.02</v>
      </c>
      <c r="S22" s="6">
        <v>-7.42</v>
      </c>
      <c r="T22" s="55">
        <v>0.81</v>
      </c>
      <c r="U22" s="6">
        <v>20.62</v>
      </c>
    </row>
    <row r="23" spans="1:21" ht="15.75" thickBot="1" x14ac:dyDescent="0.3">
      <c r="A23" s="5" t="s">
        <v>41</v>
      </c>
      <c r="B23" s="6">
        <v>-68.42</v>
      </c>
      <c r="C23" s="6">
        <v>-69.55</v>
      </c>
      <c r="D23" s="55">
        <v>-68.53</v>
      </c>
      <c r="E23" s="6">
        <v>-70.63</v>
      </c>
      <c r="F23" s="6">
        <v>57.21</v>
      </c>
      <c r="G23" s="6">
        <v>22.73</v>
      </c>
      <c r="H23" s="55">
        <v>-6.87</v>
      </c>
      <c r="I23" s="6">
        <v>-19.11</v>
      </c>
      <c r="J23" s="6">
        <v>30.07</v>
      </c>
      <c r="K23" s="6">
        <v>163.24</v>
      </c>
      <c r="L23" s="55">
        <v>142.94</v>
      </c>
      <c r="M23" s="6">
        <v>122.92</v>
      </c>
      <c r="N23" s="6">
        <v>-39.08</v>
      </c>
      <c r="O23" s="6">
        <v>-24.85</v>
      </c>
      <c r="P23" s="55">
        <v>35.700000000000003</v>
      </c>
      <c r="Q23" s="6">
        <v>70.010000000000005</v>
      </c>
      <c r="R23" s="6">
        <v>145.55000000000001</v>
      </c>
      <c r="S23" s="6">
        <v>-45.11</v>
      </c>
      <c r="T23" s="55">
        <v>-19.78</v>
      </c>
      <c r="U23" s="6">
        <v>2.75</v>
      </c>
    </row>
    <row r="24" spans="1:21" ht="15.75" thickBot="1" x14ac:dyDescent="0.3">
      <c r="A24" s="5" t="s">
        <v>42</v>
      </c>
      <c r="B24" s="6">
        <v>-68.459999999999994</v>
      </c>
      <c r="C24" s="6">
        <v>-69.59</v>
      </c>
      <c r="D24" s="55">
        <v>-72.569999999999993</v>
      </c>
      <c r="E24" s="6">
        <v>-70.64</v>
      </c>
      <c r="F24" s="6">
        <v>56.74</v>
      </c>
      <c r="G24" s="6">
        <v>22.31</v>
      </c>
      <c r="H24" s="55">
        <v>4.8499999999999996</v>
      </c>
      <c r="I24" s="6">
        <v>-18.579999999999998</v>
      </c>
      <c r="J24" s="6">
        <v>30.67</v>
      </c>
      <c r="K24" s="6">
        <v>164.27</v>
      </c>
      <c r="L24" s="55">
        <v>147.44999999999999</v>
      </c>
      <c r="M24" s="6">
        <v>121.82</v>
      </c>
      <c r="N24" s="6">
        <v>-39.119999999999997</v>
      </c>
      <c r="O24" s="6">
        <v>-24.65</v>
      </c>
      <c r="P24" s="55">
        <v>35.83</v>
      </c>
      <c r="Q24" s="6">
        <v>70.099999999999994</v>
      </c>
      <c r="R24" s="6">
        <v>145.69</v>
      </c>
      <c r="S24" s="6">
        <v>-45.29</v>
      </c>
      <c r="T24" s="55">
        <v>-20.190000000000001</v>
      </c>
      <c r="U24" s="6">
        <v>3.32</v>
      </c>
    </row>
    <row r="25" spans="1:21" ht="15.75" thickBot="1" x14ac:dyDescent="0.3">
      <c r="A25" s="5" t="s">
        <v>43</v>
      </c>
      <c r="B25" s="6">
        <v>-10.94</v>
      </c>
      <c r="C25" s="6">
        <v>-7.58</v>
      </c>
      <c r="D25" s="55">
        <v>-0.86</v>
      </c>
      <c r="E25" s="6">
        <v>5.93</v>
      </c>
      <c r="F25" s="6">
        <v>2.86</v>
      </c>
      <c r="G25" s="6">
        <v>5.24</v>
      </c>
      <c r="H25" s="55">
        <v>1.65</v>
      </c>
      <c r="I25" s="6">
        <v>-7.94</v>
      </c>
      <c r="J25" s="6">
        <v>-10.73</v>
      </c>
      <c r="K25" s="6">
        <v>-9.89</v>
      </c>
      <c r="L25" s="55">
        <v>-4.4000000000000004</v>
      </c>
      <c r="M25" s="6">
        <v>-3.4</v>
      </c>
      <c r="N25" s="6">
        <v>-6.72</v>
      </c>
      <c r="O25" s="6">
        <v>-12.76</v>
      </c>
      <c r="P25" s="55">
        <v>-10.27</v>
      </c>
      <c r="Q25" s="6">
        <v>-6.34</v>
      </c>
      <c r="R25" s="6">
        <v>4.47</v>
      </c>
      <c r="S25" s="6">
        <v>29.45</v>
      </c>
      <c r="T25" s="55">
        <v>29.15</v>
      </c>
      <c r="U25" s="6">
        <v>34.369999999999997</v>
      </c>
    </row>
    <row r="26" spans="1:21" ht="15.75" thickBot="1" x14ac:dyDescent="0.3">
      <c r="A26" s="5" t="s">
        <v>44</v>
      </c>
      <c r="B26" s="6">
        <v>-46.67</v>
      </c>
      <c r="C26" s="6">
        <v>-20.079999999999998</v>
      </c>
      <c r="D26" s="55">
        <v>4.4400000000000004</v>
      </c>
      <c r="E26" s="6">
        <v>42.8</v>
      </c>
      <c r="F26" s="6">
        <v>48.75</v>
      </c>
      <c r="G26" s="6">
        <v>-1.27</v>
      </c>
      <c r="H26" s="55">
        <v>-40.07</v>
      </c>
      <c r="I26" s="6">
        <v>-50.83</v>
      </c>
      <c r="J26" s="6">
        <v>-50.04</v>
      </c>
      <c r="K26" s="6">
        <v>-54.2</v>
      </c>
      <c r="L26" s="55">
        <v>-39.18</v>
      </c>
      <c r="M26" s="6">
        <v>-36.33</v>
      </c>
      <c r="N26" s="6">
        <v>-35.450000000000003</v>
      </c>
      <c r="O26" s="6">
        <v>-77.45</v>
      </c>
      <c r="P26" s="55">
        <v>-99.17</v>
      </c>
      <c r="Q26" s="6">
        <v>-99.23</v>
      </c>
      <c r="R26" s="6">
        <v>-99.25</v>
      </c>
      <c r="S26" s="6">
        <v>-97.81</v>
      </c>
      <c r="T26" s="55">
        <v>68.77</v>
      </c>
      <c r="U26" s="6">
        <v>56.04</v>
      </c>
    </row>
    <row r="27" spans="1:21" ht="15.75" thickBot="1" x14ac:dyDescent="0.3">
      <c r="A27" s="5" t="s">
        <v>45</v>
      </c>
      <c r="B27" s="6">
        <v>-17</v>
      </c>
      <c r="C27" s="6">
        <v>-7.9</v>
      </c>
      <c r="D27" s="55">
        <v>4.8600000000000003</v>
      </c>
      <c r="E27" s="6">
        <v>23.22</v>
      </c>
      <c r="F27" s="6">
        <v>6.15</v>
      </c>
      <c r="G27" s="6">
        <v>11.82</v>
      </c>
      <c r="H27" s="55">
        <v>1.64</v>
      </c>
      <c r="I27" s="6">
        <v>-16.04</v>
      </c>
      <c r="J27" s="6">
        <v>-23.01</v>
      </c>
      <c r="K27" s="6">
        <v>-27.11</v>
      </c>
      <c r="L27" s="55">
        <v>-17.84</v>
      </c>
      <c r="M27" s="6">
        <v>-18.18</v>
      </c>
      <c r="N27" s="6">
        <v>-18.62</v>
      </c>
      <c r="O27" s="6">
        <v>-36.04</v>
      </c>
      <c r="P27" s="55">
        <v>-30.99</v>
      </c>
      <c r="Q27" s="6">
        <v>-25.15</v>
      </c>
      <c r="R27" s="6">
        <v>-2.69</v>
      </c>
      <c r="S27" s="6">
        <v>88.02</v>
      </c>
      <c r="T27" s="55">
        <v>83.72</v>
      </c>
      <c r="U27" s="6">
        <v>103.22</v>
      </c>
    </row>
    <row r="28" spans="1:21" ht="15.75" thickBot="1" x14ac:dyDescent="0.3">
      <c r="A28" s="5" t="s">
        <v>46</v>
      </c>
      <c r="B28" s="6">
        <v>-3.98</v>
      </c>
      <c r="C28" s="6">
        <v>-7.31</v>
      </c>
      <c r="D28" s="55">
        <v>-5.3</v>
      </c>
      <c r="E28" s="6">
        <v>-6.37</v>
      </c>
      <c r="F28" s="6">
        <v>-0.41</v>
      </c>
      <c r="G28" s="6">
        <v>-0.04</v>
      </c>
      <c r="H28" s="55">
        <v>1.65</v>
      </c>
      <c r="I28" s="6">
        <v>-0.35</v>
      </c>
      <c r="J28" s="6">
        <v>2.27</v>
      </c>
      <c r="K28" s="6">
        <v>5.56</v>
      </c>
      <c r="L28" s="55">
        <v>7.16</v>
      </c>
      <c r="M28" s="6">
        <v>8.27</v>
      </c>
      <c r="N28" s="6">
        <v>2.76</v>
      </c>
      <c r="O28" s="6">
        <v>1.66</v>
      </c>
      <c r="P28" s="55">
        <v>3.41</v>
      </c>
      <c r="Q28" s="6">
        <v>4.88</v>
      </c>
      <c r="R28" s="6">
        <v>9</v>
      </c>
      <c r="S28" s="6">
        <v>6.63</v>
      </c>
      <c r="T28" s="55">
        <v>5.13</v>
      </c>
      <c r="U28" s="6">
        <v>5.07</v>
      </c>
    </row>
    <row r="29" spans="1:21" ht="15.75" thickBot="1" x14ac:dyDescent="0.3">
      <c r="A29" s="5" t="s">
        <v>47</v>
      </c>
      <c r="B29" s="6">
        <v>30</v>
      </c>
      <c r="C29" s="6"/>
      <c r="D29" s="55"/>
      <c r="E29" s="6"/>
      <c r="F29" s="6"/>
      <c r="G29" s="6"/>
      <c r="H29" s="55"/>
      <c r="I29" s="6"/>
      <c r="J29" s="6"/>
      <c r="K29" s="6"/>
      <c r="L29" s="55"/>
      <c r="M29" s="6"/>
      <c r="N29" s="6"/>
      <c r="O29" s="6"/>
      <c r="P29" s="55"/>
      <c r="Q29" s="6"/>
      <c r="R29" s="6"/>
      <c r="S29" s="6"/>
      <c r="T29" s="55"/>
      <c r="U29" s="6"/>
    </row>
    <row r="30" spans="1:21" ht="15.75" thickBot="1" x14ac:dyDescent="0.3">
      <c r="A30" s="3" t="s">
        <v>48</v>
      </c>
      <c r="B30" s="4"/>
      <c r="C30" s="4"/>
      <c r="D30" s="52"/>
      <c r="E30" s="4"/>
      <c r="F30" s="4"/>
      <c r="G30" s="4"/>
      <c r="H30" s="52"/>
      <c r="I30" s="4"/>
      <c r="J30" s="4"/>
      <c r="K30" s="4"/>
      <c r="L30" s="52"/>
      <c r="M30" s="4"/>
      <c r="N30" s="4"/>
      <c r="O30" s="4"/>
      <c r="P30" s="52"/>
      <c r="Q30" s="4"/>
      <c r="R30" s="4"/>
      <c r="S30" s="4"/>
      <c r="T30" s="52"/>
      <c r="U30" s="4"/>
    </row>
    <row r="31" spans="1:21" ht="15.75" thickBot="1" x14ac:dyDescent="0.3">
      <c r="A31" s="5" t="s">
        <v>49</v>
      </c>
      <c r="B31" s="6">
        <v>0.06</v>
      </c>
      <c r="C31" s="6">
        <v>0.02</v>
      </c>
      <c r="D31" s="55">
        <v>0.08</v>
      </c>
      <c r="E31" s="6">
        <v>0.1</v>
      </c>
      <c r="F31" s="6">
        <v>0.12</v>
      </c>
      <c r="G31" s="6">
        <v>0.05</v>
      </c>
      <c r="H31" s="55">
        <v>0.05</v>
      </c>
      <c r="I31" s="6">
        <v>0.08</v>
      </c>
      <c r="J31" s="6">
        <v>0.13</v>
      </c>
      <c r="K31" s="6">
        <v>0.06</v>
      </c>
      <c r="L31" s="55">
        <v>0.05</v>
      </c>
      <c r="M31" s="6">
        <v>0.02</v>
      </c>
      <c r="N31" s="6">
        <v>0.18</v>
      </c>
      <c r="O31" s="6">
        <v>0.1</v>
      </c>
      <c r="P31" s="55">
        <v>0.25</v>
      </c>
      <c r="Q31" s="6">
        <v>0.19</v>
      </c>
      <c r="R31" s="6">
        <v>0.03</v>
      </c>
      <c r="S31" s="6">
        <v>0.02</v>
      </c>
      <c r="T31" s="55">
        <v>7.0000000000000007E-2</v>
      </c>
      <c r="U31" s="6">
        <v>0.04</v>
      </c>
    </row>
    <row r="32" spans="1:21" ht="15.75" thickBot="1" x14ac:dyDescent="0.3">
      <c r="A32" s="5" t="s">
        <v>50</v>
      </c>
      <c r="B32" s="6">
        <v>0.4</v>
      </c>
      <c r="C32" s="6">
        <v>0.46</v>
      </c>
      <c r="D32" s="55">
        <v>0.55000000000000004</v>
      </c>
      <c r="E32" s="6">
        <v>0.41</v>
      </c>
      <c r="F32" s="6">
        <v>0.45</v>
      </c>
      <c r="G32" s="6">
        <v>0.39</v>
      </c>
      <c r="H32" s="55">
        <v>0.38</v>
      </c>
      <c r="I32" s="6">
        <v>0.35</v>
      </c>
      <c r="J32" s="6">
        <v>0.38</v>
      </c>
      <c r="K32" s="6">
        <v>0.35</v>
      </c>
      <c r="L32" s="55">
        <v>0.24</v>
      </c>
      <c r="M32" s="6">
        <v>0.34</v>
      </c>
      <c r="N32" s="6">
        <v>0.47</v>
      </c>
      <c r="O32" s="6">
        <v>0.56999999999999995</v>
      </c>
      <c r="P32" s="55">
        <v>0.71</v>
      </c>
      <c r="Q32" s="6">
        <v>0.75</v>
      </c>
      <c r="R32" s="6">
        <v>0.56999999999999995</v>
      </c>
      <c r="S32" s="6">
        <v>0.42</v>
      </c>
      <c r="T32" s="55">
        <v>0.5</v>
      </c>
      <c r="U32" s="6">
        <v>0.6</v>
      </c>
    </row>
    <row r="33" spans="1:21" ht="15.75" thickBot="1" x14ac:dyDescent="0.3">
      <c r="A33" s="5" t="s">
        <v>51</v>
      </c>
      <c r="B33" s="6">
        <v>0.06</v>
      </c>
      <c r="C33" s="6">
        <v>0.02</v>
      </c>
      <c r="D33" s="55">
        <v>0.08</v>
      </c>
      <c r="E33" s="6">
        <v>0.1</v>
      </c>
      <c r="F33" s="6">
        <v>0.12</v>
      </c>
      <c r="G33" s="6">
        <v>0.05</v>
      </c>
      <c r="H33" s="55">
        <v>0.05</v>
      </c>
      <c r="I33" s="6">
        <v>0.08</v>
      </c>
      <c r="J33" s="6">
        <v>0.13</v>
      </c>
      <c r="K33" s="6">
        <v>0.06</v>
      </c>
      <c r="L33" s="55">
        <v>0.05</v>
      </c>
      <c r="M33" s="6">
        <v>0.02</v>
      </c>
      <c r="N33" s="6">
        <v>0.28000000000000003</v>
      </c>
      <c r="O33" s="6">
        <v>0.24</v>
      </c>
      <c r="P33" s="55">
        <v>0.46</v>
      </c>
      <c r="Q33" s="6">
        <v>0.4</v>
      </c>
      <c r="R33" s="6">
        <v>0.26</v>
      </c>
      <c r="S33" s="6">
        <v>0.2</v>
      </c>
      <c r="T33" s="55">
        <v>0.3</v>
      </c>
      <c r="U33" s="6">
        <v>0.35</v>
      </c>
    </row>
    <row r="34" spans="1:21" ht="15.75" thickBot="1" x14ac:dyDescent="0.3">
      <c r="A34" s="5" t="s">
        <v>52</v>
      </c>
      <c r="B34" s="6">
        <v>1.23</v>
      </c>
      <c r="C34" s="6">
        <v>1.34</v>
      </c>
      <c r="D34" s="55">
        <v>1.23</v>
      </c>
      <c r="E34" s="6">
        <v>1.25</v>
      </c>
      <c r="F34" s="6">
        <v>1.1599999999999999</v>
      </c>
      <c r="G34" s="6">
        <v>1.21</v>
      </c>
      <c r="H34" s="55">
        <v>1.17</v>
      </c>
      <c r="I34" s="6">
        <v>1.25</v>
      </c>
      <c r="J34" s="6">
        <v>1.26</v>
      </c>
      <c r="K34" s="6">
        <v>1.46</v>
      </c>
      <c r="L34" s="55">
        <v>1.49</v>
      </c>
      <c r="M34" s="6">
        <v>1.64</v>
      </c>
      <c r="N34" s="6">
        <v>1.57</v>
      </c>
      <c r="O34" s="6">
        <v>1.87</v>
      </c>
      <c r="P34" s="55">
        <v>1.77</v>
      </c>
      <c r="Q34" s="6">
        <v>1.88</v>
      </c>
      <c r="R34" s="6">
        <v>1.67</v>
      </c>
      <c r="S34" s="6">
        <v>1.59</v>
      </c>
      <c r="T34" s="55">
        <v>1.55</v>
      </c>
      <c r="U34" s="6">
        <v>1.56</v>
      </c>
    </row>
    <row r="35" spans="1:21" ht="15.75" thickBot="1" x14ac:dyDescent="0.3">
      <c r="A35" s="5" t="s">
        <v>53</v>
      </c>
      <c r="B35" s="6">
        <v>4.75</v>
      </c>
      <c r="C35" s="6">
        <v>4.17</v>
      </c>
      <c r="D35" s="55">
        <v>5.6</v>
      </c>
      <c r="E35" s="6">
        <v>3.73</v>
      </c>
      <c r="F35" s="6">
        <v>6.15</v>
      </c>
      <c r="G35" s="6">
        <v>3.81</v>
      </c>
      <c r="H35" s="55">
        <v>4.22</v>
      </c>
      <c r="I35" s="6">
        <v>2.69</v>
      </c>
      <c r="J35" s="6">
        <v>9.5500000000000007</v>
      </c>
      <c r="K35" s="6">
        <v>11.93</v>
      </c>
      <c r="L35" s="55">
        <v>13.09</v>
      </c>
      <c r="M35" s="6">
        <v>6.23</v>
      </c>
      <c r="N35" s="6">
        <v>10.89</v>
      </c>
      <c r="O35" s="6">
        <v>21.4</v>
      </c>
      <c r="P35" s="55">
        <v>69.510000000000005</v>
      </c>
      <c r="Q35" s="6">
        <v>28.73</v>
      </c>
      <c r="R35" s="6">
        <v>74</v>
      </c>
      <c r="S35" s="6">
        <v>22.66</v>
      </c>
      <c r="T35" s="55">
        <v>43.24</v>
      </c>
      <c r="U35" s="6">
        <v>29.63</v>
      </c>
    </row>
    <row r="36" spans="1:21" ht="15.75" thickBot="1" x14ac:dyDescent="0.3">
      <c r="A36" s="3" t="s">
        <v>54</v>
      </c>
      <c r="B36" s="4"/>
      <c r="C36" s="4"/>
      <c r="D36" s="52"/>
      <c r="E36" s="4"/>
      <c r="F36" s="4"/>
      <c r="G36" s="4"/>
      <c r="H36" s="52"/>
      <c r="I36" s="4"/>
      <c r="J36" s="4"/>
      <c r="K36" s="4"/>
      <c r="L36" s="52"/>
      <c r="M36" s="4"/>
      <c r="N36" s="4"/>
      <c r="O36" s="4"/>
      <c r="P36" s="52"/>
      <c r="Q36" s="4"/>
      <c r="R36" s="4"/>
      <c r="S36" s="4"/>
      <c r="T36" s="52"/>
      <c r="U36" s="4"/>
    </row>
    <row r="37" spans="1:21" ht="15.75" thickBot="1" x14ac:dyDescent="0.3">
      <c r="A37" s="5" t="s">
        <v>55</v>
      </c>
      <c r="B37" s="6">
        <v>2.5299999999999998</v>
      </c>
      <c r="C37" s="6">
        <v>2.74</v>
      </c>
      <c r="D37" s="55">
        <v>2.64</v>
      </c>
      <c r="E37" s="6">
        <v>3.41</v>
      </c>
      <c r="F37" s="6">
        <v>2.74</v>
      </c>
      <c r="G37" s="6">
        <v>3.08</v>
      </c>
      <c r="H37" s="55">
        <v>3.32</v>
      </c>
      <c r="I37" s="6">
        <v>3.71</v>
      </c>
      <c r="J37" s="6">
        <v>4.7699999999999996</v>
      </c>
      <c r="K37" s="6">
        <v>4.38</v>
      </c>
      <c r="L37" s="55">
        <v>6.89</v>
      </c>
      <c r="M37" s="6">
        <v>4.13</v>
      </c>
      <c r="N37" s="6">
        <v>4.84</v>
      </c>
      <c r="O37" s="6">
        <v>6.27</v>
      </c>
      <c r="P37" s="55">
        <v>7.45</v>
      </c>
      <c r="Q37" s="6">
        <v>5.8</v>
      </c>
      <c r="R37" s="6">
        <v>5.75</v>
      </c>
      <c r="S37" s="6">
        <v>4.76</v>
      </c>
      <c r="T37" s="55">
        <v>7.58</v>
      </c>
      <c r="U37" s="6">
        <v>5.46</v>
      </c>
    </row>
    <row r="38" spans="1:21" ht="15.75" thickBot="1" x14ac:dyDescent="0.3">
      <c r="A38" s="5" t="s">
        <v>56</v>
      </c>
      <c r="B38" s="6">
        <v>35.93</v>
      </c>
      <c r="C38" s="6">
        <v>33.22</v>
      </c>
      <c r="D38" s="55">
        <v>34.44</v>
      </c>
      <c r="E38" s="6">
        <v>26.71</v>
      </c>
      <c r="F38" s="6">
        <v>33.25</v>
      </c>
      <c r="G38" s="6">
        <v>29.57</v>
      </c>
      <c r="H38" s="55">
        <v>27.43</v>
      </c>
      <c r="I38" s="6">
        <v>24.53</v>
      </c>
      <c r="J38" s="6">
        <v>19.079999999999998</v>
      </c>
      <c r="K38" s="6">
        <v>20.78</v>
      </c>
      <c r="L38" s="55">
        <v>13.21</v>
      </c>
      <c r="M38" s="6">
        <v>22.03</v>
      </c>
      <c r="N38" s="6">
        <v>75.48</v>
      </c>
      <c r="O38" s="6">
        <v>58.19</v>
      </c>
      <c r="P38" s="55">
        <v>48.98</v>
      </c>
      <c r="Q38" s="6">
        <v>62.9</v>
      </c>
      <c r="R38" s="6">
        <v>63.45</v>
      </c>
      <c r="S38" s="6">
        <v>76.7</v>
      </c>
      <c r="T38" s="55">
        <v>48.17</v>
      </c>
      <c r="U38" s="6">
        <v>66.849999999999994</v>
      </c>
    </row>
    <row r="39" spans="1:21" ht="15.75" thickBot="1" x14ac:dyDescent="0.3">
      <c r="A39" s="5" t="s">
        <v>57</v>
      </c>
      <c r="B39" s="6">
        <v>0.73</v>
      </c>
      <c r="C39" s="6">
        <v>1.02</v>
      </c>
      <c r="D39" s="55">
        <v>1.52</v>
      </c>
      <c r="E39" s="6">
        <v>0.78</v>
      </c>
      <c r="F39" s="6">
        <v>0.94</v>
      </c>
      <c r="G39" s="6">
        <v>0.93</v>
      </c>
      <c r="H39" s="55">
        <v>1.05</v>
      </c>
      <c r="I39" s="6">
        <v>0.83</v>
      </c>
      <c r="J39" s="6">
        <v>1.03</v>
      </c>
      <c r="K39" s="6">
        <v>0.87</v>
      </c>
      <c r="L39" s="55">
        <v>0.69</v>
      </c>
      <c r="M39" s="6">
        <v>0.61</v>
      </c>
      <c r="N39" s="6">
        <v>0.65</v>
      </c>
      <c r="O39" s="6">
        <v>0.92</v>
      </c>
      <c r="P39" s="55">
        <v>1.1299999999999999</v>
      </c>
      <c r="Q39" s="6">
        <v>0.91</v>
      </c>
      <c r="R39" s="6">
        <v>1.02</v>
      </c>
      <c r="S39" s="6">
        <v>0.65</v>
      </c>
      <c r="T39" s="55">
        <v>0.79</v>
      </c>
      <c r="U39" s="6">
        <v>0.75</v>
      </c>
    </row>
    <row r="40" spans="1:21" ht="15.75" thickBot="1" x14ac:dyDescent="0.3">
      <c r="A40" s="5" t="s">
        <v>58</v>
      </c>
      <c r="B40" s="6">
        <v>124.18</v>
      </c>
      <c r="C40" s="6">
        <v>89.6</v>
      </c>
      <c r="D40" s="55">
        <v>59.88</v>
      </c>
      <c r="E40" s="6">
        <v>116.04</v>
      </c>
      <c r="F40" s="6">
        <v>96.93</v>
      </c>
      <c r="G40" s="6">
        <v>97.85</v>
      </c>
      <c r="H40" s="55">
        <v>86.45</v>
      </c>
      <c r="I40" s="6">
        <v>110.01</v>
      </c>
      <c r="J40" s="6">
        <v>87.98</v>
      </c>
      <c r="K40" s="6">
        <v>105.16</v>
      </c>
      <c r="L40" s="55">
        <v>131.55000000000001</v>
      </c>
      <c r="M40" s="6">
        <v>148.28</v>
      </c>
      <c r="N40" s="6">
        <v>562.79999999999995</v>
      </c>
      <c r="O40" s="6">
        <v>395.61</v>
      </c>
      <c r="P40" s="55">
        <v>322.55</v>
      </c>
      <c r="Q40" s="6">
        <v>399.78</v>
      </c>
      <c r="R40" s="6">
        <v>356.74</v>
      </c>
      <c r="S40" s="6">
        <v>564.80999999999995</v>
      </c>
      <c r="T40" s="55">
        <v>464.06</v>
      </c>
      <c r="U40" s="6">
        <v>484.03</v>
      </c>
    </row>
    <row r="41" spans="1:21" ht="15.75" thickBot="1" x14ac:dyDescent="0.3">
      <c r="A41" s="5" t="s">
        <v>59</v>
      </c>
      <c r="B41" s="6">
        <v>3.22</v>
      </c>
      <c r="C41" s="6">
        <v>4.28</v>
      </c>
      <c r="D41" s="55">
        <v>4.41</v>
      </c>
      <c r="E41" s="6">
        <v>2.72</v>
      </c>
      <c r="F41" s="6">
        <v>3.01</v>
      </c>
      <c r="G41" s="6">
        <v>3.9</v>
      </c>
      <c r="H41" s="55">
        <v>3.66</v>
      </c>
      <c r="I41" s="6">
        <v>4.4400000000000004</v>
      </c>
      <c r="J41" s="6">
        <v>3.97</v>
      </c>
      <c r="K41" s="6">
        <v>5.64</v>
      </c>
      <c r="L41" s="55">
        <v>3.58</v>
      </c>
      <c r="M41" s="6">
        <v>3.94</v>
      </c>
      <c r="N41" s="6">
        <v>4.09</v>
      </c>
      <c r="O41" s="6">
        <v>6.24</v>
      </c>
      <c r="P41" s="55">
        <v>5.44</v>
      </c>
      <c r="Q41" s="6">
        <v>3.96</v>
      </c>
      <c r="R41" s="6">
        <v>7.48</v>
      </c>
      <c r="S41" s="6">
        <v>3.4</v>
      </c>
      <c r="T41" s="55">
        <v>2.9</v>
      </c>
      <c r="U41" s="6">
        <v>2.68</v>
      </c>
    </row>
    <row r="42" spans="1:21" ht="15.75" thickBot="1" x14ac:dyDescent="0.3">
      <c r="A42" s="5" t="s">
        <v>60</v>
      </c>
      <c r="B42" s="6">
        <v>28.23</v>
      </c>
      <c r="C42" s="6">
        <v>21.26</v>
      </c>
      <c r="D42" s="55">
        <v>20.64</v>
      </c>
      <c r="E42" s="6">
        <v>33.44</v>
      </c>
      <c r="F42" s="6">
        <v>30.23</v>
      </c>
      <c r="G42" s="6">
        <v>23.34</v>
      </c>
      <c r="H42" s="55">
        <v>24.86</v>
      </c>
      <c r="I42" s="6">
        <v>20.49</v>
      </c>
      <c r="J42" s="6">
        <v>22.9</v>
      </c>
      <c r="K42" s="6">
        <v>16.13</v>
      </c>
      <c r="L42" s="55">
        <v>25.45</v>
      </c>
      <c r="M42" s="6">
        <v>23.09</v>
      </c>
      <c r="N42" s="6">
        <v>89.19</v>
      </c>
      <c r="O42" s="6">
        <v>58.5</v>
      </c>
      <c r="P42" s="55">
        <v>67.040000000000006</v>
      </c>
      <c r="Q42" s="6">
        <v>92.17</v>
      </c>
      <c r="R42" s="6">
        <v>48.8</v>
      </c>
      <c r="S42" s="6">
        <v>107.23</v>
      </c>
      <c r="T42" s="55">
        <v>125.73</v>
      </c>
      <c r="U42" s="6">
        <v>136.4</v>
      </c>
    </row>
    <row r="43" spans="1:21" ht="15.75" thickBot="1" x14ac:dyDescent="0.3">
      <c r="A43" s="5" t="s">
        <v>61</v>
      </c>
      <c r="B43" s="6">
        <v>0.62</v>
      </c>
      <c r="C43" s="6">
        <v>0.65</v>
      </c>
      <c r="D43" s="55">
        <v>0.79</v>
      </c>
      <c r="E43" s="6">
        <v>0.51</v>
      </c>
      <c r="F43" s="6">
        <v>0.57999999999999996</v>
      </c>
      <c r="G43" s="6">
        <v>0.56999999999999995</v>
      </c>
      <c r="H43" s="55">
        <v>0.66</v>
      </c>
      <c r="I43" s="6">
        <v>0.56999999999999995</v>
      </c>
      <c r="J43" s="6">
        <v>0.79</v>
      </c>
      <c r="K43" s="6">
        <v>0.74</v>
      </c>
      <c r="L43" s="55">
        <v>0.77</v>
      </c>
      <c r="M43" s="6">
        <v>0.67</v>
      </c>
      <c r="N43" s="6">
        <v>0.68</v>
      </c>
      <c r="O43" s="6">
        <v>0.86</v>
      </c>
      <c r="P43" s="55">
        <v>1.03</v>
      </c>
      <c r="Q43" s="6">
        <v>0.87</v>
      </c>
      <c r="R43" s="6">
        <v>1.17</v>
      </c>
      <c r="S43" s="6">
        <v>0.92</v>
      </c>
      <c r="T43" s="55">
        <v>1.35</v>
      </c>
      <c r="U43" s="6">
        <v>1.33</v>
      </c>
    </row>
    <row r="44" spans="1:21" ht="15.75" thickBot="1" x14ac:dyDescent="0.3">
      <c r="A44" s="5" t="s">
        <v>62</v>
      </c>
      <c r="B44" s="6">
        <v>0.28999999999999998</v>
      </c>
      <c r="C44" s="6">
        <v>0.32</v>
      </c>
      <c r="D44" s="55">
        <v>0.37</v>
      </c>
      <c r="E44" s="6">
        <v>0.24</v>
      </c>
      <c r="F44" s="6">
        <v>0.3</v>
      </c>
      <c r="G44" s="6">
        <v>0.31</v>
      </c>
      <c r="H44" s="55">
        <v>0.35</v>
      </c>
      <c r="I44" s="6">
        <v>0.3</v>
      </c>
      <c r="J44" s="6">
        <v>0.4</v>
      </c>
      <c r="K44" s="6">
        <v>0.37</v>
      </c>
      <c r="L44" s="55">
        <v>0.36</v>
      </c>
      <c r="M44" s="6">
        <v>0.3</v>
      </c>
      <c r="N44" s="6">
        <v>0.3</v>
      </c>
      <c r="O44" s="6">
        <v>0.39</v>
      </c>
      <c r="P44" s="55">
        <v>0.47</v>
      </c>
      <c r="Q44" s="6">
        <v>0.37</v>
      </c>
      <c r="R44" s="6">
        <v>0.47</v>
      </c>
      <c r="S44" s="6">
        <v>0.33</v>
      </c>
      <c r="T44" s="55">
        <v>0.44</v>
      </c>
      <c r="U44" s="6">
        <v>0.4</v>
      </c>
    </row>
    <row r="45" spans="1:21" ht="15.75" thickBot="1" x14ac:dyDescent="0.3">
      <c r="A45" s="5" t="s">
        <v>63</v>
      </c>
      <c r="B45" s="6">
        <v>0.57999999999999996</v>
      </c>
      <c r="C45" s="6">
        <v>0.57999999999999996</v>
      </c>
      <c r="D45" s="55">
        <v>0.69</v>
      </c>
      <c r="E45" s="6">
        <v>0.47</v>
      </c>
      <c r="F45" s="6">
        <v>0.62</v>
      </c>
      <c r="G45" s="6">
        <v>0.57999999999999996</v>
      </c>
      <c r="H45" s="55">
        <v>0.66</v>
      </c>
      <c r="I45" s="6">
        <v>0.53</v>
      </c>
      <c r="J45" s="6">
        <v>0.72</v>
      </c>
      <c r="K45" s="6">
        <v>0.6</v>
      </c>
      <c r="L45" s="55">
        <v>0.59</v>
      </c>
      <c r="M45" s="6">
        <v>0.48</v>
      </c>
      <c r="N45" s="6">
        <v>0.49</v>
      </c>
      <c r="O45" s="6">
        <v>0.59</v>
      </c>
      <c r="P45" s="55">
        <v>0.67</v>
      </c>
      <c r="Q45" s="6">
        <v>0.53</v>
      </c>
      <c r="R45" s="6">
        <v>0.7</v>
      </c>
      <c r="S45" s="6">
        <v>0.54</v>
      </c>
      <c r="T45" s="55">
        <v>0.76</v>
      </c>
      <c r="U45" s="6">
        <v>0.71</v>
      </c>
    </row>
    <row r="46" spans="1:21" ht="15.75" thickBot="1" x14ac:dyDescent="0.3">
      <c r="A46" s="3" t="s">
        <v>64</v>
      </c>
      <c r="B46" s="4"/>
      <c r="C46" s="4"/>
      <c r="D46" s="52"/>
      <c r="E46" s="4"/>
      <c r="F46" s="4"/>
      <c r="G46" s="4"/>
      <c r="H46" s="52"/>
      <c r="I46" s="4"/>
      <c r="J46" s="4"/>
      <c r="K46" s="4"/>
      <c r="L46" s="52"/>
      <c r="M46" s="4"/>
      <c r="N46" s="4"/>
      <c r="O46" s="4"/>
      <c r="P46" s="52"/>
      <c r="Q46" s="4"/>
      <c r="R46" s="4"/>
      <c r="S46" s="4"/>
      <c r="T46" s="52"/>
      <c r="U46" s="4"/>
    </row>
    <row r="47" spans="1:21" ht="15.75" thickBot="1" x14ac:dyDescent="0.3">
      <c r="A47" s="5" t="s">
        <v>65</v>
      </c>
      <c r="B47" s="6">
        <v>82.62</v>
      </c>
      <c r="C47" s="6">
        <v>71.58</v>
      </c>
      <c r="D47" s="55">
        <v>68.27</v>
      </c>
      <c r="E47" s="6">
        <v>68.95</v>
      </c>
      <c r="F47" s="6">
        <v>75.64</v>
      </c>
      <c r="G47" s="6">
        <v>74.91</v>
      </c>
      <c r="H47" s="55">
        <v>81.290000000000006</v>
      </c>
      <c r="I47" s="6">
        <v>81.819999999999993</v>
      </c>
      <c r="J47" s="6">
        <v>84.19</v>
      </c>
      <c r="K47" s="6">
        <v>84.23</v>
      </c>
      <c r="L47" s="55">
        <v>86.15</v>
      </c>
      <c r="M47" s="6">
        <v>85.85</v>
      </c>
      <c r="N47" s="6">
        <v>87.46</v>
      </c>
      <c r="O47" s="6">
        <v>94.44</v>
      </c>
      <c r="P47" s="55">
        <v>99.83</v>
      </c>
      <c r="Q47" s="6">
        <v>99.86</v>
      </c>
      <c r="R47" s="6">
        <v>99.9</v>
      </c>
      <c r="S47" s="6">
        <v>99.94</v>
      </c>
      <c r="T47" s="55">
        <v>99.85</v>
      </c>
      <c r="U47" s="6">
        <v>99.89</v>
      </c>
    </row>
    <row r="48" spans="1:21" ht="15.75" thickBot="1" x14ac:dyDescent="0.3">
      <c r="A48" s="5" t="s">
        <v>66</v>
      </c>
      <c r="B48" s="6">
        <v>33.090000000000003</v>
      </c>
      <c r="C48" s="6">
        <v>33.36</v>
      </c>
      <c r="D48" s="55">
        <v>33.51</v>
      </c>
      <c r="E48" s="6">
        <v>36.6</v>
      </c>
      <c r="F48" s="6">
        <v>36.159999999999997</v>
      </c>
      <c r="G48" s="6">
        <v>36.33</v>
      </c>
      <c r="H48" s="55">
        <v>33.58</v>
      </c>
      <c r="I48" s="6">
        <v>34.04</v>
      </c>
      <c r="J48" s="6">
        <v>29.45</v>
      </c>
      <c r="K48" s="6">
        <v>25.59</v>
      </c>
      <c r="L48" s="55">
        <v>25.13</v>
      </c>
      <c r="M48" s="6">
        <v>24.89</v>
      </c>
      <c r="N48" s="6">
        <v>19.559999999999999</v>
      </c>
      <c r="O48" s="6">
        <v>11.61</v>
      </c>
      <c r="P48" s="55">
        <v>12.6</v>
      </c>
      <c r="Q48" s="6">
        <v>14.22</v>
      </c>
      <c r="R48" s="6">
        <v>12.87</v>
      </c>
      <c r="S48" s="6">
        <v>17.36</v>
      </c>
      <c r="T48" s="55">
        <v>18.28</v>
      </c>
      <c r="U48" s="6">
        <v>23.08</v>
      </c>
    </row>
    <row r="49" spans="1:21" ht="15.75" thickBot="1" x14ac:dyDescent="0.3">
      <c r="A49" s="5" t="s">
        <v>67</v>
      </c>
      <c r="B49" s="6">
        <v>49.83</v>
      </c>
      <c r="C49" s="6">
        <v>44.5</v>
      </c>
      <c r="D49" s="55">
        <v>46.25</v>
      </c>
      <c r="E49" s="6">
        <v>48.36</v>
      </c>
      <c r="F49" s="6">
        <v>51.43</v>
      </c>
      <c r="G49" s="6">
        <v>47.28</v>
      </c>
      <c r="H49" s="55">
        <v>46.25</v>
      </c>
      <c r="I49" s="6">
        <v>44.11</v>
      </c>
      <c r="J49" s="6">
        <v>44.35</v>
      </c>
      <c r="K49" s="6">
        <v>38.24</v>
      </c>
      <c r="L49" s="55">
        <v>39.75</v>
      </c>
      <c r="M49" s="6">
        <v>37.36</v>
      </c>
      <c r="N49" s="6">
        <v>38.69</v>
      </c>
      <c r="O49" s="6">
        <v>28.04</v>
      </c>
      <c r="P49" s="55">
        <v>30.57</v>
      </c>
      <c r="Q49" s="6">
        <v>29.85</v>
      </c>
      <c r="R49" s="6">
        <v>36.04</v>
      </c>
      <c r="S49" s="6">
        <v>40.72</v>
      </c>
      <c r="T49" s="55">
        <v>43.48</v>
      </c>
      <c r="U49" s="6">
        <v>45.15</v>
      </c>
    </row>
    <row r="50" spans="1:21" ht="15.75" thickBot="1" x14ac:dyDescent="0.3">
      <c r="A50" s="5" t="s">
        <v>68</v>
      </c>
      <c r="B50" s="6">
        <v>50.17</v>
      </c>
      <c r="C50" s="6">
        <v>55.5</v>
      </c>
      <c r="D50" s="55">
        <v>53.75</v>
      </c>
      <c r="E50" s="6">
        <v>51.64</v>
      </c>
      <c r="F50" s="6">
        <v>48.57</v>
      </c>
      <c r="G50" s="6">
        <v>52.72</v>
      </c>
      <c r="H50" s="55">
        <v>53.75</v>
      </c>
      <c r="I50" s="6">
        <v>55.89</v>
      </c>
      <c r="J50" s="6">
        <v>55.65</v>
      </c>
      <c r="K50" s="6">
        <v>61.76</v>
      </c>
      <c r="L50" s="55">
        <v>60.25</v>
      </c>
      <c r="M50" s="6">
        <v>62.64</v>
      </c>
      <c r="N50" s="6">
        <v>61.31</v>
      </c>
      <c r="O50" s="6">
        <v>71.959999999999994</v>
      </c>
      <c r="P50" s="55">
        <v>69.430000000000007</v>
      </c>
      <c r="Q50" s="6">
        <v>70.150000000000006</v>
      </c>
      <c r="R50" s="6">
        <v>63.96</v>
      </c>
      <c r="S50" s="6">
        <v>59.28</v>
      </c>
      <c r="T50" s="55">
        <v>56.52</v>
      </c>
      <c r="U50" s="6">
        <v>54.85</v>
      </c>
    </row>
    <row r="51" spans="1:21" ht="15.75" thickBot="1" x14ac:dyDescent="0.3">
      <c r="A51" s="5" t="s">
        <v>69</v>
      </c>
      <c r="B51" s="6">
        <v>82.06</v>
      </c>
      <c r="C51" s="6">
        <v>57.38</v>
      </c>
      <c r="D51" s="55">
        <v>58.75</v>
      </c>
      <c r="E51" s="6">
        <v>64.569999999999993</v>
      </c>
      <c r="F51" s="6">
        <v>80.08</v>
      </c>
      <c r="G51" s="6">
        <v>67.17</v>
      </c>
      <c r="H51" s="55">
        <v>69.95</v>
      </c>
      <c r="I51" s="6">
        <v>64.56</v>
      </c>
      <c r="J51" s="6">
        <v>67.099999999999994</v>
      </c>
      <c r="K51" s="6">
        <v>52.16</v>
      </c>
      <c r="L51" s="55">
        <v>56.83</v>
      </c>
      <c r="M51" s="6">
        <v>51.19</v>
      </c>
      <c r="N51" s="6">
        <v>87.46</v>
      </c>
      <c r="O51" s="6">
        <v>94.44</v>
      </c>
      <c r="P51" s="55">
        <v>99.83</v>
      </c>
      <c r="Q51" s="6">
        <v>99.86</v>
      </c>
      <c r="R51" s="6">
        <v>99.9</v>
      </c>
      <c r="S51" s="6">
        <v>99.94</v>
      </c>
      <c r="T51" s="55">
        <v>99.85</v>
      </c>
      <c r="U51" s="6">
        <v>99.89</v>
      </c>
    </row>
    <row r="52" spans="1:21" ht="15.75" thickBot="1" x14ac:dyDescent="0.3">
      <c r="A52" s="5" t="s">
        <v>70</v>
      </c>
      <c r="B52" s="6">
        <v>65.959999999999994</v>
      </c>
      <c r="C52" s="6">
        <v>60.1</v>
      </c>
      <c r="D52" s="55">
        <v>62.35</v>
      </c>
      <c r="E52" s="6">
        <v>70.87</v>
      </c>
      <c r="F52" s="6">
        <v>74.45</v>
      </c>
      <c r="G52" s="6">
        <v>68.900000000000006</v>
      </c>
      <c r="H52" s="55">
        <v>62.47</v>
      </c>
      <c r="I52" s="6">
        <v>60.9</v>
      </c>
      <c r="J52" s="6">
        <v>52.91</v>
      </c>
      <c r="K52" s="6">
        <v>41.44</v>
      </c>
      <c r="L52" s="55">
        <v>41.71</v>
      </c>
      <c r="M52" s="6">
        <v>39.729999999999997</v>
      </c>
      <c r="N52" s="6">
        <v>31.91</v>
      </c>
      <c r="O52" s="6">
        <v>16.13</v>
      </c>
      <c r="P52" s="55">
        <v>18.149999999999999</v>
      </c>
      <c r="Q52" s="6">
        <v>20.28</v>
      </c>
      <c r="R52" s="6">
        <v>20.12</v>
      </c>
      <c r="S52" s="6">
        <v>29.28</v>
      </c>
      <c r="T52" s="55">
        <v>32.35</v>
      </c>
      <c r="U52" s="6">
        <v>42.07</v>
      </c>
    </row>
    <row r="53" spans="1:21" ht="15.75" thickBot="1" x14ac:dyDescent="0.3">
      <c r="A53" s="5" t="s">
        <v>71</v>
      </c>
      <c r="B53" s="6">
        <v>99.32</v>
      </c>
      <c r="C53" s="6">
        <v>80.17</v>
      </c>
      <c r="D53" s="55">
        <v>86.05</v>
      </c>
      <c r="E53" s="6">
        <v>93.65</v>
      </c>
      <c r="F53" s="6">
        <v>105.87</v>
      </c>
      <c r="G53" s="6">
        <v>89.68</v>
      </c>
      <c r="H53" s="55">
        <v>86.05</v>
      </c>
      <c r="I53" s="6">
        <v>78.91</v>
      </c>
      <c r="J53" s="6">
        <v>79.7</v>
      </c>
      <c r="K53" s="6">
        <v>61.92</v>
      </c>
      <c r="L53" s="55">
        <v>65.97</v>
      </c>
      <c r="M53" s="6">
        <v>59.63</v>
      </c>
      <c r="N53" s="6">
        <v>63.12</v>
      </c>
      <c r="O53" s="6">
        <v>38.96</v>
      </c>
      <c r="P53" s="55">
        <v>44.03</v>
      </c>
      <c r="Q53" s="6">
        <v>42.56</v>
      </c>
      <c r="R53" s="6">
        <v>56.35</v>
      </c>
      <c r="S53" s="6">
        <v>68.7</v>
      </c>
      <c r="T53" s="55">
        <v>76.94</v>
      </c>
      <c r="U53" s="6">
        <v>82.31</v>
      </c>
    </row>
    <row r="54" spans="1:21" ht="15.75" thickBot="1" x14ac:dyDescent="0.3">
      <c r="A54" s="3" t="s">
        <v>72</v>
      </c>
      <c r="B54" s="4"/>
      <c r="C54" s="4"/>
      <c r="D54" s="52"/>
      <c r="E54" s="4"/>
      <c r="F54" s="4"/>
      <c r="G54" s="4"/>
      <c r="H54" s="52"/>
      <c r="I54" s="4"/>
      <c r="J54" s="4"/>
      <c r="K54" s="4"/>
      <c r="L54" s="52"/>
      <c r="M54" s="4"/>
      <c r="N54" s="4"/>
      <c r="O54" s="4"/>
      <c r="P54" s="52"/>
      <c r="Q54" s="4"/>
      <c r="R54" s="4"/>
      <c r="S54" s="4"/>
      <c r="T54" s="52"/>
      <c r="U54" s="4"/>
    </row>
    <row r="55" spans="1:21" ht="15.75" thickBot="1" x14ac:dyDescent="0.3">
      <c r="A55" s="5" t="s">
        <v>73</v>
      </c>
      <c r="B55" s="6">
        <v>0</v>
      </c>
      <c r="C55" s="6">
        <v>0</v>
      </c>
      <c r="D55" s="55">
        <v>0</v>
      </c>
      <c r="E55" s="6">
        <v>-5.54</v>
      </c>
      <c r="F55" s="6">
        <v>0</v>
      </c>
      <c r="G55" s="6">
        <v>0</v>
      </c>
      <c r="H55" s="55">
        <v>0</v>
      </c>
      <c r="I55" s="6">
        <v>4.8</v>
      </c>
      <c r="J55" s="6">
        <v>0</v>
      </c>
      <c r="K55" s="6">
        <v>0</v>
      </c>
      <c r="L55" s="55">
        <v>0</v>
      </c>
      <c r="M55" s="6">
        <v>-7.05</v>
      </c>
      <c r="N55" s="6">
        <v>0</v>
      </c>
      <c r="O55" s="6">
        <v>0</v>
      </c>
      <c r="P55" s="55">
        <v>0</v>
      </c>
      <c r="Q55" s="6">
        <v>-13.24</v>
      </c>
      <c r="R55" s="6"/>
      <c r="S55" s="6"/>
      <c r="T55" s="55"/>
      <c r="U55" s="6">
        <v>-1.29</v>
      </c>
    </row>
    <row r="56" spans="1:21" ht="15.75" thickBot="1" x14ac:dyDescent="0.3">
      <c r="A56" s="5" t="s">
        <v>74</v>
      </c>
      <c r="B56" s="6">
        <v>0</v>
      </c>
      <c r="C56" s="6">
        <v>0</v>
      </c>
      <c r="D56" s="55">
        <v>0</v>
      </c>
      <c r="E56" s="6">
        <v>-4.07</v>
      </c>
      <c r="F56" s="6">
        <v>0</v>
      </c>
      <c r="G56" s="6">
        <v>0</v>
      </c>
      <c r="H56" s="55">
        <v>0</v>
      </c>
      <c r="I56" s="6">
        <v>3.97</v>
      </c>
      <c r="J56" s="6">
        <v>0</v>
      </c>
      <c r="K56" s="6">
        <v>0</v>
      </c>
      <c r="L56" s="55">
        <v>0</v>
      </c>
      <c r="M56" s="6">
        <v>-6.63</v>
      </c>
      <c r="N56" s="6">
        <v>0</v>
      </c>
      <c r="O56" s="6">
        <v>0</v>
      </c>
      <c r="P56" s="55">
        <v>0</v>
      </c>
      <c r="Q56" s="6">
        <v>-16.239999999999998</v>
      </c>
      <c r="R56" s="6"/>
      <c r="S56" s="6"/>
      <c r="T56" s="55"/>
      <c r="U56" s="6">
        <v>-1.1000000000000001</v>
      </c>
    </row>
    <row r="57" spans="1:21" ht="15.75" thickBot="1" x14ac:dyDescent="0.3">
      <c r="A57" s="5" t="s">
        <v>75</v>
      </c>
      <c r="B57" s="6">
        <v>0</v>
      </c>
      <c r="C57" s="6">
        <v>0</v>
      </c>
      <c r="D57" s="55">
        <v>0</v>
      </c>
      <c r="E57" s="6">
        <v>2.82</v>
      </c>
      <c r="F57" s="6">
        <v>0</v>
      </c>
      <c r="G57" s="6">
        <v>0</v>
      </c>
      <c r="H57" s="55">
        <v>0</v>
      </c>
      <c r="I57" s="6">
        <v>2.86</v>
      </c>
      <c r="J57" s="6">
        <v>0</v>
      </c>
      <c r="K57" s="6">
        <v>0</v>
      </c>
      <c r="L57" s="55">
        <v>0</v>
      </c>
      <c r="M57" s="6">
        <v>-3.33</v>
      </c>
      <c r="N57" s="6">
        <v>0</v>
      </c>
      <c r="O57" s="6">
        <v>0</v>
      </c>
      <c r="P57" s="55">
        <v>0</v>
      </c>
      <c r="Q57" s="6">
        <v>-5.97</v>
      </c>
      <c r="R57" s="6"/>
      <c r="S57" s="6"/>
      <c r="T57" s="55"/>
      <c r="U57" s="6">
        <v>-2.0099999999999998</v>
      </c>
    </row>
    <row r="58" spans="1:21" ht="15.75" thickBot="1" x14ac:dyDescent="0.3">
      <c r="A58" s="5" t="s">
        <v>76</v>
      </c>
      <c r="B58" s="6">
        <v>-6.66</v>
      </c>
      <c r="C58" s="6">
        <v>0.5</v>
      </c>
      <c r="D58" s="55">
        <v>-2.67</v>
      </c>
      <c r="E58" s="6">
        <v>7.49</v>
      </c>
      <c r="F58" s="6">
        <v>-3.2</v>
      </c>
      <c r="G58" s="6">
        <v>2.39</v>
      </c>
      <c r="H58" s="55">
        <v>-4.24</v>
      </c>
      <c r="I58" s="6">
        <v>-0.89</v>
      </c>
      <c r="J58" s="6">
        <v>-8.35</v>
      </c>
      <c r="K58" s="6">
        <v>0.82</v>
      </c>
      <c r="L58" s="55">
        <v>1.75</v>
      </c>
      <c r="M58" s="6">
        <v>2.11</v>
      </c>
      <c r="N58" s="6">
        <v>-23.37</v>
      </c>
      <c r="O58" s="6">
        <v>-4.04</v>
      </c>
      <c r="P58" s="55">
        <v>-6.05</v>
      </c>
      <c r="Q58" s="6">
        <v>8.99</v>
      </c>
      <c r="R58" s="6"/>
      <c r="S58" s="6"/>
      <c r="T58" s="55"/>
      <c r="U58" s="6"/>
    </row>
    <row r="59" spans="1:21" ht="15.75" thickBot="1" x14ac:dyDescent="0.3">
      <c r="A59" s="5" t="s">
        <v>77</v>
      </c>
      <c r="B59" s="6">
        <v>1.39</v>
      </c>
      <c r="C59" s="6">
        <v>1.04</v>
      </c>
      <c r="D59" s="55">
        <v>1.3</v>
      </c>
      <c r="E59" s="6">
        <v>5.9</v>
      </c>
      <c r="F59" s="6">
        <v>2.17</v>
      </c>
      <c r="G59" s="6">
        <v>1.24</v>
      </c>
      <c r="H59" s="55">
        <v>1.32</v>
      </c>
      <c r="I59" s="6">
        <v>-0.94</v>
      </c>
      <c r="J59" s="6">
        <v>3.08</v>
      </c>
      <c r="K59" s="6">
        <v>3.69</v>
      </c>
      <c r="L59" s="55">
        <v>3.59</v>
      </c>
      <c r="M59" s="6">
        <v>4.1100000000000003</v>
      </c>
      <c r="N59" s="6">
        <v>2.09</v>
      </c>
      <c r="O59" s="6">
        <v>3.43</v>
      </c>
      <c r="P59" s="55">
        <v>6.42</v>
      </c>
      <c r="Q59" s="6">
        <v>10.7</v>
      </c>
      <c r="R59" s="6"/>
      <c r="S59" s="6"/>
      <c r="T59" s="55"/>
      <c r="U59" s="6"/>
    </row>
    <row r="60" spans="1:21" ht="15.75" thickBot="1" x14ac:dyDescent="0.3">
      <c r="A60" s="5" t="s">
        <v>78</v>
      </c>
      <c r="B60" s="6">
        <v>0</v>
      </c>
      <c r="C60" s="6">
        <v>0</v>
      </c>
      <c r="D60" s="55">
        <v>0</v>
      </c>
      <c r="E60" s="6">
        <v>0</v>
      </c>
      <c r="F60" s="6">
        <v>0</v>
      </c>
      <c r="G60" s="6">
        <v>0</v>
      </c>
      <c r="H60" s="55">
        <v>0</v>
      </c>
      <c r="I60" s="6">
        <v>0</v>
      </c>
      <c r="J60" s="6">
        <v>0</v>
      </c>
      <c r="K60" s="6">
        <v>0</v>
      </c>
      <c r="L60" s="55">
        <v>0</v>
      </c>
      <c r="M60" s="6">
        <v>0</v>
      </c>
      <c r="N60" s="6">
        <v>0</v>
      </c>
      <c r="O60" s="6">
        <v>0</v>
      </c>
      <c r="P60" s="55">
        <v>0</v>
      </c>
      <c r="Q60" s="6">
        <v>-4.84</v>
      </c>
      <c r="R60" s="6"/>
      <c r="S60" s="6"/>
      <c r="T60" s="55"/>
      <c r="U60" s="6">
        <v>-0.5</v>
      </c>
    </row>
    <row r="61" spans="1:21" ht="15.75" thickBot="1" x14ac:dyDescent="0.3">
      <c r="A61" s="5" t="s">
        <v>79</v>
      </c>
      <c r="B61" s="6">
        <v>0</v>
      </c>
      <c r="C61" s="6">
        <v>0</v>
      </c>
      <c r="D61" s="55">
        <v>0</v>
      </c>
      <c r="E61" s="6">
        <v>0</v>
      </c>
      <c r="F61" s="6">
        <v>0</v>
      </c>
      <c r="G61" s="6">
        <v>0</v>
      </c>
      <c r="H61" s="55">
        <v>0</v>
      </c>
      <c r="I61" s="6">
        <v>0</v>
      </c>
      <c r="J61" s="6">
        <v>0</v>
      </c>
      <c r="K61" s="6">
        <v>0</v>
      </c>
      <c r="L61" s="55">
        <v>0</v>
      </c>
      <c r="M61" s="6">
        <v>0</v>
      </c>
      <c r="N61" s="6">
        <v>0</v>
      </c>
      <c r="O61" s="6">
        <v>0</v>
      </c>
      <c r="P61" s="55">
        <v>0</v>
      </c>
      <c r="Q61" s="6">
        <v>-6.9</v>
      </c>
      <c r="R61" s="6"/>
      <c r="S61" s="6"/>
      <c r="T61" s="55"/>
      <c r="U61" s="6">
        <v>-0.9</v>
      </c>
    </row>
    <row r="62" spans="1:21" ht="15.75" thickBot="1" x14ac:dyDescent="0.3">
      <c r="A62" s="5" t="s">
        <v>80</v>
      </c>
      <c r="B62" s="6">
        <v>0</v>
      </c>
      <c r="C62" s="6">
        <v>0</v>
      </c>
      <c r="D62" s="55">
        <v>0</v>
      </c>
      <c r="E62" s="6">
        <v>0</v>
      </c>
      <c r="F62" s="6">
        <v>0</v>
      </c>
      <c r="G62" s="6">
        <v>0</v>
      </c>
      <c r="H62" s="55">
        <v>0</v>
      </c>
      <c r="I62" s="6">
        <v>0</v>
      </c>
      <c r="J62" s="6">
        <v>0</v>
      </c>
      <c r="K62" s="6">
        <v>0</v>
      </c>
      <c r="L62" s="55">
        <v>0</v>
      </c>
      <c r="M62" s="6">
        <v>0</v>
      </c>
      <c r="N62" s="6">
        <v>0</v>
      </c>
      <c r="O62" s="6">
        <v>0</v>
      </c>
      <c r="P62" s="55">
        <v>0</v>
      </c>
      <c r="Q62" s="6">
        <v>-151.81</v>
      </c>
      <c r="R62" s="6"/>
      <c r="S62" s="6"/>
      <c r="T62" s="55"/>
      <c r="U62" s="6">
        <v>-20.260000000000002</v>
      </c>
    </row>
    <row r="63" spans="1:21" ht="15.75" thickBot="1" x14ac:dyDescent="0.3">
      <c r="A63" s="5" t="s">
        <v>81</v>
      </c>
      <c r="B63" s="6">
        <v>0</v>
      </c>
      <c r="C63" s="6">
        <v>0</v>
      </c>
      <c r="D63" s="55">
        <v>0</v>
      </c>
      <c r="E63" s="6">
        <v>0</v>
      </c>
      <c r="F63" s="6">
        <v>0</v>
      </c>
      <c r="G63" s="6">
        <v>0</v>
      </c>
      <c r="H63" s="55">
        <v>0</v>
      </c>
      <c r="I63" s="6">
        <v>0</v>
      </c>
      <c r="J63" s="6">
        <v>0</v>
      </c>
      <c r="K63" s="6">
        <v>0</v>
      </c>
      <c r="L63" s="55">
        <v>0</v>
      </c>
      <c r="M63" s="6">
        <v>0</v>
      </c>
      <c r="N63" s="6">
        <v>0</v>
      </c>
      <c r="O63" s="6">
        <v>0</v>
      </c>
      <c r="P63" s="55">
        <v>0</v>
      </c>
      <c r="Q63" s="6">
        <v>-16.21</v>
      </c>
      <c r="R63" s="6"/>
      <c r="S63" s="6"/>
      <c r="T63" s="55"/>
      <c r="U63" s="6">
        <v>-1.1000000000000001</v>
      </c>
    </row>
    <row r="64" spans="1:21" ht="15.75" thickBot="1" x14ac:dyDescent="0.3">
      <c r="A64" s="5" t="s">
        <v>82</v>
      </c>
      <c r="B64" s="6">
        <v>0</v>
      </c>
      <c r="C64" s="6">
        <v>0</v>
      </c>
      <c r="D64" s="55">
        <v>0</v>
      </c>
      <c r="E64" s="6">
        <v>0</v>
      </c>
      <c r="F64" s="6">
        <v>0</v>
      </c>
      <c r="G64" s="6">
        <v>0</v>
      </c>
      <c r="H64" s="55">
        <v>0</v>
      </c>
      <c r="I64" s="6">
        <v>0</v>
      </c>
      <c r="J64" s="6">
        <v>0</v>
      </c>
      <c r="K64" s="6">
        <v>0</v>
      </c>
      <c r="L64" s="55">
        <v>0</v>
      </c>
      <c r="M64" s="6">
        <v>0</v>
      </c>
      <c r="N64" s="6">
        <v>0</v>
      </c>
      <c r="O64" s="6">
        <v>0</v>
      </c>
      <c r="P64" s="55">
        <v>0</v>
      </c>
      <c r="Q64" s="19">
        <v>-1016.93</v>
      </c>
      <c r="R64" s="6"/>
      <c r="S64" s="6"/>
      <c r="T64" s="55"/>
      <c r="U64" s="6">
        <v>-139.77000000000001</v>
      </c>
    </row>
    <row r="65" spans="1:21" ht="15.75" thickBot="1" x14ac:dyDescent="0.3">
      <c r="A65" s="3" t="s">
        <v>83</v>
      </c>
      <c r="B65" s="4"/>
      <c r="C65" s="4"/>
      <c r="D65" s="52"/>
      <c r="E65" s="4"/>
      <c r="F65" s="4"/>
      <c r="G65" s="4"/>
      <c r="H65" s="52"/>
      <c r="I65" s="4"/>
      <c r="J65" s="4"/>
      <c r="K65" s="4"/>
      <c r="L65" s="52"/>
      <c r="M65" s="4"/>
      <c r="N65" s="4"/>
      <c r="O65" s="4"/>
      <c r="P65" s="52"/>
      <c r="Q65" s="4"/>
      <c r="R65" s="4"/>
      <c r="S65" s="4"/>
      <c r="T65" s="52"/>
      <c r="U65" s="4"/>
    </row>
    <row r="66" spans="1:21" ht="15.75" thickBot="1" x14ac:dyDescent="0.3">
      <c r="A66" s="5" t="s">
        <v>84</v>
      </c>
      <c r="B66" s="6">
        <v>87.04</v>
      </c>
      <c r="C66" s="6">
        <v>88.82</v>
      </c>
      <c r="D66" s="55">
        <v>88.18</v>
      </c>
      <c r="E66" s="6">
        <v>89.61</v>
      </c>
      <c r="F66" s="6">
        <v>85.72</v>
      </c>
      <c r="G66" s="6">
        <v>87.78</v>
      </c>
      <c r="H66" s="55">
        <v>89.07</v>
      </c>
      <c r="I66" s="6">
        <v>90.27</v>
      </c>
      <c r="J66" s="6">
        <v>85.55</v>
      </c>
      <c r="K66" s="6">
        <v>83.28</v>
      </c>
      <c r="L66" s="55">
        <v>82.41</v>
      </c>
      <c r="M66" s="6">
        <v>85.28</v>
      </c>
      <c r="N66" s="6">
        <v>85.13</v>
      </c>
      <c r="O66" s="6">
        <v>84.71</v>
      </c>
      <c r="P66" s="55">
        <v>80.23</v>
      </c>
      <c r="Q66" s="6">
        <v>81.819999999999993</v>
      </c>
      <c r="R66" s="6">
        <v>81.2</v>
      </c>
      <c r="S66" s="6">
        <v>85.58</v>
      </c>
      <c r="T66" s="55">
        <v>83.44</v>
      </c>
      <c r="U66" s="6">
        <v>84.42</v>
      </c>
    </row>
    <row r="67" spans="1:21" ht="15.75" thickBot="1" x14ac:dyDescent="0.3">
      <c r="A67" s="5" t="s">
        <v>85</v>
      </c>
      <c r="B67" s="6">
        <v>4.25</v>
      </c>
      <c r="C67" s="6">
        <v>3.42</v>
      </c>
      <c r="D67" s="55">
        <v>3.67</v>
      </c>
      <c r="E67" s="6">
        <v>3.08</v>
      </c>
      <c r="F67" s="6">
        <v>3</v>
      </c>
      <c r="G67" s="6">
        <v>3.24</v>
      </c>
      <c r="H67" s="55">
        <v>3.35</v>
      </c>
      <c r="I67" s="6">
        <v>3.37</v>
      </c>
      <c r="J67" s="6">
        <v>3.25</v>
      </c>
      <c r="K67" s="6">
        <v>2.98</v>
      </c>
      <c r="L67" s="55">
        <v>3.58</v>
      </c>
      <c r="M67" s="6">
        <v>4.49</v>
      </c>
      <c r="N67" s="6">
        <v>4.99</v>
      </c>
      <c r="O67" s="6">
        <v>4.34</v>
      </c>
      <c r="P67" s="55">
        <v>4.6900000000000004</v>
      </c>
      <c r="Q67" s="6">
        <v>7.29</v>
      </c>
      <c r="R67" s="6">
        <v>6.26</v>
      </c>
      <c r="S67" s="6">
        <v>8.32</v>
      </c>
      <c r="T67" s="55">
        <v>6.41</v>
      </c>
      <c r="U67" s="6">
        <v>7.16</v>
      </c>
    </row>
    <row r="68" spans="1:21" ht="15.75" thickBot="1" x14ac:dyDescent="0.3">
      <c r="A68" s="5" t="s">
        <v>86</v>
      </c>
      <c r="B68" s="6">
        <v>1.52</v>
      </c>
      <c r="C68" s="6">
        <v>2.33</v>
      </c>
      <c r="D68" s="55">
        <v>2.29</v>
      </c>
      <c r="E68" s="6">
        <v>1.83</v>
      </c>
      <c r="F68" s="6">
        <v>1.48</v>
      </c>
      <c r="G68" s="6">
        <v>1.45</v>
      </c>
      <c r="H68" s="55">
        <v>1.47</v>
      </c>
      <c r="I68" s="6">
        <v>1.44</v>
      </c>
      <c r="J68" s="6">
        <v>1.35</v>
      </c>
      <c r="K68" s="6">
        <v>1.68</v>
      </c>
      <c r="L68" s="55">
        <v>1.92</v>
      </c>
      <c r="M68" s="6">
        <v>1.75</v>
      </c>
      <c r="N68" s="6">
        <v>1.84</v>
      </c>
      <c r="O68" s="6">
        <v>1.72</v>
      </c>
      <c r="P68" s="55">
        <v>1.55</v>
      </c>
      <c r="Q68" s="6">
        <v>1.5</v>
      </c>
      <c r="R68" s="6">
        <v>1.28</v>
      </c>
      <c r="S68" s="6">
        <v>1.47</v>
      </c>
      <c r="T68" s="55">
        <v>1.56</v>
      </c>
      <c r="U68" s="6">
        <v>1.52</v>
      </c>
    </row>
    <row r="69" spans="1:21" ht="15.75" thickBot="1" x14ac:dyDescent="0.3">
      <c r="A69" s="5" t="s">
        <v>87</v>
      </c>
      <c r="B69" s="6">
        <v>1.34</v>
      </c>
      <c r="C69" s="6">
        <v>1.1399999999999999</v>
      </c>
      <c r="D69" s="55">
        <v>0.94</v>
      </c>
      <c r="E69" s="6">
        <v>1.3</v>
      </c>
      <c r="F69" s="6">
        <v>1.43</v>
      </c>
      <c r="G69" s="6">
        <v>1.55</v>
      </c>
      <c r="H69" s="55">
        <v>1.29</v>
      </c>
      <c r="I69" s="6">
        <v>1.51</v>
      </c>
      <c r="J69" s="6">
        <v>0.95</v>
      </c>
      <c r="K69" s="6">
        <v>0.96</v>
      </c>
      <c r="L69" s="55">
        <v>0.86</v>
      </c>
      <c r="M69" s="6">
        <v>1.1200000000000001</v>
      </c>
      <c r="N69" s="6">
        <v>0.69</v>
      </c>
      <c r="O69" s="6">
        <v>0.4</v>
      </c>
      <c r="P69" s="55">
        <v>0.18</v>
      </c>
      <c r="Q69" s="6">
        <v>0.31</v>
      </c>
      <c r="R69" s="6">
        <v>0.15</v>
      </c>
      <c r="S69" s="6">
        <v>0.21</v>
      </c>
      <c r="T69" s="55">
        <v>0.19</v>
      </c>
      <c r="U69" s="6">
        <v>0.22</v>
      </c>
    </row>
    <row r="70" spans="1:21" ht="15.75" thickBot="1" x14ac:dyDescent="0.3">
      <c r="A70" s="3" t="s">
        <v>88</v>
      </c>
      <c r="B70" s="4"/>
      <c r="C70" s="4"/>
      <c r="D70" s="52"/>
      <c r="E70" s="4"/>
      <c r="F70" s="4"/>
      <c r="G70" s="4"/>
      <c r="H70" s="52"/>
      <c r="I70" s="4"/>
      <c r="J70" s="4"/>
      <c r="K70" s="4"/>
      <c r="L70" s="52"/>
      <c r="M70" s="4"/>
      <c r="N70" s="4"/>
      <c r="O70" s="4"/>
      <c r="P70" s="52"/>
      <c r="Q70" s="4"/>
      <c r="R70" s="4"/>
      <c r="S70" s="4"/>
      <c r="T70" s="52"/>
      <c r="U70" s="4"/>
    </row>
    <row r="71" spans="1:21" ht="15.75" thickBot="1" x14ac:dyDescent="0.3">
      <c r="A71" s="5" t="s">
        <v>89</v>
      </c>
      <c r="B71" s="6">
        <v>50.71</v>
      </c>
      <c r="C71" s="6">
        <v>42.55</v>
      </c>
      <c r="D71" s="55">
        <v>38.869999999999997</v>
      </c>
      <c r="E71" s="6">
        <v>41.53</v>
      </c>
      <c r="F71" s="6">
        <v>45.11</v>
      </c>
      <c r="G71" s="6">
        <v>42.76</v>
      </c>
      <c r="H71" s="55">
        <v>43.99</v>
      </c>
      <c r="I71" s="6">
        <v>45.05</v>
      </c>
      <c r="J71" s="6">
        <v>47.13</v>
      </c>
      <c r="K71" s="6">
        <v>47.08</v>
      </c>
      <c r="L71" s="55">
        <v>50.85</v>
      </c>
      <c r="M71" s="6">
        <v>52.68</v>
      </c>
      <c r="N71" s="6">
        <v>53.13</v>
      </c>
      <c r="O71" s="6">
        <v>49.6</v>
      </c>
      <c r="P71" s="55">
        <v>53.95</v>
      </c>
      <c r="Q71" s="6">
        <v>56.18</v>
      </c>
      <c r="R71" s="6">
        <v>60.17</v>
      </c>
      <c r="S71" s="6">
        <v>64.53</v>
      </c>
      <c r="T71" s="55">
        <v>67.45</v>
      </c>
      <c r="U71" s="6">
        <v>70.150000000000006</v>
      </c>
    </row>
    <row r="72" spans="1:21" ht="15.75" thickBot="1" x14ac:dyDescent="0.3">
      <c r="A72" s="5" t="s">
        <v>90</v>
      </c>
      <c r="B72" s="6">
        <v>4.92</v>
      </c>
      <c r="C72" s="6">
        <v>1.27</v>
      </c>
      <c r="D72" s="55">
        <v>6.2</v>
      </c>
      <c r="E72" s="6">
        <v>7.66</v>
      </c>
      <c r="F72" s="6">
        <v>10.029999999999999</v>
      </c>
      <c r="G72" s="6">
        <v>3.96</v>
      </c>
      <c r="H72" s="55">
        <v>4.09</v>
      </c>
      <c r="I72" s="6">
        <v>6.39</v>
      </c>
      <c r="J72" s="6">
        <v>9.92</v>
      </c>
      <c r="K72" s="6">
        <v>4.1399999999999997</v>
      </c>
      <c r="L72" s="55">
        <v>3.32</v>
      </c>
      <c r="M72" s="6">
        <v>1.25</v>
      </c>
      <c r="N72" s="6">
        <v>11.58</v>
      </c>
      <c r="O72" s="6">
        <v>5.25</v>
      </c>
      <c r="P72" s="55">
        <v>14.4</v>
      </c>
      <c r="Q72" s="6">
        <v>10.35</v>
      </c>
      <c r="R72" s="6">
        <v>1.85</v>
      </c>
      <c r="S72" s="6">
        <v>0.95</v>
      </c>
      <c r="T72" s="55">
        <v>4.2300000000000004</v>
      </c>
      <c r="U72" s="6">
        <v>2.5099999999999998</v>
      </c>
    </row>
    <row r="73" spans="1:21" ht="15.75" thickBot="1" x14ac:dyDescent="0.3">
      <c r="A73" s="5" t="s">
        <v>91</v>
      </c>
      <c r="B73" s="6">
        <v>0</v>
      </c>
      <c r="C73" s="6">
        <v>0</v>
      </c>
      <c r="D73" s="55">
        <v>0</v>
      </c>
      <c r="E73" s="6">
        <v>0</v>
      </c>
      <c r="F73" s="6">
        <v>0</v>
      </c>
      <c r="G73" s="6">
        <v>0</v>
      </c>
      <c r="H73" s="55">
        <v>0</v>
      </c>
      <c r="I73" s="6">
        <v>0</v>
      </c>
      <c r="J73" s="6">
        <v>0</v>
      </c>
      <c r="K73" s="6">
        <v>0</v>
      </c>
      <c r="L73" s="55">
        <v>0</v>
      </c>
      <c r="M73" s="6">
        <v>0</v>
      </c>
      <c r="N73" s="6">
        <v>6.17</v>
      </c>
      <c r="O73" s="6">
        <v>7.44</v>
      </c>
      <c r="P73" s="55">
        <v>11.44</v>
      </c>
      <c r="Q73" s="6">
        <v>10.7</v>
      </c>
      <c r="R73" s="6">
        <v>13.66</v>
      </c>
      <c r="S73" s="6">
        <v>11.57</v>
      </c>
      <c r="T73" s="55">
        <v>15.11</v>
      </c>
      <c r="U73" s="6">
        <v>19.760000000000002</v>
      </c>
    </row>
    <row r="74" spans="1:21" ht="15.75" thickBot="1" x14ac:dyDescent="0.3">
      <c r="A74" s="5" t="s">
        <v>92</v>
      </c>
      <c r="B74" s="6">
        <v>24.42</v>
      </c>
      <c r="C74" s="6">
        <v>29.7</v>
      </c>
      <c r="D74" s="55">
        <v>38.07</v>
      </c>
      <c r="E74" s="6">
        <v>20.21</v>
      </c>
      <c r="F74" s="6">
        <v>26.81</v>
      </c>
      <c r="G74" s="6">
        <v>25.82</v>
      </c>
      <c r="H74" s="55">
        <v>25.27</v>
      </c>
      <c r="I74" s="6">
        <v>18.489999999999998</v>
      </c>
      <c r="J74" s="6">
        <v>18.07</v>
      </c>
      <c r="K74" s="6">
        <v>18.32</v>
      </c>
      <c r="L74" s="55">
        <v>10.37</v>
      </c>
      <c r="M74" s="6">
        <v>15.88</v>
      </c>
      <c r="N74" s="6">
        <v>9.75</v>
      </c>
      <c r="O74" s="6">
        <v>15.86</v>
      </c>
      <c r="P74" s="55">
        <v>9.99</v>
      </c>
      <c r="Q74" s="6">
        <v>13.88</v>
      </c>
      <c r="R74" s="6">
        <v>14.59</v>
      </c>
      <c r="S74" s="6">
        <v>9.1300000000000008</v>
      </c>
      <c r="T74" s="55">
        <v>9.84</v>
      </c>
      <c r="U74" s="6">
        <v>12.59</v>
      </c>
    </row>
    <row r="75" spans="1:21" ht="15.75" thickBot="1" x14ac:dyDescent="0.3">
      <c r="A75" s="5" t="s">
        <v>93</v>
      </c>
      <c r="B75" s="6">
        <v>67.61</v>
      </c>
      <c r="C75" s="6">
        <v>65.599999999999994</v>
      </c>
      <c r="D75" s="55">
        <v>55.01</v>
      </c>
      <c r="E75" s="6">
        <v>67.349999999999994</v>
      </c>
      <c r="F75" s="6">
        <v>61.01</v>
      </c>
      <c r="G75" s="6">
        <v>67.92</v>
      </c>
      <c r="H75" s="55">
        <v>67.86</v>
      </c>
      <c r="I75" s="6">
        <v>72.33</v>
      </c>
      <c r="J75" s="6">
        <v>70.03</v>
      </c>
      <c r="K75" s="6">
        <v>76.08</v>
      </c>
      <c r="L75" s="55">
        <v>83.68</v>
      </c>
      <c r="M75" s="6">
        <v>79.48</v>
      </c>
      <c r="N75" s="6">
        <v>70.150000000000006</v>
      </c>
      <c r="O75" s="6">
        <v>69.41</v>
      </c>
      <c r="P75" s="55">
        <v>60.07</v>
      </c>
      <c r="Q75" s="6">
        <v>60.43</v>
      </c>
      <c r="R75" s="6">
        <v>66.08</v>
      </c>
      <c r="S75" s="6">
        <v>73.48</v>
      </c>
      <c r="T75" s="55">
        <v>67.64</v>
      </c>
      <c r="U75" s="6">
        <v>61.26</v>
      </c>
    </row>
    <row r="76" spans="1:21" ht="15.75" thickBot="1" x14ac:dyDescent="0.3">
      <c r="A76" s="5" t="s">
        <v>94</v>
      </c>
      <c r="B76" s="6">
        <v>3.05</v>
      </c>
      <c r="C76" s="6">
        <v>3.43</v>
      </c>
      <c r="D76" s="55">
        <v>0.72</v>
      </c>
      <c r="E76" s="6">
        <v>4.7699999999999996</v>
      </c>
      <c r="F76" s="6">
        <v>2.15</v>
      </c>
      <c r="G76" s="6">
        <v>2.29</v>
      </c>
      <c r="H76" s="55">
        <v>2.79</v>
      </c>
      <c r="I76" s="6">
        <v>2.79</v>
      </c>
      <c r="J76" s="6">
        <v>1.98</v>
      </c>
      <c r="K76" s="6">
        <v>1.46</v>
      </c>
      <c r="L76" s="55">
        <v>2.63</v>
      </c>
      <c r="M76" s="6">
        <v>3.39</v>
      </c>
      <c r="N76" s="6">
        <v>2.35</v>
      </c>
      <c r="O76" s="6">
        <v>2.0299999999999998</v>
      </c>
      <c r="P76" s="55">
        <v>4.0999999999999996</v>
      </c>
      <c r="Q76" s="6">
        <v>4.6399999999999997</v>
      </c>
      <c r="R76" s="6">
        <v>3.82</v>
      </c>
      <c r="S76" s="6">
        <v>4.8600000000000003</v>
      </c>
      <c r="T76" s="55">
        <v>3.17</v>
      </c>
      <c r="U76" s="6">
        <v>3.88</v>
      </c>
    </row>
    <row r="77" spans="1:21" ht="15.75" thickBot="1" x14ac:dyDescent="0.3">
      <c r="A77" s="3" t="s">
        <v>95</v>
      </c>
      <c r="B77" s="4"/>
      <c r="C77" s="4"/>
      <c r="D77" s="52"/>
      <c r="E77" s="4"/>
      <c r="F77" s="4"/>
      <c r="G77" s="4"/>
      <c r="H77" s="52"/>
      <c r="I77" s="4"/>
      <c r="J77" s="4"/>
      <c r="K77" s="4"/>
      <c r="L77" s="52"/>
      <c r="M77" s="4"/>
      <c r="N77" s="4"/>
      <c r="O77" s="4"/>
      <c r="P77" s="52"/>
      <c r="Q77" s="4"/>
      <c r="R77" s="4"/>
      <c r="S77" s="4"/>
      <c r="T77" s="52"/>
      <c r="U77" s="4"/>
    </row>
    <row r="78" spans="1:21" ht="15.75" thickBot="1" x14ac:dyDescent="0.3">
      <c r="A78" s="5" t="s">
        <v>96</v>
      </c>
      <c r="B78" s="6">
        <v>49.29</v>
      </c>
      <c r="C78" s="6">
        <v>57.45</v>
      </c>
      <c r="D78" s="55">
        <v>61.13</v>
      </c>
      <c r="E78" s="6">
        <v>58.47</v>
      </c>
      <c r="F78" s="6">
        <v>54.89</v>
      </c>
      <c r="G78" s="6">
        <v>57.24</v>
      </c>
      <c r="H78" s="55">
        <v>56.01</v>
      </c>
      <c r="I78" s="6">
        <v>54.95</v>
      </c>
      <c r="J78" s="6">
        <v>52.87</v>
      </c>
      <c r="K78" s="6">
        <v>52.92</v>
      </c>
      <c r="L78" s="55">
        <v>49.15</v>
      </c>
      <c r="M78" s="6">
        <v>47.32</v>
      </c>
      <c r="N78" s="6">
        <v>46.87</v>
      </c>
      <c r="O78" s="6">
        <v>50.4</v>
      </c>
      <c r="P78" s="55">
        <v>46.05</v>
      </c>
      <c r="Q78" s="6">
        <v>43.82</v>
      </c>
      <c r="R78" s="6">
        <v>39.83</v>
      </c>
      <c r="S78" s="6">
        <v>35.47</v>
      </c>
      <c r="T78" s="55">
        <v>32.549999999999997</v>
      </c>
      <c r="U78" s="6">
        <v>29.85</v>
      </c>
    </row>
    <row r="79" spans="1:21" ht="15.75" thickBot="1" x14ac:dyDescent="0.3">
      <c r="A79" s="5" t="s">
        <v>97</v>
      </c>
      <c r="B79" s="6">
        <v>46.26</v>
      </c>
      <c r="C79" s="6">
        <v>48.92</v>
      </c>
      <c r="D79" s="55">
        <v>46.63</v>
      </c>
      <c r="E79" s="6">
        <v>48.47</v>
      </c>
      <c r="F79" s="6">
        <v>52.11</v>
      </c>
      <c r="G79" s="6">
        <v>53.82</v>
      </c>
      <c r="H79" s="55">
        <v>53.53</v>
      </c>
      <c r="I79" s="6">
        <v>52.44</v>
      </c>
      <c r="J79" s="6">
        <v>50.3</v>
      </c>
      <c r="K79" s="6">
        <v>50.35</v>
      </c>
      <c r="L79" s="55">
        <v>46.54</v>
      </c>
      <c r="M79" s="6">
        <v>44.82</v>
      </c>
      <c r="N79" s="6">
        <v>44.1</v>
      </c>
      <c r="O79" s="6">
        <v>47.65</v>
      </c>
      <c r="P79" s="55">
        <v>43.76</v>
      </c>
      <c r="Q79" s="6">
        <v>41.67</v>
      </c>
      <c r="R79" s="6">
        <v>37.880000000000003</v>
      </c>
      <c r="S79" s="6">
        <v>33.83</v>
      </c>
      <c r="T79" s="55">
        <v>31.07</v>
      </c>
      <c r="U79" s="6">
        <v>28.46</v>
      </c>
    </row>
    <row r="80" spans="1:21" ht="15.75" thickBot="1" x14ac:dyDescent="0.3">
      <c r="A80" s="5" t="s">
        <v>98</v>
      </c>
      <c r="B80" s="6">
        <v>99.62</v>
      </c>
      <c r="C80" s="6">
        <v>99.57</v>
      </c>
      <c r="D80" s="55">
        <v>98.85</v>
      </c>
      <c r="E80" s="6">
        <v>98.99</v>
      </c>
      <c r="F80" s="6">
        <v>99.1</v>
      </c>
      <c r="G80" s="6">
        <v>99.06</v>
      </c>
      <c r="H80" s="55">
        <v>99.68</v>
      </c>
      <c r="I80" s="6">
        <v>99.68</v>
      </c>
      <c r="J80" s="6">
        <v>99.67</v>
      </c>
      <c r="K80" s="6">
        <v>99.67</v>
      </c>
      <c r="L80" s="55">
        <v>99.67</v>
      </c>
      <c r="M80" s="6">
        <v>99.67</v>
      </c>
      <c r="N80" s="6">
        <v>99.52</v>
      </c>
      <c r="O80" s="6">
        <v>99.52</v>
      </c>
      <c r="P80" s="55">
        <v>99.54</v>
      </c>
      <c r="Q80" s="6">
        <v>99.55</v>
      </c>
      <c r="R80" s="6">
        <v>99.56</v>
      </c>
      <c r="S80" s="6">
        <v>99.58</v>
      </c>
      <c r="T80" s="55">
        <v>99.35</v>
      </c>
      <c r="U80" s="6">
        <v>99.37</v>
      </c>
    </row>
    <row r="81" spans="1:21" ht="15.75" thickBot="1" x14ac:dyDescent="0.3">
      <c r="A81" s="5" t="s">
        <v>99</v>
      </c>
      <c r="B81" s="6">
        <v>0</v>
      </c>
      <c r="C81" s="6">
        <v>0</v>
      </c>
      <c r="D81" s="55">
        <v>0</v>
      </c>
      <c r="E81" s="6">
        <v>0</v>
      </c>
      <c r="F81" s="6">
        <v>0</v>
      </c>
      <c r="G81" s="6">
        <v>0</v>
      </c>
      <c r="H81" s="55">
        <v>0</v>
      </c>
      <c r="I81" s="6">
        <v>0</v>
      </c>
      <c r="J81" s="6">
        <v>0</v>
      </c>
      <c r="K81" s="6">
        <v>0</v>
      </c>
      <c r="L81" s="55">
        <v>0</v>
      </c>
      <c r="M81" s="6">
        <v>0</v>
      </c>
      <c r="N81" s="6">
        <v>0.14000000000000001</v>
      </c>
      <c r="O81" s="6">
        <v>0.14000000000000001</v>
      </c>
      <c r="P81" s="55">
        <v>0.14000000000000001</v>
      </c>
      <c r="Q81" s="6">
        <v>0.13</v>
      </c>
      <c r="R81" s="6">
        <v>0.13</v>
      </c>
      <c r="S81" s="6">
        <v>0.13</v>
      </c>
      <c r="T81" s="55">
        <v>0.37</v>
      </c>
      <c r="U81" s="6">
        <v>0.36</v>
      </c>
    </row>
    <row r="82" spans="1:21" ht="15.75" thickBot="1" x14ac:dyDescent="0.3">
      <c r="A82" s="5" t="s">
        <v>100</v>
      </c>
      <c r="B82" s="6">
        <v>0.38</v>
      </c>
      <c r="C82" s="6">
        <v>0.43</v>
      </c>
      <c r="D82" s="55">
        <v>1.1499999999999999</v>
      </c>
      <c r="E82" s="6">
        <v>1.01</v>
      </c>
      <c r="F82" s="6">
        <v>0.9</v>
      </c>
      <c r="G82" s="6">
        <v>0.94</v>
      </c>
      <c r="H82" s="55">
        <v>0.32</v>
      </c>
      <c r="I82" s="6">
        <v>0.32</v>
      </c>
      <c r="J82" s="6">
        <v>0.33</v>
      </c>
      <c r="K82" s="6">
        <v>0.33</v>
      </c>
      <c r="L82" s="55">
        <v>0.33</v>
      </c>
      <c r="M82" s="6">
        <v>0.33</v>
      </c>
      <c r="N82" s="6">
        <v>0.34</v>
      </c>
      <c r="O82" s="6">
        <v>0.33</v>
      </c>
      <c r="P82" s="55">
        <v>0.32</v>
      </c>
      <c r="Q82" s="6">
        <v>0.31</v>
      </c>
      <c r="R82" s="6">
        <v>0.3</v>
      </c>
      <c r="S82" s="6">
        <v>0.28999999999999998</v>
      </c>
      <c r="T82" s="55">
        <v>0.28000000000000003</v>
      </c>
      <c r="U82" s="6">
        <v>0.27</v>
      </c>
    </row>
    <row r="83" spans="1:21" x14ac:dyDescent="0.25">
      <c r="A83" s="5" t="s">
        <v>101</v>
      </c>
      <c r="B83" s="6">
        <v>1.85</v>
      </c>
      <c r="C83" s="6">
        <v>12.66</v>
      </c>
      <c r="D83" s="55">
        <v>26.92</v>
      </c>
      <c r="E83" s="6">
        <v>16.96</v>
      </c>
      <c r="F83" s="6">
        <v>2.0499999999999998</v>
      </c>
      <c r="G83" s="6">
        <v>2.5099999999999998</v>
      </c>
      <c r="H83" s="55">
        <v>0.03</v>
      </c>
      <c r="I83" s="6">
        <v>0.03</v>
      </c>
      <c r="J83" s="6">
        <v>0.17</v>
      </c>
      <c r="K83" s="6">
        <v>0.1</v>
      </c>
      <c r="L83" s="55">
        <v>0.01</v>
      </c>
      <c r="M83" s="6">
        <v>0.03</v>
      </c>
      <c r="N83" s="6">
        <v>0.74</v>
      </c>
      <c r="O83" s="6">
        <v>0.35</v>
      </c>
      <c r="P83" s="55">
        <v>0.01</v>
      </c>
      <c r="Q83" s="6">
        <v>0.13</v>
      </c>
      <c r="R83" s="6">
        <v>0.22</v>
      </c>
      <c r="S83" s="6">
        <v>0.1</v>
      </c>
      <c r="T83" s="55">
        <v>0.02</v>
      </c>
      <c r="U83" s="6">
        <v>0.09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6EC-3ECE-4152-ADB7-B844CC3DA593}">
  <sheetPr>
    <tabColor theme="4" tint="0.79998168889431442"/>
  </sheetPr>
  <dimension ref="A1:H124"/>
  <sheetViews>
    <sheetView showGridLines="0" workbookViewId="0">
      <selection activeCell="H32" sqref="H32"/>
    </sheetView>
  </sheetViews>
  <sheetFormatPr defaultRowHeight="15" x14ac:dyDescent="0.25"/>
  <cols>
    <col min="1" max="1" width="53.42578125" bestFit="1" customWidth="1"/>
    <col min="2" max="6" width="15.5703125" customWidth="1"/>
  </cols>
  <sheetData>
    <row r="1" spans="1:6" ht="15.75" thickBot="1" x14ac:dyDescent="0.3">
      <c r="A1" s="1" t="s">
        <v>319</v>
      </c>
      <c r="B1" s="7">
        <v>2017</v>
      </c>
      <c r="C1" s="7">
        <v>2018</v>
      </c>
      <c r="D1" s="7">
        <v>2019</v>
      </c>
      <c r="E1" s="7">
        <v>2020</v>
      </c>
      <c r="F1" s="7">
        <v>2021</v>
      </c>
    </row>
    <row r="2" spans="1:6" ht="16.5" thickTop="1" thickBot="1" x14ac:dyDescent="0.3">
      <c r="A2" s="8" t="s">
        <v>102</v>
      </c>
      <c r="B2" s="9"/>
      <c r="C2" s="9"/>
      <c r="D2" s="9"/>
      <c r="E2" s="9"/>
      <c r="F2" s="9"/>
    </row>
    <row r="3" spans="1:6" ht="15.75" thickBot="1" x14ac:dyDescent="0.3">
      <c r="A3" s="8" t="s">
        <v>103</v>
      </c>
      <c r="B3" s="18">
        <v>1090444</v>
      </c>
      <c r="C3" s="18">
        <v>1245695</v>
      </c>
      <c r="D3" s="18">
        <v>1377158</v>
      </c>
      <c r="E3" s="18">
        <v>1311509</v>
      </c>
      <c r="F3" s="18">
        <v>2114195</v>
      </c>
    </row>
    <row r="4" spans="1:6" ht="15.75" thickBot="1" x14ac:dyDescent="0.3">
      <c r="A4" s="10" t="s">
        <v>104</v>
      </c>
      <c r="B4" s="16">
        <v>67220</v>
      </c>
      <c r="C4" s="16">
        <v>50924</v>
      </c>
      <c r="D4" s="16">
        <v>45705</v>
      </c>
      <c r="E4" s="16">
        <v>188810</v>
      </c>
      <c r="F4" s="16">
        <v>89621</v>
      </c>
    </row>
    <row r="5" spans="1:6" ht="15.75" thickBot="1" x14ac:dyDescent="0.3">
      <c r="A5" s="5" t="s">
        <v>127</v>
      </c>
      <c r="B5" s="17">
        <v>44620</v>
      </c>
      <c r="C5" s="17">
        <v>50924</v>
      </c>
      <c r="D5" s="17">
        <v>41705</v>
      </c>
      <c r="E5" s="17">
        <v>41810</v>
      </c>
      <c r="F5" s="17">
        <v>32621</v>
      </c>
    </row>
    <row r="6" spans="1:6" ht="15.75" thickBot="1" x14ac:dyDescent="0.3">
      <c r="A6" s="5" t="s">
        <v>128</v>
      </c>
      <c r="B6" s="17">
        <v>22600</v>
      </c>
      <c r="C6" s="6"/>
      <c r="D6" s="17">
        <v>4000</v>
      </c>
      <c r="E6" s="17">
        <v>147000</v>
      </c>
      <c r="F6" s="17">
        <v>57000</v>
      </c>
    </row>
    <row r="7" spans="1:6" ht="15.75" thickBot="1" x14ac:dyDescent="0.3">
      <c r="A7" s="10" t="s">
        <v>105</v>
      </c>
      <c r="B7" s="11"/>
      <c r="C7" s="11"/>
      <c r="D7" s="11"/>
      <c r="E7" s="16">
        <v>150000</v>
      </c>
      <c r="F7" s="16">
        <v>320000</v>
      </c>
    </row>
    <row r="8" spans="1:6" ht="15.75" thickBot="1" x14ac:dyDescent="0.3">
      <c r="A8" s="5" t="s">
        <v>129</v>
      </c>
      <c r="B8" s="6"/>
      <c r="C8" s="6"/>
      <c r="D8" s="6"/>
      <c r="E8" s="6"/>
      <c r="F8" s="6"/>
    </row>
    <row r="9" spans="1:6" ht="15.75" thickBot="1" x14ac:dyDescent="0.3">
      <c r="A9" s="5" t="s">
        <v>130</v>
      </c>
      <c r="B9" s="6"/>
      <c r="C9" s="6"/>
      <c r="D9" s="6"/>
      <c r="E9" s="6"/>
      <c r="F9" s="6"/>
    </row>
    <row r="10" spans="1:6" ht="15.75" thickBot="1" x14ac:dyDescent="0.3">
      <c r="A10" s="5" t="s">
        <v>131</v>
      </c>
      <c r="B10" s="6"/>
      <c r="C10" s="6"/>
      <c r="D10" s="6"/>
      <c r="E10" s="17">
        <v>150000</v>
      </c>
      <c r="F10" s="17">
        <v>320000</v>
      </c>
    </row>
    <row r="11" spans="1:6" ht="15.75" thickBot="1" x14ac:dyDescent="0.3">
      <c r="A11" s="10" t="s">
        <v>106</v>
      </c>
      <c r="B11" s="16">
        <v>412479</v>
      </c>
      <c r="C11" s="16">
        <v>314894</v>
      </c>
      <c r="D11" s="16">
        <v>142368</v>
      </c>
      <c r="E11" s="16">
        <v>131027</v>
      </c>
      <c r="F11" s="16">
        <v>208132</v>
      </c>
    </row>
    <row r="12" spans="1:6" ht="15.75" thickBot="1" x14ac:dyDescent="0.3">
      <c r="A12" s="5" t="s">
        <v>132</v>
      </c>
      <c r="B12" s="17">
        <v>388649</v>
      </c>
      <c r="C12" s="17">
        <v>301310</v>
      </c>
      <c r="D12" s="17">
        <v>140455</v>
      </c>
      <c r="E12" s="17">
        <v>127428</v>
      </c>
      <c r="F12" s="17">
        <v>193235</v>
      </c>
    </row>
    <row r="13" spans="1:6" ht="15.75" thickBot="1" x14ac:dyDescent="0.3">
      <c r="A13" s="5" t="s">
        <v>133</v>
      </c>
      <c r="B13" s="17">
        <v>22396</v>
      </c>
      <c r="C13" s="17">
        <v>4327</v>
      </c>
      <c r="D13" s="17">
        <v>1497</v>
      </c>
      <c r="E13" s="17">
        <v>1771</v>
      </c>
      <c r="F13" s="17">
        <v>6996</v>
      </c>
    </row>
    <row r="14" spans="1:6" ht="15.75" thickBot="1" x14ac:dyDescent="0.3">
      <c r="A14" s="5" t="s">
        <v>134</v>
      </c>
      <c r="B14" s="6"/>
      <c r="C14" s="6"/>
      <c r="D14" s="6"/>
      <c r="E14" s="6"/>
      <c r="F14" s="6"/>
    </row>
    <row r="15" spans="1:6" ht="15.75" thickBot="1" x14ac:dyDescent="0.3">
      <c r="A15" s="5" t="s">
        <v>135</v>
      </c>
      <c r="B15" s="6"/>
      <c r="C15" s="6"/>
      <c r="D15" s="6"/>
      <c r="E15" s="6"/>
      <c r="F15" s="6"/>
    </row>
    <row r="16" spans="1:6" ht="15.75" thickBot="1" x14ac:dyDescent="0.3">
      <c r="A16" s="5" t="s">
        <v>136</v>
      </c>
      <c r="B16" s="6"/>
      <c r="C16" s="6"/>
      <c r="D16" s="6"/>
      <c r="E16" s="6"/>
      <c r="F16" s="6"/>
    </row>
    <row r="17" spans="1:6" ht="15.75" thickBot="1" x14ac:dyDescent="0.3">
      <c r="A17" s="5" t="s">
        <v>137</v>
      </c>
      <c r="B17" s="17">
        <v>3988</v>
      </c>
      <c r="C17" s="17">
        <v>12975</v>
      </c>
      <c r="D17" s="17">
        <v>2835</v>
      </c>
      <c r="E17" s="17">
        <v>3166</v>
      </c>
      <c r="F17" s="17">
        <v>9101</v>
      </c>
    </row>
    <row r="18" spans="1:6" ht="15.75" thickBot="1" x14ac:dyDescent="0.3">
      <c r="A18" s="5" t="s">
        <v>138</v>
      </c>
      <c r="B18" s="17">
        <v>-2769</v>
      </c>
      <c r="C18" s="17">
        <v>-3720</v>
      </c>
      <c r="D18" s="17">
        <v>-2425</v>
      </c>
      <c r="E18" s="17">
        <v>-1358</v>
      </c>
      <c r="F18" s="17">
        <v>-1570</v>
      </c>
    </row>
    <row r="19" spans="1:6" ht="15.75" thickBot="1" x14ac:dyDescent="0.3">
      <c r="A19" s="5" t="s">
        <v>139</v>
      </c>
      <c r="B19" s="6">
        <v>214</v>
      </c>
      <c r="C19" s="6">
        <v>3</v>
      </c>
      <c r="D19" s="6">
        <v>6</v>
      </c>
      <c r="E19" s="6">
        <v>20</v>
      </c>
      <c r="F19" s="6">
        <v>370</v>
      </c>
    </row>
    <row r="20" spans="1:6" ht="15.75" thickBot="1" x14ac:dyDescent="0.3">
      <c r="A20" s="10" t="s">
        <v>107</v>
      </c>
      <c r="B20" s="16">
        <v>596012</v>
      </c>
      <c r="C20" s="16">
        <v>845644</v>
      </c>
      <c r="D20" s="16">
        <v>1152633</v>
      </c>
      <c r="E20" s="16">
        <v>787955</v>
      </c>
      <c r="F20" s="16">
        <v>1429218</v>
      </c>
    </row>
    <row r="21" spans="1:6" ht="15.75" thickBot="1" x14ac:dyDescent="0.3">
      <c r="A21" s="5" t="s">
        <v>140</v>
      </c>
      <c r="B21" s="17">
        <v>596012</v>
      </c>
      <c r="C21" s="17">
        <v>845644</v>
      </c>
      <c r="D21" s="17">
        <v>1152633</v>
      </c>
      <c r="E21" s="17">
        <v>787955</v>
      </c>
      <c r="F21" s="17">
        <v>1437232</v>
      </c>
    </row>
    <row r="22" spans="1:6" ht="15.75" thickBot="1" x14ac:dyDescent="0.3">
      <c r="A22" s="5" t="s">
        <v>141</v>
      </c>
      <c r="B22" s="6"/>
      <c r="C22" s="6"/>
      <c r="D22" s="6"/>
      <c r="E22" s="6"/>
      <c r="F22" s="17">
        <v>-8014</v>
      </c>
    </row>
    <row r="23" spans="1:6" ht="15.75" thickBot="1" x14ac:dyDescent="0.3">
      <c r="A23" s="10" t="s">
        <v>108</v>
      </c>
      <c r="B23" s="16">
        <v>14733</v>
      </c>
      <c r="C23" s="16">
        <v>34234</v>
      </c>
      <c r="D23" s="16">
        <v>36452</v>
      </c>
      <c r="E23" s="16">
        <v>53717</v>
      </c>
      <c r="F23" s="16">
        <v>67224</v>
      </c>
    </row>
    <row r="24" spans="1:6" ht="15.75" thickBot="1" x14ac:dyDescent="0.3">
      <c r="A24" s="5" t="s">
        <v>142</v>
      </c>
      <c r="B24" s="17">
        <v>11798</v>
      </c>
      <c r="C24" s="17">
        <v>19427</v>
      </c>
      <c r="D24" s="17">
        <v>15578</v>
      </c>
      <c r="E24" s="17">
        <v>32139</v>
      </c>
      <c r="F24" s="17">
        <v>47413</v>
      </c>
    </row>
    <row r="25" spans="1:6" ht="15.75" thickBot="1" x14ac:dyDescent="0.3">
      <c r="A25" s="5" t="s">
        <v>143</v>
      </c>
      <c r="B25" s="17">
        <v>2935</v>
      </c>
      <c r="C25" s="17">
        <v>14807</v>
      </c>
      <c r="D25" s="17">
        <v>20873</v>
      </c>
      <c r="E25" s="17">
        <v>21578</v>
      </c>
      <c r="F25" s="17">
        <v>19811</v>
      </c>
    </row>
    <row r="26" spans="1:6" ht="15.75" thickBot="1" x14ac:dyDescent="0.3">
      <c r="A26" s="5" t="s">
        <v>144</v>
      </c>
      <c r="B26" s="6"/>
      <c r="C26" s="6"/>
      <c r="D26" s="6"/>
      <c r="E26" s="6"/>
      <c r="F26" s="6"/>
    </row>
    <row r="27" spans="1:6" ht="15.75" thickBot="1" x14ac:dyDescent="0.3">
      <c r="A27" s="5" t="s">
        <v>145</v>
      </c>
      <c r="B27" s="6"/>
      <c r="C27" s="6"/>
      <c r="D27" s="6"/>
      <c r="E27" s="6"/>
      <c r="F27" s="6"/>
    </row>
    <row r="28" spans="1:6" ht="15.75" thickBot="1" x14ac:dyDescent="0.3">
      <c r="A28" s="5" t="s">
        <v>146</v>
      </c>
      <c r="B28" s="6"/>
      <c r="C28" s="6"/>
      <c r="D28" s="6"/>
      <c r="E28" s="6"/>
      <c r="F28" s="6"/>
    </row>
    <row r="29" spans="1:6" ht="15.75" thickBot="1" x14ac:dyDescent="0.3">
      <c r="A29" s="8" t="s">
        <v>109</v>
      </c>
      <c r="B29" s="18">
        <v>1703863</v>
      </c>
      <c r="C29" s="18">
        <v>1586955</v>
      </c>
      <c r="D29" s="18">
        <v>1331124</v>
      </c>
      <c r="E29" s="18">
        <v>1119200</v>
      </c>
      <c r="F29" s="18">
        <v>1021748</v>
      </c>
    </row>
    <row r="30" spans="1:6" ht="15.75" thickBot="1" x14ac:dyDescent="0.3">
      <c r="A30" s="10" t="s">
        <v>110</v>
      </c>
      <c r="B30" s="11">
        <v>127</v>
      </c>
      <c r="C30" s="11">
        <v>136</v>
      </c>
      <c r="D30" s="11">
        <v>136</v>
      </c>
      <c r="E30" s="11">
        <v>410</v>
      </c>
      <c r="F30" s="11">
        <v>531</v>
      </c>
    </row>
    <row r="31" spans="1:6" ht="15.75" thickBot="1" x14ac:dyDescent="0.3">
      <c r="A31" s="5" t="s">
        <v>147</v>
      </c>
      <c r="B31" s="6"/>
      <c r="C31" s="6"/>
      <c r="D31" s="6"/>
      <c r="E31" s="6"/>
      <c r="F31" s="6"/>
    </row>
    <row r="32" spans="1:6" ht="15.75" thickBot="1" x14ac:dyDescent="0.3">
      <c r="A32" s="5" t="s">
        <v>148</v>
      </c>
      <c r="B32" s="6"/>
      <c r="C32" s="6"/>
      <c r="D32" s="6"/>
      <c r="E32" s="6"/>
      <c r="F32" s="6"/>
    </row>
    <row r="33" spans="1:8" ht="15.75" thickBot="1" x14ac:dyDescent="0.3">
      <c r="A33" s="5" t="s">
        <v>149</v>
      </c>
      <c r="B33" s="6"/>
      <c r="C33" s="6"/>
      <c r="D33" s="6"/>
      <c r="E33" s="6"/>
      <c r="F33" s="6"/>
    </row>
    <row r="34" spans="1:8" ht="15.75" thickBot="1" x14ac:dyDescent="0.3">
      <c r="A34" s="5" t="s">
        <v>150</v>
      </c>
      <c r="B34" s="6"/>
      <c r="C34" s="6"/>
      <c r="D34" s="6"/>
      <c r="E34" s="6"/>
      <c r="F34" s="6"/>
    </row>
    <row r="35" spans="1:8" ht="15.75" thickBot="1" x14ac:dyDescent="0.3">
      <c r="A35" s="5" t="s">
        <v>151</v>
      </c>
      <c r="B35" s="6"/>
      <c r="C35" s="6"/>
      <c r="D35" s="6"/>
      <c r="E35" s="6"/>
      <c r="F35" s="6"/>
    </row>
    <row r="36" spans="1:8" ht="15.75" thickBot="1" x14ac:dyDescent="0.3">
      <c r="A36" s="5" t="s">
        <v>152</v>
      </c>
      <c r="B36" s="6">
        <v>127</v>
      </c>
      <c r="C36" s="6">
        <v>136</v>
      </c>
      <c r="D36" s="6">
        <v>136</v>
      </c>
      <c r="E36" s="6">
        <v>410</v>
      </c>
      <c r="F36" s="6">
        <v>531</v>
      </c>
    </row>
    <row r="37" spans="1:8" ht="15.75" thickBot="1" x14ac:dyDescent="0.3">
      <c r="A37" s="5" t="s">
        <v>153</v>
      </c>
      <c r="B37" s="6"/>
      <c r="C37" s="6"/>
      <c r="D37" s="6"/>
      <c r="E37" s="6"/>
      <c r="F37" s="6"/>
    </row>
    <row r="38" spans="1:8" ht="15.75" thickBot="1" x14ac:dyDescent="0.3">
      <c r="A38" s="10" t="s">
        <v>111</v>
      </c>
      <c r="B38" s="16">
        <v>1518376</v>
      </c>
      <c r="C38" s="16">
        <v>1516513</v>
      </c>
      <c r="D38" s="16">
        <v>1260483</v>
      </c>
      <c r="E38" s="16">
        <v>1063601</v>
      </c>
      <c r="F38" s="16">
        <v>975467</v>
      </c>
    </row>
    <row r="39" spans="1:8" ht="15.75" thickBot="1" x14ac:dyDescent="0.3">
      <c r="A39" s="5" t="s">
        <v>154</v>
      </c>
      <c r="B39" s="17">
        <v>1503406</v>
      </c>
      <c r="C39" s="17">
        <v>1511653</v>
      </c>
      <c r="D39" s="17">
        <v>1256330</v>
      </c>
      <c r="E39" s="17">
        <v>1058688</v>
      </c>
      <c r="F39" s="17">
        <v>969110</v>
      </c>
    </row>
    <row r="40" spans="1:8" ht="15.75" thickBot="1" x14ac:dyDescent="0.3">
      <c r="A40" s="5" t="s">
        <v>265</v>
      </c>
      <c r="B40" s="17">
        <v>2916881</v>
      </c>
      <c r="C40" s="17">
        <v>3195286</v>
      </c>
      <c r="D40" s="17">
        <v>3212875</v>
      </c>
      <c r="E40" s="17">
        <v>3224665</v>
      </c>
      <c r="F40" s="17">
        <v>3237791</v>
      </c>
    </row>
    <row r="41" spans="1:8" ht="15.75" thickBot="1" x14ac:dyDescent="0.3">
      <c r="A41" s="5" t="s">
        <v>266</v>
      </c>
      <c r="B41" s="17">
        <v>-1413475</v>
      </c>
      <c r="C41" s="17">
        <v>-1683634</v>
      </c>
      <c r="D41" s="17">
        <v>-1956544</v>
      </c>
      <c r="E41" s="17">
        <v>-2165977</v>
      </c>
      <c r="F41" s="17">
        <v>-2268680</v>
      </c>
      <c r="H41" s="51"/>
    </row>
    <row r="42" spans="1:8" ht="15.75" thickBot="1" x14ac:dyDescent="0.3">
      <c r="A42" s="5" t="s">
        <v>155</v>
      </c>
      <c r="B42" s="6"/>
      <c r="C42" s="6"/>
      <c r="D42" s="6"/>
      <c r="E42" s="17">
        <v>1468</v>
      </c>
      <c r="F42" s="17">
        <v>3619</v>
      </c>
    </row>
    <row r="43" spans="1:8" ht="15.75" thickBot="1" x14ac:dyDescent="0.3">
      <c r="A43" s="5" t="s">
        <v>265</v>
      </c>
      <c r="B43" s="6"/>
      <c r="C43" s="6"/>
      <c r="D43" s="6"/>
      <c r="E43" s="17">
        <v>1678</v>
      </c>
      <c r="F43" s="17">
        <v>4143</v>
      </c>
    </row>
    <row r="44" spans="1:8" ht="15.75" thickBot="1" x14ac:dyDescent="0.3">
      <c r="A44" s="5" t="s">
        <v>266</v>
      </c>
      <c r="B44" s="6"/>
      <c r="C44" s="6"/>
      <c r="D44" s="6"/>
      <c r="E44" s="6">
        <v>-210</v>
      </c>
      <c r="F44" s="6">
        <v>-524</v>
      </c>
      <c r="H44" s="51"/>
    </row>
    <row r="45" spans="1:8" ht="15.75" thickBot="1" x14ac:dyDescent="0.3">
      <c r="A45" s="5" t="s">
        <v>156</v>
      </c>
      <c r="B45" s="17">
        <v>14971</v>
      </c>
      <c r="C45" s="17">
        <v>4860</v>
      </c>
      <c r="D45" s="17">
        <v>4153</v>
      </c>
      <c r="E45" s="17">
        <v>3445</v>
      </c>
      <c r="F45" s="17">
        <v>2738</v>
      </c>
    </row>
    <row r="46" spans="1:8" ht="15.75" thickBot="1" x14ac:dyDescent="0.3">
      <c r="A46" s="5" t="s">
        <v>265</v>
      </c>
      <c r="B46" s="17">
        <v>19262</v>
      </c>
      <c r="C46" s="17">
        <v>9594</v>
      </c>
      <c r="D46" s="17">
        <v>9594</v>
      </c>
      <c r="E46" s="17">
        <v>9594</v>
      </c>
      <c r="F46" s="17">
        <v>9594</v>
      </c>
    </row>
    <row r="47" spans="1:8" ht="15.75" thickBot="1" x14ac:dyDescent="0.3">
      <c r="A47" s="5" t="s">
        <v>266</v>
      </c>
      <c r="B47" s="17">
        <v>-4292</v>
      </c>
      <c r="C47" s="17">
        <v>-4733</v>
      </c>
      <c r="D47" s="17">
        <v>-5441</v>
      </c>
      <c r="E47" s="17">
        <v>-6149</v>
      </c>
      <c r="F47" s="17">
        <v>-6856</v>
      </c>
      <c r="H47" s="51"/>
    </row>
    <row r="48" spans="1:8" ht="15.75" thickBot="1" x14ac:dyDescent="0.3">
      <c r="A48" s="10" t="s">
        <v>112</v>
      </c>
      <c r="B48" s="11"/>
      <c r="C48" s="11"/>
      <c r="D48" s="11"/>
      <c r="E48" s="11"/>
      <c r="F48" s="11"/>
    </row>
    <row r="49" spans="1:6" ht="15.75" thickBot="1" x14ac:dyDescent="0.3">
      <c r="A49" s="5" t="s">
        <v>157</v>
      </c>
      <c r="B49" s="6"/>
      <c r="C49" s="6"/>
      <c r="D49" s="6"/>
      <c r="E49" s="6"/>
      <c r="F49" s="6"/>
    </row>
    <row r="50" spans="1:6" ht="15.75" thickBot="1" x14ac:dyDescent="0.3">
      <c r="A50" s="5" t="s">
        <v>158</v>
      </c>
      <c r="B50" s="6"/>
      <c r="C50" s="6"/>
      <c r="D50" s="6"/>
      <c r="E50" s="6"/>
      <c r="F50" s="6"/>
    </row>
    <row r="51" spans="1:6" ht="15.75" thickBot="1" x14ac:dyDescent="0.3">
      <c r="A51" s="10" t="s">
        <v>113</v>
      </c>
      <c r="B51" s="16">
        <v>131371</v>
      </c>
      <c r="C51" s="11">
        <v>432</v>
      </c>
      <c r="D51" s="11">
        <v>97</v>
      </c>
      <c r="E51" s="11">
        <v>87</v>
      </c>
      <c r="F51" s="11">
        <v>235</v>
      </c>
    </row>
    <row r="52" spans="1:6" ht="15.75" thickBot="1" x14ac:dyDescent="0.3">
      <c r="A52" s="5" t="s">
        <v>159</v>
      </c>
      <c r="B52" s="6"/>
      <c r="C52" s="6"/>
      <c r="D52" s="6"/>
      <c r="E52" s="6"/>
      <c r="F52" s="6"/>
    </row>
    <row r="53" spans="1:6" ht="15.75" thickBot="1" x14ac:dyDescent="0.3">
      <c r="A53" s="5" t="s">
        <v>160</v>
      </c>
      <c r="B53" s="17">
        <v>131371</v>
      </c>
      <c r="C53" s="6">
        <v>432</v>
      </c>
      <c r="D53" s="6">
        <v>97</v>
      </c>
      <c r="E53" s="6">
        <v>87</v>
      </c>
      <c r="F53" s="6">
        <v>235</v>
      </c>
    </row>
    <row r="54" spans="1:6" ht="15.75" thickBot="1" x14ac:dyDescent="0.3">
      <c r="A54" s="10" t="s">
        <v>114</v>
      </c>
      <c r="B54" s="16">
        <v>4103</v>
      </c>
      <c r="C54" s="16">
        <v>3923</v>
      </c>
      <c r="D54" s="16">
        <v>3061</v>
      </c>
      <c r="E54" s="16">
        <v>3850</v>
      </c>
      <c r="F54" s="16">
        <v>4139</v>
      </c>
    </row>
    <row r="55" spans="1:6" ht="15.75" thickBot="1" x14ac:dyDescent="0.3">
      <c r="A55" s="5" t="s">
        <v>161</v>
      </c>
      <c r="B55" s="6"/>
      <c r="C55" s="6"/>
      <c r="D55" s="6"/>
      <c r="E55" s="6"/>
      <c r="F55" s="6"/>
    </row>
    <row r="56" spans="1:6" ht="15.75" thickBot="1" x14ac:dyDescent="0.3">
      <c r="A56" s="5" t="s">
        <v>162</v>
      </c>
      <c r="B56" s="6"/>
      <c r="C56" s="6"/>
      <c r="D56" s="6"/>
      <c r="E56" s="6"/>
      <c r="F56" s="6"/>
    </row>
    <row r="57" spans="1:6" ht="15.75" thickBot="1" x14ac:dyDescent="0.3">
      <c r="A57" s="5" t="s">
        <v>163</v>
      </c>
      <c r="B57" s="17">
        <v>6070</v>
      </c>
      <c r="C57" s="17">
        <v>6070</v>
      </c>
      <c r="D57" s="17">
        <v>6070</v>
      </c>
      <c r="E57" s="17">
        <v>6070</v>
      </c>
      <c r="F57" s="17">
        <v>6070</v>
      </c>
    </row>
    <row r="58" spans="1:6" ht="15.75" thickBot="1" x14ac:dyDescent="0.3">
      <c r="A58" s="5" t="s">
        <v>164</v>
      </c>
      <c r="B58" s="17">
        <v>-1967</v>
      </c>
      <c r="C58" s="17">
        <v>-2147</v>
      </c>
      <c r="D58" s="17">
        <v>-3009</v>
      </c>
      <c r="E58" s="17">
        <v>-2220</v>
      </c>
      <c r="F58" s="17">
        <v>-1931</v>
      </c>
    </row>
    <row r="59" spans="1:6" ht="15.75" thickBot="1" x14ac:dyDescent="0.3">
      <c r="A59" s="5" t="s">
        <v>165</v>
      </c>
      <c r="B59" s="6"/>
      <c r="C59" s="6"/>
      <c r="D59" s="6"/>
      <c r="E59" s="6"/>
      <c r="F59" s="6"/>
    </row>
    <row r="60" spans="1:6" ht="15.75" thickBot="1" x14ac:dyDescent="0.3">
      <c r="A60" s="5" t="s">
        <v>166</v>
      </c>
      <c r="B60" s="6"/>
      <c r="C60" s="6"/>
      <c r="D60" s="6"/>
      <c r="E60" s="6"/>
      <c r="F60" s="6"/>
    </row>
    <row r="61" spans="1:6" ht="15.75" thickBot="1" x14ac:dyDescent="0.3">
      <c r="A61" s="10" t="s">
        <v>115</v>
      </c>
      <c r="B61" s="16">
        <v>49886</v>
      </c>
      <c r="C61" s="16">
        <v>65951</v>
      </c>
      <c r="D61" s="16">
        <v>67346</v>
      </c>
      <c r="E61" s="16">
        <v>51252</v>
      </c>
      <c r="F61" s="16">
        <v>41376</v>
      </c>
    </row>
    <row r="62" spans="1:6" ht="15.75" thickBot="1" x14ac:dyDescent="0.3">
      <c r="A62" s="5" t="s">
        <v>167</v>
      </c>
      <c r="B62" s="17">
        <v>49886</v>
      </c>
      <c r="C62" s="17">
        <v>65951</v>
      </c>
      <c r="D62" s="17">
        <v>67346</v>
      </c>
      <c r="E62" s="17">
        <v>51252</v>
      </c>
      <c r="F62" s="17">
        <v>41376</v>
      </c>
    </row>
    <row r="63" spans="1:6" ht="15.75" thickBot="1" x14ac:dyDescent="0.3">
      <c r="A63" s="5" t="s">
        <v>168</v>
      </c>
      <c r="B63" s="6"/>
      <c r="C63" s="6"/>
      <c r="D63" s="6"/>
      <c r="E63" s="6"/>
      <c r="F63" s="6"/>
    </row>
    <row r="64" spans="1:6" ht="15.75" thickBot="1" x14ac:dyDescent="0.3">
      <c r="A64" s="5" t="s">
        <v>169</v>
      </c>
      <c r="B64" s="6"/>
      <c r="C64" s="6"/>
      <c r="D64" s="6"/>
      <c r="E64" s="6"/>
      <c r="F64" s="6"/>
    </row>
    <row r="65" spans="1:6" ht="15.75" thickBot="1" x14ac:dyDescent="0.3">
      <c r="A65" s="5" t="s">
        <v>170</v>
      </c>
      <c r="B65" s="6"/>
      <c r="C65" s="6"/>
      <c r="D65" s="6"/>
      <c r="E65" s="6"/>
      <c r="F65" s="6"/>
    </row>
    <row r="66" spans="1:6" ht="15.75" thickBot="1" x14ac:dyDescent="0.3">
      <c r="A66" s="10" t="s">
        <v>116</v>
      </c>
      <c r="B66" s="11"/>
      <c r="C66" s="11"/>
      <c r="D66" s="11"/>
      <c r="E66" s="11"/>
      <c r="F66" s="11"/>
    </row>
    <row r="67" spans="1:6" ht="15.75" thickBot="1" x14ac:dyDescent="0.3">
      <c r="A67" s="8" t="s">
        <v>117</v>
      </c>
      <c r="B67" s="18">
        <v>2794307</v>
      </c>
      <c r="C67" s="18">
        <v>2832651</v>
      </c>
      <c r="D67" s="18">
        <v>2708281</v>
      </c>
      <c r="E67" s="18">
        <v>2430710</v>
      </c>
      <c r="F67" s="18">
        <v>3135943</v>
      </c>
    </row>
    <row r="68" spans="1:6" ht="15.75" thickBot="1" x14ac:dyDescent="0.3">
      <c r="A68" s="8" t="s">
        <v>118</v>
      </c>
      <c r="B68" s="9"/>
      <c r="C68" s="9"/>
      <c r="D68" s="9"/>
      <c r="E68" s="9"/>
      <c r="F68" s="9"/>
    </row>
    <row r="69" spans="1:6" ht="15.75" thickBot="1" x14ac:dyDescent="0.3">
      <c r="A69" s="8" t="s">
        <v>119</v>
      </c>
      <c r="B69" s="18">
        <v>1267518</v>
      </c>
      <c r="C69" s="18">
        <v>1307498</v>
      </c>
      <c r="D69" s="18">
        <v>1076190</v>
      </c>
      <c r="E69" s="18">
        <v>743417</v>
      </c>
      <c r="F69" s="18">
        <v>1362013</v>
      </c>
    </row>
    <row r="70" spans="1:6" ht="15.75" thickBot="1" x14ac:dyDescent="0.3">
      <c r="A70" s="10" t="s">
        <v>120</v>
      </c>
      <c r="B70" s="16">
        <v>858514</v>
      </c>
      <c r="C70" s="16">
        <v>1062362</v>
      </c>
      <c r="D70" s="16">
        <v>927105</v>
      </c>
      <c r="E70" s="16">
        <v>742184</v>
      </c>
      <c r="F70" s="16">
        <v>1359993</v>
      </c>
    </row>
    <row r="71" spans="1:6" ht="15.75" thickBot="1" x14ac:dyDescent="0.3">
      <c r="A71" s="5" t="s">
        <v>171</v>
      </c>
      <c r="B71" s="17">
        <v>205391</v>
      </c>
      <c r="C71" s="17">
        <v>243484</v>
      </c>
      <c r="D71" s="17">
        <v>223062</v>
      </c>
      <c r="E71" s="17">
        <v>224126</v>
      </c>
      <c r="F71" s="17">
        <v>406181</v>
      </c>
    </row>
    <row r="72" spans="1:6" ht="15.75" thickBot="1" x14ac:dyDescent="0.3">
      <c r="A72" s="5" t="s">
        <v>172</v>
      </c>
      <c r="B72" s="17">
        <v>42081</v>
      </c>
      <c r="C72" s="17">
        <v>27462</v>
      </c>
      <c r="D72" s="17">
        <v>45418</v>
      </c>
      <c r="E72" s="17">
        <v>62012</v>
      </c>
      <c r="F72" s="17">
        <v>142186</v>
      </c>
    </row>
    <row r="73" spans="1:6" ht="15.75" thickBot="1" x14ac:dyDescent="0.3">
      <c r="A73" s="5" t="s">
        <v>173</v>
      </c>
      <c r="B73" s="17">
        <v>15871</v>
      </c>
      <c r="C73" s="17">
        <v>9626</v>
      </c>
      <c r="D73" s="17">
        <v>28354</v>
      </c>
      <c r="E73" s="17">
        <v>28464</v>
      </c>
      <c r="F73" s="17">
        <v>12359</v>
      </c>
    </row>
    <row r="74" spans="1:6" ht="15.75" thickBot="1" x14ac:dyDescent="0.3">
      <c r="A74" s="5" t="s">
        <v>174</v>
      </c>
      <c r="B74" s="17">
        <v>31677</v>
      </c>
      <c r="C74" s="17">
        <v>52086</v>
      </c>
      <c r="D74" s="17">
        <v>81953</v>
      </c>
      <c r="E74" s="17">
        <v>100699</v>
      </c>
      <c r="F74" s="17">
        <v>137703</v>
      </c>
    </row>
    <row r="75" spans="1:6" ht="15.75" thickBot="1" x14ac:dyDescent="0.3">
      <c r="A75" s="5" t="s">
        <v>175</v>
      </c>
      <c r="B75" s="17">
        <v>10198</v>
      </c>
      <c r="C75" s="17">
        <v>7153</v>
      </c>
      <c r="D75" s="17">
        <v>4554</v>
      </c>
      <c r="E75" s="17">
        <v>1005</v>
      </c>
      <c r="F75" s="17">
        <v>4976</v>
      </c>
    </row>
    <row r="76" spans="1:6" ht="15.75" thickBot="1" x14ac:dyDescent="0.3">
      <c r="A76" s="5" t="s">
        <v>176</v>
      </c>
      <c r="B76" s="6"/>
      <c r="C76" s="6"/>
      <c r="D76" s="6"/>
      <c r="E76" s="6"/>
      <c r="F76" s="6"/>
    </row>
    <row r="77" spans="1:6" ht="15.75" thickBot="1" x14ac:dyDescent="0.3">
      <c r="A77" s="5" t="s">
        <v>177</v>
      </c>
      <c r="B77" s="6"/>
      <c r="C77" s="6"/>
      <c r="D77" s="6"/>
      <c r="E77" s="6"/>
      <c r="F77" s="6"/>
    </row>
    <row r="78" spans="1:6" ht="15.75" thickBot="1" x14ac:dyDescent="0.3">
      <c r="A78" s="5" t="s">
        <v>178</v>
      </c>
      <c r="B78" s="6">
        <v>127</v>
      </c>
      <c r="C78" s="6">
        <v>134</v>
      </c>
      <c r="D78" s="6">
        <v>153</v>
      </c>
      <c r="E78" s="6">
        <v>161</v>
      </c>
      <c r="F78" s="6">
        <v>169</v>
      </c>
    </row>
    <row r="79" spans="1:6" ht="15.75" thickBot="1" x14ac:dyDescent="0.3">
      <c r="A79" s="5" t="s">
        <v>179</v>
      </c>
      <c r="B79" s="17">
        <v>4849</v>
      </c>
      <c r="C79" s="17">
        <v>5490</v>
      </c>
      <c r="D79" s="17">
        <v>2708</v>
      </c>
      <c r="E79" s="17">
        <v>2025</v>
      </c>
      <c r="F79" s="17">
        <v>63506</v>
      </c>
    </row>
    <row r="80" spans="1:6" ht="15.75" thickBot="1" x14ac:dyDescent="0.3">
      <c r="A80" s="5" t="s">
        <v>180</v>
      </c>
      <c r="B80" s="17">
        <v>525457</v>
      </c>
      <c r="C80" s="17">
        <v>706640</v>
      </c>
      <c r="D80" s="17">
        <v>531967</v>
      </c>
      <c r="E80" s="17">
        <v>305544</v>
      </c>
      <c r="F80" s="17">
        <v>572218</v>
      </c>
    </row>
    <row r="81" spans="1:6" ht="15.75" thickBot="1" x14ac:dyDescent="0.3">
      <c r="A81" s="5" t="s">
        <v>181</v>
      </c>
      <c r="B81" s="6"/>
      <c r="C81" s="6"/>
      <c r="D81" s="6"/>
      <c r="E81" s="6"/>
      <c r="F81" s="17">
        <v>4548</v>
      </c>
    </row>
    <row r="82" spans="1:6" ht="15.75" thickBot="1" x14ac:dyDescent="0.3">
      <c r="A82" s="5" t="s">
        <v>182</v>
      </c>
      <c r="B82" s="17">
        <v>22864</v>
      </c>
      <c r="C82" s="17">
        <v>10286</v>
      </c>
      <c r="D82" s="17">
        <v>8936</v>
      </c>
      <c r="E82" s="17">
        <v>18148</v>
      </c>
      <c r="F82" s="17">
        <v>16148</v>
      </c>
    </row>
    <row r="83" spans="1:6" ht="15.75" thickBot="1" x14ac:dyDescent="0.3">
      <c r="A83" s="5" t="s">
        <v>183</v>
      </c>
      <c r="B83" s="6"/>
      <c r="C83" s="6"/>
      <c r="D83" s="6"/>
      <c r="E83" s="6"/>
      <c r="F83" s="6"/>
    </row>
    <row r="84" spans="1:6" ht="15.75" thickBot="1" x14ac:dyDescent="0.3">
      <c r="A84" s="5" t="s">
        <v>184</v>
      </c>
      <c r="B84" s="6"/>
      <c r="C84" s="6"/>
      <c r="D84" s="6"/>
      <c r="E84" s="6"/>
      <c r="F84" s="6"/>
    </row>
    <row r="85" spans="1:6" ht="15.75" thickBot="1" x14ac:dyDescent="0.3">
      <c r="A85" s="10" t="s">
        <v>121</v>
      </c>
      <c r="B85" s="16">
        <v>409004</v>
      </c>
      <c r="C85" s="16">
        <v>245136</v>
      </c>
      <c r="D85" s="16">
        <v>149085</v>
      </c>
      <c r="E85" s="16">
        <v>1232</v>
      </c>
      <c r="F85" s="16">
        <v>2020</v>
      </c>
    </row>
    <row r="86" spans="1:6" ht="15.75" thickBot="1" x14ac:dyDescent="0.3">
      <c r="A86" s="5" t="s">
        <v>185</v>
      </c>
      <c r="B86" s="6"/>
      <c r="C86" s="6"/>
      <c r="D86" s="6"/>
      <c r="E86" s="6"/>
      <c r="F86" s="6"/>
    </row>
    <row r="87" spans="1:6" ht="15.75" thickBot="1" x14ac:dyDescent="0.3">
      <c r="A87" s="5" t="s">
        <v>186</v>
      </c>
      <c r="B87" s="6"/>
      <c r="C87" s="6"/>
      <c r="D87" s="6"/>
      <c r="E87" s="6"/>
      <c r="F87" s="6"/>
    </row>
    <row r="88" spans="1:6" ht="15.75" thickBot="1" x14ac:dyDescent="0.3">
      <c r="A88" s="5" t="s">
        <v>187</v>
      </c>
      <c r="B88" s="6"/>
      <c r="C88" s="6"/>
      <c r="D88" s="6"/>
      <c r="E88" s="6"/>
      <c r="F88" s="6"/>
    </row>
    <row r="89" spans="1:6" ht="15.75" thickBot="1" x14ac:dyDescent="0.3">
      <c r="A89" s="5" t="s">
        <v>188</v>
      </c>
      <c r="B89" s="6"/>
      <c r="C89" s="6"/>
      <c r="D89" s="6"/>
      <c r="E89" s="6"/>
      <c r="F89" s="6"/>
    </row>
    <row r="90" spans="1:6" ht="15.75" thickBot="1" x14ac:dyDescent="0.3">
      <c r="A90" s="5" t="s">
        <v>189</v>
      </c>
      <c r="B90" s="6"/>
      <c r="C90" s="6"/>
      <c r="D90" s="6"/>
      <c r="E90" s="6"/>
      <c r="F90" s="6"/>
    </row>
    <row r="91" spans="1:6" ht="15.75" thickBot="1" x14ac:dyDescent="0.3">
      <c r="A91" s="5" t="s">
        <v>190</v>
      </c>
      <c r="B91" s="6"/>
      <c r="C91" s="6"/>
      <c r="D91" s="6"/>
      <c r="E91" s="6"/>
      <c r="F91" s="6"/>
    </row>
    <row r="92" spans="1:6" ht="15.75" thickBot="1" x14ac:dyDescent="0.3">
      <c r="A92" s="5" t="s">
        <v>191</v>
      </c>
      <c r="B92" s="6">
        <v>420</v>
      </c>
      <c r="C92" s="6">
        <v>420</v>
      </c>
      <c r="D92" s="6">
        <v>420</v>
      </c>
      <c r="E92" s="6">
        <v>420</v>
      </c>
      <c r="F92" s="6">
        <v>420</v>
      </c>
    </row>
    <row r="93" spans="1:6" ht="15.75" thickBot="1" x14ac:dyDescent="0.3">
      <c r="A93" s="5" t="s">
        <v>192</v>
      </c>
      <c r="B93" s="17">
        <v>408584</v>
      </c>
      <c r="C93" s="17">
        <v>244716</v>
      </c>
      <c r="D93" s="17">
        <v>148665</v>
      </c>
      <c r="E93" s="6">
        <v>812</v>
      </c>
      <c r="F93" s="17">
        <v>1600</v>
      </c>
    </row>
    <row r="94" spans="1:6" ht="15.75" thickBot="1" x14ac:dyDescent="0.3">
      <c r="A94" s="5" t="s">
        <v>193</v>
      </c>
      <c r="B94" s="6"/>
      <c r="C94" s="6"/>
      <c r="D94" s="6"/>
      <c r="E94" s="6"/>
      <c r="F94" s="6"/>
    </row>
    <row r="95" spans="1:6" ht="15.75" thickBot="1" x14ac:dyDescent="0.3">
      <c r="A95" s="5" t="s">
        <v>194</v>
      </c>
      <c r="B95" s="6"/>
      <c r="C95" s="6"/>
      <c r="D95" s="6"/>
      <c r="E95" s="6"/>
      <c r="F95" s="6"/>
    </row>
    <row r="96" spans="1:6" ht="15.75" thickBot="1" x14ac:dyDescent="0.3">
      <c r="A96" s="5" t="s">
        <v>195</v>
      </c>
      <c r="B96" s="6"/>
      <c r="C96" s="6"/>
      <c r="D96" s="6"/>
      <c r="E96" s="6"/>
      <c r="F96" s="6"/>
    </row>
    <row r="97" spans="1:6" ht="15.75" thickBot="1" x14ac:dyDescent="0.3">
      <c r="A97" s="5" t="s">
        <v>196</v>
      </c>
      <c r="B97" s="6"/>
      <c r="C97" s="6"/>
      <c r="D97" s="6"/>
      <c r="E97" s="6"/>
      <c r="F97" s="6"/>
    </row>
    <row r="98" spans="1:6" ht="15.75" thickBot="1" x14ac:dyDescent="0.3">
      <c r="A98" s="5" t="s">
        <v>197</v>
      </c>
      <c r="B98" s="6"/>
      <c r="C98" s="6"/>
      <c r="D98" s="6"/>
      <c r="E98" s="6"/>
      <c r="F98" s="6"/>
    </row>
    <row r="99" spans="1:6" ht="15.75" thickBot="1" x14ac:dyDescent="0.3">
      <c r="A99" s="5" t="s">
        <v>198</v>
      </c>
      <c r="B99" s="6"/>
      <c r="C99" s="6"/>
      <c r="D99" s="6"/>
      <c r="E99" s="6"/>
      <c r="F99" s="6"/>
    </row>
    <row r="100" spans="1:6" ht="15.75" thickBot="1" x14ac:dyDescent="0.3">
      <c r="A100" s="8" t="s">
        <v>122</v>
      </c>
      <c r="B100" s="18">
        <v>1526789</v>
      </c>
      <c r="C100" s="18">
        <v>1525152</v>
      </c>
      <c r="D100" s="18">
        <v>1632091</v>
      </c>
      <c r="E100" s="18">
        <v>1687293</v>
      </c>
      <c r="F100" s="18">
        <v>1773930</v>
      </c>
    </row>
    <row r="101" spans="1:6" ht="15.75" thickBot="1" x14ac:dyDescent="0.3">
      <c r="A101" s="10" t="s">
        <v>123</v>
      </c>
      <c r="B101" s="16">
        <v>1526789</v>
      </c>
      <c r="C101" s="16">
        <v>1525152</v>
      </c>
      <c r="D101" s="16">
        <v>1632091</v>
      </c>
      <c r="E101" s="16">
        <v>1687293</v>
      </c>
      <c r="F101" s="16">
        <v>1773930</v>
      </c>
    </row>
    <row r="102" spans="1:6" ht="15.75" thickBot="1" x14ac:dyDescent="0.3">
      <c r="A102" s="5" t="s">
        <v>199</v>
      </c>
      <c r="B102" s="17">
        <v>1187926</v>
      </c>
      <c r="C102" s="17">
        <v>1187926</v>
      </c>
      <c r="D102" s="17">
        <v>1187926</v>
      </c>
      <c r="E102" s="17">
        <v>1187926</v>
      </c>
      <c r="F102" s="17">
        <v>1187926</v>
      </c>
    </row>
    <row r="103" spans="1:6" ht="15.75" thickBot="1" x14ac:dyDescent="0.3">
      <c r="A103" s="5" t="s">
        <v>267</v>
      </c>
      <c r="B103" s="17">
        <v>1187926</v>
      </c>
      <c r="C103" s="17">
        <v>1187926</v>
      </c>
      <c r="D103" s="17">
        <v>1187926</v>
      </c>
      <c r="E103" s="17">
        <v>1187926</v>
      </c>
      <c r="F103" s="17">
        <v>1187926</v>
      </c>
    </row>
    <row r="104" spans="1:6" ht="15.75" thickBot="1" x14ac:dyDescent="0.3">
      <c r="A104" s="5" t="s">
        <v>268</v>
      </c>
      <c r="B104" s="6"/>
      <c r="C104" s="6"/>
      <c r="D104" s="6"/>
      <c r="E104" s="6"/>
      <c r="F104" s="6"/>
    </row>
    <row r="105" spans="1:6" ht="15.75" thickBot="1" x14ac:dyDescent="0.3">
      <c r="A105" s="5" t="s">
        <v>200</v>
      </c>
      <c r="B105" s="6"/>
      <c r="C105" s="6"/>
      <c r="D105" s="6"/>
      <c r="E105" s="6"/>
      <c r="F105" s="6"/>
    </row>
    <row r="106" spans="1:6" ht="15.75" thickBot="1" x14ac:dyDescent="0.3">
      <c r="A106" s="5" t="s">
        <v>201</v>
      </c>
      <c r="B106" s="6"/>
      <c r="C106" s="6"/>
      <c r="D106" s="6"/>
      <c r="E106" s="6"/>
      <c r="F106" s="6"/>
    </row>
    <row r="107" spans="1:6" ht="15.75" thickBot="1" x14ac:dyDescent="0.3">
      <c r="A107" s="5" t="s">
        <v>202</v>
      </c>
      <c r="B107" s="6"/>
      <c r="C107" s="6"/>
      <c r="D107" s="6"/>
      <c r="E107" s="6"/>
      <c r="F107" s="6"/>
    </row>
    <row r="108" spans="1:6" ht="15.75" thickBot="1" x14ac:dyDescent="0.3">
      <c r="A108" s="5" t="s">
        <v>203</v>
      </c>
      <c r="B108" s="6"/>
      <c r="C108" s="6"/>
      <c r="D108" s="6"/>
      <c r="E108" s="6"/>
      <c r="F108" s="6"/>
    </row>
    <row r="109" spans="1:6" ht="15.75" thickBot="1" x14ac:dyDescent="0.3">
      <c r="A109" s="5" t="s">
        <v>204</v>
      </c>
      <c r="B109" s="6"/>
      <c r="C109" s="6"/>
      <c r="D109" s="6"/>
      <c r="E109" s="6"/>
      <c r="F109" s="6"/>
    </row>
    <row r="110" spans="1:6" ht="15.75" thickBot="1" x14ac:dyDescent="0.3">
      <c r="A110" s="5" t="s">
        <v>205</v>
      </c>
      <c r="B110" s="6"/>
      <c r="C110" s="6"/>
      <c r="D110" s="6"/>
      <c r="E110" s="6"/>
      <c r="F110" s="6"/>
    </row>
    <row r="111" spans="1:6" ht="15.75" thickBot="1" x14ac:dyDescent="0.3">
      <c r="A111" s="5" t="s">
        <v>206</v>
      </c>
      <c r="B111" s="17">
        <v>176361</v>
      </c>
      <c r="C111" s="17">
        <v>201266</v>
      </c>
      <c r="D111" s="17">
        <v>222408</v>
      </c>
      <c r="E111" s="17">
        <v>272513</v>
      </c>
      <c r="F111" s="17">
        <v>323777</v>
      </c>
    </row>
    <row r="112" spans="1:6" ht="15.75" thickBot="1" x14ac:dyDescent="0.3">
      <c r="A112" s="5" t="s">
        <v>207</v>
      </c>
      <c r="B112" s="6"/>
      <c r="C112" s="6"/>
      <c r="D112" s="6"/>
      <c r="E112" s="6"/>
      <c r="F112" s="6"/>
    </row>
    <row r="113" spans="1:6" ht="15.75" thickBot="1" x14ac:dyDescent="0.3">
      <c r="A113" s="5" t="s">
        <v>208</v>
      </c>
      <c r="B113" s="17">
        <v>20751</v>
      </c>
      <c r="C113" s="17">
        <v>20751</v>
      </c>
      <c r="D113" s="17">
        <v>20751</v>
      </c>
      <c r="E113" s="17">
        <v>20751</v>
      </c>
      <c r="F113" s="17">
        <v>20751</v>
      </c>
    </row>
    <row r="114" spans="1:6" ht="15.75" thickBot="1" x14ac:dyDescent="0.3">
      <c r="A114" s="5" t="s">
        <v>209</v>
      </c>
      <c r="B114" s="17">
        <v>141751</v>
      </c>
      <c r="C114" s="17">
        <v>115210</v>
      </c>
      <c r="D114" s="17">
        <v>201006</v>
      </c>
      <c r="E114" s="17">
        <v>206103</v>
      </c>
      <c r="F114" s="17">
        <v>241477</v>
      </c>
    </row>
    <row r="115" spans="1:6" ht="15.75" thickBot="1" x14ac:dyDescent="0.3">
      <c r="A115" s="5" t="s">
        <v>269</v>
      </c>
      <c r="B115" s="17">
        <v>35116</v>
      </c>
      <c r="C115" s="17">
        <v>9898</v>
      </c>
      <c r="D115" s="17">
        <v>9876</v>
      </c>
      <c r="E115" s="17">
        <v>9182</v>
      </c>
      <c r="F115" s="17">
        <v>10045</v>
      </c>
    </row>
    <row r="116" spans="1:6" ht="15.75" thickBot="1" x14ac:dyDescent="0.3">
      <c r="A116" s="5" t="s">
        <v>270</v>
      </c>
      <c r="B116" s="17">
        <v>106635</v>
      </c>
      <c r="C116" s="17">
        <v>105311</v>
      </c>
      <c r="D116" s="17">
        <v>191130</v>
      </c>
      <c r="E116" s="17">
        <v>196920</v>
      </c>
      <c r="F116" s="17">
        <v>231432</v>
      </c>
    </row>
    <row r="117" spans="1:6" ht="15.75" thickBot="1" x14ac:dyDescent="0.3">
      <c r="A117" s="5" t="s">
        <v>210</v>
      </c>
      <c r="B117" s="6"/>
      <c r="C117" s="6"/>
      <c r="D117" s="6"/>
      <c r="E117" s="6"/>
      <c r="F117" s="6"/>
    </row>
    <row r="118" spans="1:6" ht="15.75" thickBot="1" x14ac:dyDescent="0.3">
      <c r="A118" s="5" t="s">
        <v>211</v>
      </c>
      <c r="B118" s="6"/>
      <c r="C118" s="6"/>
      <c r="D118" s="6"/>
      <c r="E118" s="6"/>
      <c r="F118" s="6"/>
    </row>
    <row r="119" spans="1:6" ht="15.75" thickBot="1" x14ac:dyDescent="0.3">
      <c r="A119" s="5" t="s">
        <v>212</v>
      </c>
      <c r="B119" s="6"/>
      <c r="C119" s="6"/>
      <c r="D119" s="6"/>
      <c r="E119" s="6"/>
      <c r="F119" s="6"/>
    </row>
    <row r="120" spans="1:6" ht="15.75" thickBot="1" x14ac:dyDescent="0.3">
      <c r="A120" s="10" t="s">
        <v>124</v>
      </c>
      <c r="B120" s="11"/>
      <c r="C120" s="11"/>
      <c r="D120" s="11"/>
      <c r="E120" s="11"/>
      <c r="F120" s="11"/>
    </row>
    <row r="121" spans="1:6" ht="15.75" thickBot="1" x14ac:dyDescent="0.3">
      <c r="A121" s="5" t="s">
        <v>213</v>
      </c>
      <c r="B121" s="6"/>
      <c r="C121" s="6"/>
      <c r="D121" s="6"/>
      <c r="E121" s="6"/>
      <c r="F121" s="6"/>
    </row>
    <row r="122" spans="1:6" ht="15.75" thickBot="1" x14ac:dyDescent="0.3">
      <c r="A122" s="5" t="s">
        <v>214</v>
      </c>
      <c r="B122" s="6"/>
      <c r="C122" s="6"/>
      <c r="D122" s="6"/>
      <c r="E122" s="6"/>
      <c r="F122" s="6"/>
    </row>
    <row r="123" spans="1:6" ht="15.75" thickBot="1" x14ac:dyDescent="0.3">
      <c r="A123" s="8" t="s">
        <v>125</v>
      </c>
      <c r="B123" s="9"/>
      <c r="C123" s="9"/>
      <c r="D123" s="9"/>
      <c r="E123" s="9"/>
      <c r="F123" s="9"/>
    </row>
    <row r="124" spans="1:6" x14ac:dyDescent="0.25">
      <c r="A124" s="8" t="s">
        <v>126</v>
      </c>
      <c r="B124" s="18">
        <v>2794307</v>
      </c>
      <c r="C124" s="18">
        <v>2832651</v>
      </c>
      <c r="D124" s="18">
        <v>2708281</v>
      </c>
      <c r="E124" s="18">
        <v>2430710</v>
      </c>
      <c r="F124" s="18">
        <v>3135943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69A-1B25-428D-B5C9-116EDA00095A}">
  <sheetPr>
    <tabColor theme="4" tint="0.79998168889431442"/>
  </sheetPr>
  <dimension ref="A1:F36"/>
  <sheetViews>
    <sheetView showGridLines="0" workbookViewId="0">
      <selection activeCell="F32" sqref="F32"/>
    </sheetView>
  </sheetViews>
  <sheetFormatPr defaultRowHeight="15" x14ac:dyDescent="0.25"/>
  <cols>
    <col min="1" max="1" width="87.5703125" customWidth="1"/>
    <col min="2" max="6" width="18.42578125" customWidth="1"/>
  </cols>
  <sheetData>
    <row r="1" spans="1:6" ht="15.75" thickBot="1" x14ac:dyDescent="0.3">
      <c r="A1" s="1" t="s">
        <v>319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239</v>
      </c>
      <c r="B2" s="11"/>
      <c r="C2" s="11"/>
      <c r="D2" s="11"/>
      <c r="E2" s="11"/>
      <c r="F2" s="11"/>
    </row>
    <row r="3" spans="1:6" ht="15.75" thickBot="1" x14ac:dyDescent="0.3">
      <c r="A3" s="5" t="s">
        <v>320</v>
      </c>
      <c r="B3" s="17">
        <v>3919213</v>
      </c>
      <c r="C3" s="17">
        <v>3808724</v>
      </c>
      <c r="D3" s="17">
        <v>4211229</v>
      </c>
      <c r="E3" s="17">
        <v>3816525</v>
      </c>
      <c r="F3" s="17">
        <v>4354188</v>
      </c>
    </row>
    <row r="4" spans="1:6" ht="15.75" thickBot="1" x14ac:dyDescent="0.3">
      <c r="A4" s="5" t="s">
        <v>321</v>
      </c>
      <c r="B4" s="17">
        <v>-2782585</v>
      </c>
      <c r="C4" s="17">
        <v>-3091150</v>
      </c>
      <c r="D4" s="17">
        <v>-3312416</v>
      </c>
      <c r="E4" s="17">
        <v>-2462859</v>
      </c>
      <c r="F4" s="17">
        <v>-4196444</v>
      </c>
    </row>
    <row r="5" spans="1:6" ht="15.75" thickBot="1" x14ac:dyDescent="0.3">
      <c r="A5" s="5" t="s">
        <v>322</v>
      </c>
      <c r="B5" s="17">
        <v>-250829</v>
      </c>
      <c r="C5" s="17">
        <v>-194131</v>
      </c>
      <c r="D5" s="17">
        <v>-254564</v>
      </c>
      <c r="E5" s="17">
        <v>-270736</v>
      </c>
      <c r="F5" s="17">
        <v>-281343</v>
      </c>
    </row>
    <row r="6" spans="1:6" ht="15.75" thickBot="1" x14ac:dyDescent="0.3">
      <c r="A6" s="5" t="s">
        <v>323</v>
      </c>
      <c r="B6" s="17">
        <v>-41730</v>
      </c>
      <c r="C6" s="17">
        <v>-49239</v>
      </c>
      <c r="D6" s="17">
        <v>-40933</v>
      </c>
      <c r="E6" s="17">
        <v>-20530</v>
      </c>
      <c r="F6" s="17">
        <v>-9004</v>
      </c>
    </row>
    <row r="7" spans="1:6" ht="15.75" thickBot="1" x14ac:dyDescent="0.3">
      <c r="A7" s="5" t="s">
        <v>324</v>
      </c>
      <c r="B7" s="17">
        <v>-81907</v>
      </c>
      <c r="C7" s="17">
        <v>-42322</v>
      </c>
      <c r="D7" s="17">
        <v>-44248</v>
      </c>
      <c r="E7" s="17">
        <v>-64233</v>
      </c>
      <c r="F7" s="17">
        <v>-88520</v>
      </c>
    </row>
    <row r="8" spans="1:6" ht="15.75" thickBot="1" x14ac:dyDescent="0.3">
      <c r="A8" s="5" t="s">
        <v>325</v>
      </c>
      <c r="B8" s="17">
        <v>39185</v>
      </c>
      <c r="C8" s="17">
        <v>63686</v>
      </c>
      <c r="D8" s="17">
        <v>65673</v>
      </c>
      <c r="E8" s="17">
        <v>35074</v>
      </c>
      <c r="F8" s="17">
        <v>329326</v>
      </c>
    </row>
    <row r="9" spans="1:6" ht="15.75" thickBot="1" x14ac:dyDescent="0.3">
      <c r="A9" s="5" t="s">
        <v>326</v>
      </c>
      <c r="B9" s="17">
        <v>-268103</v>
      </c>
      <c r="C9" s="17">
        <v>-269253</v>
      </c>
      <c r="D9" s="17">
        <v>-218763</v>
      </c>
      <c r="E9" s="17">
        <v>-180250</v>
      </c>
      <c r="F9" s="17">
        <v>-176016</v>
      </c>
    </row>
    <row r="10" spans="1:6" ht="15.75" thickBot="1" x14ac:dyDescent="0.3">
      <c r="A10" s="8" t="s">
        <v>327</v>
      </c>
      <c r="B10" s="18">
        <v>533243</v>
      </c>
      <c r="C10" s="18">
        <v>226315</v>
      </c>
      <c r="D10" s="18">
        <v>405979</v>
      </c>
      <c r="E10" s="18">
        <v>852990</v>
      </c>
      <c r="F10" s="18">
        <v>-67813</v>
      </c>
    </row>
    <row r="11" spans="1:6" ht="15.75" thickBot="1" x14ac:dyDescent="0.3">
      <c r="A11" s="10" t="s">
        <v>241</v>
      </c>
      <c r="B11" s="11"/>
      <c r="C11" s="11"/>
      <c r="D11" s="11"/>
      <c r="E11" s="11"/>
      <c r="F11" s="11"/>
    </row>
    <row r="12" spans="1:6" ht="15.75" thickBot="1" x14ac:dyDescent="0.3">
      <c r="A12" s="5" t="s">
        <v>328</v>
      </c>
      <c r="B12" s="17">
        <v>-333436</v>
      </c>
      <c r="C12" s="17">
        <v>-148263</v>
      </c>
      <c r="D12" s="17">
        <v>-15830</v>
      </c>
      <c r="E12" s="17">
        <v>-9147</v>
      </c>
      <c r="F12" s="17">
        <v>-10470</v>
      </c>
    </row>
    <row r="13" spans="1:6" ht="15.75" thickBot="1" x14ac:dyDescent="0.3">
      <c r="A13" s="5" t="s">
        <v>329</v>
      </c>
      <c r="B13" s="6">
        <v>233</v>
      </c>
      <c r="C13" s="17">
        <v>14036</v>
      </c>
      <c r="D13" s="6">
        <v>206</v>
      </c>
      <c r="E13" s="6"/>
      <c r="F13" s="6">
        <v>2</v>
      </c>
    </row>
    <row r="14" spans="1:6" ht="15.75" thickBot="1" x14ac:dyDescent="0.3">
      <c r="A14" s="5" t="s">
        <v>242</v>
      </c>
      <c r="B14" s="6"/>
      <c r="C14" s="6"/>
      <c r="D14" s="6"/>
      <c r="E14" s="17">
        <v>-234000</v>
      </c>
      <c r="F14" s="17">
        <v>-480000</v>
      </c>
    </row>
    <row r="15" spans="1:6" ht="15.75" thickBot="1" x14ac:dyDescent="0.3">
      <c r="A15" s="5" t="s">
        <v>330</v>
      </c>
      <c r="B15" s="6"/>
      <c r="C15" s="6"/>
      <c r="D15" s="6"/>
      <c r="E15" s="17">
        <v>84000</v>
      </c>
      <c r="F15" s="17">
        <v>310000</v>
      </c>
    </row>
    <row r="16" spans="1:6" ht="15.75" thickBot="1" x14ac:dyDescent="0.3">
      <c r="A16" s="5" t="s">
        <v>331</v>
      </c>
      <c r="B16" s="6"/>
      <c r="C16" s="6"/>
      <c r="D16" s="6"/>
      <c r="E16" s="6"/>
      <c r="F16" s="6"/>
    </row>
    <row r="17" spans="1:6" ht="15.75" thickBot="1" x14ac:dyDescent="0.3">
      <c r="A17" s="5" t="s">
        <v>332</v>
      </c>
      <c r="B17" s="6"/>
      <c r="C17" s="6"/>
      <c r="D17" s="6"/>
      <c r="E17" s="6"/>
      <c r="F17" s="6"/>
    </row>
    <row r="18" spans="1:6" ht="15.75" thickBot="1" x14ac:dyDescent="0.3">
      <c r="A18" s="5" t="s">
        <v>333</v>
      </c>
      <c r="B18" s="17">
        <v>1011</v>
      </c>
      <c r="C18" s="17">
        <v>2669</v>
      </c>
      <c r="D18" s="17">
        <v>1653</v>
      </c>
      <c r="E18" s="17">
        <v>3682</v>
      </c>
      <c r="F18" s="17">
        <v>7022</v>
      </c>
    </row>
    <row r="19" spans="1:6" ht="15.75" thickBot="1" x14ac:dyDescent="0.3">
      <c r="A19" s="5" t="s">
        <v>334</v>
      </c>
      <c r="B19" s="6"/>
      <c r="C19" s="6"/>
      <c r="D19" s="6"/>
      <c r="E19" s="6"/>
      <c r="F19" s="6"/>
    </row>
    <row r="20" spans="1:6" ht="15.75" thickBot="1" x14ac:dyDescent="0.3">
      <c r="A20" s="5" t="s">
        <v>335</v>
      </c>
      <c r="B20" s="6"/>
      <c r="C20" s="6"/>
      <c r="D20" s="6"/>
      <c r="E20" s="6"/>
      <c r="F20" s="6"/>
    </row>
    <row r="21" spans="1:6" ht="15.75" thickBot="1" x14ac:dyDescent="0.3">
      <c r="A21" s="8" t="s">
        <v>336</v>
      </c>
      <c r="B21" s="18">
        <v>-332192</v>
      </c>
      <c r="C21" s="18">
        <v>-131558</v>
      </c>
      <c r="D21" s="18">
        <v>-13971</v>
      </c>
      <c r="E21" s="18">
        <v>-155465</v>
      </c>
      <c r="F21" s="18">
        <v>-173447</v>
      </c>
    </row>
    <row r="22" spans="1:6" ht="15.75" thickBot="1" x14ac:dyDescent="0.3">
      <c r="A22" s="10" t="s">
        <v>243</v>
      </c>
      <c r="B22" s="11"/>
      <c r="C22" s="11"/>
      <c r="D22" s="11"/>
      <c r="E22" s="11"/>
      <c r="F22" s="11"/>
    </row>
    <row r="23" spans="1:6" ht="15.75" thickBot="1" x14ac:dyDescent="0.3">
      <c r="A23" s="5" t="s">
        <v>337</v>
      </c>
      <c r="B23" s="6"/>
      <c r="C23" s="6"/>
      <c r="D23" s="6"/>
      <c r="E23" s="6"/>
      <c r="F23" s="6"/>
    </row>
    <row r="24" spans="1:6" ht="15.75" thickBot="1" x14ac:dyDescent="0.3">
      <c r="A24" s="5" t="s">
        <v>338</v>
      </c>
      <c r="B24" s="6"/>
      <c r="C24" s="6"/>
      <c r="D24" s="6"/>
      <c r="E24" s="6"/>
      <c r="F24" s="6"/>
    </row>
    <row r="25" spans="1:6" ht="15.75" thickBot="1" x14ac:dyDescent="0.3">
      <c r="A25" s="5" t="s">
        <v>244</v>
      </c>
      <c r="B25" s="17">
        <v>3125863</v>
      </c>
      <c r="C25" s="17">
        <v>3174869</v>
      </c>
      <c r="D25" s="17">
        <v>3335030</v>
      </c>
      <c r="E25" s="17">
        <v>2447666</v>
      </c>
      <c r="F25" s="17">
        <v>4004215</v>
      </c>
    </row>
    <row r="26" spans="1:6" ht="15.75" thickBot="1" x14ac:dyDescent="0.3">
      <c r="A26" s="5" t="s">
        <v>339</v>
      </c>
      <c r="B26" s="17">
        <v>-3096660</v>
      </c>
      <c r="C26" s="17">
        <v>-3155131</v>
      </c>
      <c r="D26" s="17">
        <v>-3601537</v>
      </c>
      <c r="E26" s="17">
        <v>-2823494</v>
      </c>
      <c r="F26" s="17">
        <v>-3742916</v>
      </c>
    </row>
    <row r="27" spans="1:6" ht="15.75" thickBot="1" x14ac:dyDescent="0.3">
      <c r="A27" s="5" t="s">
        <v>245</v>
      </c>
      <c r="B27" s="6"/>
      <c r="C27" s="6"/>
      <c r="D27" s="6"/>
      <c r="E27" s="6">
        <v>-406</v>
      </c>
      <c r="F27" s="6">
        <v>-670</v>
      </c>
    </row>
    <row r="28" spans="1:6" ht="15.75" thickBot="1" x14ac:dyDescent="0.3">
      <c r="A28" s="5" t="s">
        <v>340</v>
      </c>
      <c r="B28" s="17">
        <v>-213827</v>
      </c>
      <c r="C28" s="17">
        <v>-130672</v>
      </c>
      <c r="D28" s="17">
        <v>-130672</v>
      </c>
      <c r="E28" s="17">
        <v>-178189</v>
      </c>
      <c r="F28" s="17">
        <v>-118793</v>
      </c>
    </row>
    <row r="29" spans="1:6" ht="15.75" thickBot="1" x14ac:dyDescent="0.3">
      <c r="A29" s="5" t="s">
        <v>246</v>
      </c>
      <c r="B29" s="6"/>
      <c r="C29" s="6"/>
      <c r="D29" s="6"/>
      <c r="E29" s="6"/>
      <c r="F29" s="6"/>
    </row>
    <row r="30" spans="1:6" ht="15.75" thickBot="1" x14ac:dyDescent="0.3">
      <c r="A30" s="5" t="s">
        <v>247</v>
      </c>
      <c r="B30" s="6"/>
      <c r="C30" s="6"/>
      <c r="D30" s="6"/>
      <c r="E30" s="6"/>
      <c r="F30" s="6"/>
    </row>
    <row r="31" spans="1:6" ht="15.75" thickBot="1" x14ac:dyDescent="0.3">
      <c r="A31" s="8" t="s">
        <v>341</v>
      </c>
      <c r="B31" s="18">
        <v>-184623</v>
      </c>
      <c r="C31" s="18">
        <v>-110934</v>
      </c>
      <c r="D31" s="18">
        <v>-397179</v>
      </c>
      <c r="E31" s="18">
        <v>-554423</v>
      </c>
      <c r="F31" s="18">
        <v>141837</v>
      </c>
    </row>
    <row r="32" spans="1:6" ht="15.75" thickBot="1" x14ac:dyDescent="0.3">
      <c r="A32" s="10" t="s">
        <v>248</v>
      </c>
      <c r="B32" s="16">
        <v>16429</v>
      </c>
      <c r="C32" s="16">
        <v>-16177</v>
      </c>
      <c r="D32" s="16">
        <v>-5171</v>
      </c>
      <c r="E32" s="16">
        <v>143102</v>
      </c>
      <c r="F32" s="16">
        <v>-99423</v>
      </c>
    </row>
    <row r="33" spans="1:6" ht="15.75" thickBot="1" x14ac:dyDescent="0.3">
      <c r="A33" s="10" t="s">
        <v>249</v>
      </c>
      <c r="B33" s="16">
        <v>50834</v>
      </c>
      <c r="C33" s="16">
        <v>67220</v>
      </c>
      <c r="D33" s="16">
        <v>50924</v>
      </c>
      <c r="E33" s="16">
        <v>45705</v>
      </c>
      <c r="F33" s="16">
        <v>188810</v>
      </c>
    </row>
    <row r="34" spans="1:6" ht="15.75" thickBot="1" x14ac:dyDescent="0.3">
      <c r="A34" s="5" t="s">
        <v>250</v>
      </c>
      <c r="B34" s="6">
        <v>-42</v>
      </c>
      <c r="C34" s="6">
        <v>-120</v>
      </c>
      <c r="D34" s="6">
        <v>-47</v>
      </c>
      <c r="E34" s="6">
        <v>4</v>
      </c>
      <c r="F34" s="6">
        <v>234</v>
      </c>
    </row>
    <row r="35" spans="1:6" ht="15.75" thickBot="1" x14ac:dyDescent="0.3">
      <c r="A35" s="10" t="s">
        <v>251</v>
      </c>
      <c r="B35" s="16">
        <v>67220</v>
      </c>
      <c r="C35" s="16">
        <v>50924</v>
      </c>
      <c r="D35" s="16">
        <v>45705</v>
      </c>
      <c r="E35" s="16">
        <v>188810</v>
      </c>
      <c r="F35" s="16">
        <v>89621</v>
      </c>
    </row>
    <row r="36" spans="1:6" x14ac:dyDescent="0.25">
      <c r="A36" s="12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028-2A3B-4391-BA15-4FFE7C701624}">
  <sheetPr>
    <tabColor theme="4" tint="0.79998168889431442"/>
  </sheetPr>
  <dimension ref="A1:F25"/>
  <sheetViews>
    <sheetView showGridLines="0" workbookViewId="0">
      <selection activeCell="F13" sqref="F13"/>
    </sheetView>
  </sheetViews>
  <sheetFormatPr defaultRowHeight="15" x14ac:dyDescent="0.25"/>
  <cols>
    <col min="1" max="1" width="55.28515625" bestFit="1" customWidth="1"/>
    <col min="2" max="6" width="13.42578125" customWidth="1"/>
  </cols>
  <sheetData>
    <row r="1" spans="1:6" ht="15.75" thickBot="1" x14ac:dyDescent="0.3">
      <c r="A1" s="1" t="s">
        <v>319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215</v>
      </c>
      <c r="B2" s="16">
        <v>3831010</v>
      </c>
      <c r="C2" s="16">
        <v>3749144</v>
      </c>
      <c r="D2" s="16">
        <v>4036960</v>
      </c>
      <c r="E2" s="16">
        <v>3818765</v>
      </c>
      <c r="F2" s="16">
        <v>4635525</v>
      </c>
    </row>
    <row r="3" spans="1:6" ht="15.75" thickBot="1" x14ac:dyDescent="0.3">
      <c r="A3" s="5" t="s">
        <v>216</v>
      </c>
      <c r="B3" s="17">
        <v>161839</v>
      </c>
      <c r="C3" s="17">
        <v>198046</v>
      </c>
      <c r="D3" s="17">
        <v>178852</v>
      </c>
      <c r="E3" s="17">
        <v>172124</v>
      </c>
      <c r="F3" s="17">
        <v>256007</v>
      </c>
    </row>
    <row r="4" spans="1:6" ht="15.75" thickBot="1" x14ac:dyDescent="0.3">
      <c r="A4" s="10" t="s">
        <v>217</v>
      </c>
      <c r="B4" s="16">
        <v>3669171</v>
      </c>
      <c r="C4" s="16">
        <v>3551098</v>
      </c>
      <c r="D4" s="16">
        <v>3858107</v>
      </c>
      <c r="E4" s="16">
        <v>3646641</v>
      </c>
      <c r="F4" s="16">
        <v>4379518</v>
      </c>
    </row>
    <row r="5" spans="1:6" ht="15.75" thickBot="1" x14ac:dyDescent="0.3">
      <c r="A5" s="5" t="s">
        <v>218</v>
      </c>
      <c r="B5" s="17">
        <v>3211663</v>
      </c>
      <c r="C5" s="17">
        <v>3120380</v>
      </c>
      <c r="D5" s="17">
        <v>3286729</v>
      </c>
      <c r="E5" s="17">
        <v>3047253</v>
      </c>
      <c r="F5" s="17">
        <v>3632392</v>
      </c>
    </row>
    <row r="6" spans="1:6" ht="15.75" thickBot="1" x14ac:dyDescent="0.3">
      <c r="A6" s="10" t="s">
        <v>219</v>
      </c>
      <c r="B6" s="16">
        <v>457507</v>
      </c>
      <c r="C6" s="16">
        <v>430717</v>
      </c>
      <c r="D6" s="16">
        <v>571378</v>
      </c>
      <c r="E6" s="16">
        <v>599388</v>
      </c>
      <c r="F6" s="16">
        <v>747126</v>
      </c>
    </row>
    <row r="7" spans="1:6" ht="15.75" thickBot="1" x14ac:dyDescent="0.3">
      <c r="A7" s="5" t="s">
        <v>220</v>
      </c>
      <c r="B7" s="17">
        <v>8043</v>
      </c>
      <c r="C7" s="17">
        <v>11602</v>
      </c>
      <c r="D7" s="17">
        <v>11738</v>
      </c>
      <c r="E7" s="17">
        <v>18033</v>
      </c>
      <c r="F7" s="17">
        <v>37189</v>
      </c>
    </row>
    <row r="8" spans="1:6" ht="15.75" thickBot="1" x14ac:dyDescent="0.3">
      <c r="A8" s="5" t="s">
        <v>221</v>
      </c>
      <c r="B8" s="17">
        <v>73658</v>
      </c>
      <c r="C8" s="17">
        <v>98186</v>
      </c>
      <c r="D8" s="17">
        <v>82130</v>
      </c>
      <c r="E8" s="17">
        <v>67881</v>
      </c>
      <c r="F8" s="17">
        <v>51018</v>
      </c>
    </row>
    <row r="9" spans="1:6" ht="15.75" thickBot="1" x14ac:dyDescent="0.3">
      <c r="A9" s="5" t="s">
        <v>222</v>
      </c>
      <c r="B9" s="17">
        <v>41844</v>
      </c>
      <c r="C9" s="17">
        <v>49465</v>
      </c>
      <c r="D9" s="17">
        <v>40480</v>
      </c>
      <c r="E9" s="17">
        <v>20189</v>
      </c>
      <c r="F9" s="17">
        <v>9235</v>
      </c>
    </row>
    <row r="10" spans="1:6" ht="15.75" thickBot="1" x14ac:dyDescent="0.3">
      <c r="A10" s="5" t="s">
        <v>223</v>
      </c>
      <c r="B10" s="6"/>
      <c r="C10" s="6"/>
      <c r="D10" s="6"/>
      <c r="E10" s="6"/>
      <c r="F10" s="6"/>
    </row>
    <row r="11" spans="1:6" ht="15.75" thickBot="1" x14ac:dyDescent="0.3">
      <c r="A11" s="5" t="s">
        <v>224</v>
      </c>
      <c r="B11" s="17">
        <v>118374</v>
      </c>
      <c r="C11" s="17">
        <v>112775</v>
      </c>
      <c r="D11" s="17">
        <v>127153</v>
      </c>
      <c r="E11" s="17">
        <v>165425</v>
      </c>
      <c r="F11" s="17">
        <v>303044</v>
      </c>
    </row>
    <row r="12" spans="1:6" ht="15.75" thickBot="1" x14ac:dyDescent="0.3">
      <c r="A12" s="5" t="s">
        <v>225</v>
      </c>
      <c r="B12" s="17">
        <v>66274</v>
      </c>
      <c r="C12" s="17">
        <v>54101</v>
      </c>
      <c r="D12" s="17">
        <v>61437</v>
      </c>
      <c r="E12" s="17">
        <v>62019</v>
      </c>
      <c r="F12" s="17">
        <v>65133</v>
      </c>
    </row>
    <row r="13" spans="1:6" ht="15.75" thickBot="1" x14ac:dyDescent="0.3">
      <c r="A13" s="10" t="s">
        <v>226</v>
      </c>
      <c r="B13" s="16">
        <v>207244</v>
      </c>
      <c r="C13" s="16">
        <v>177258</v>
      </c>
      <c r="D13" s="16">
        <v>312396</v>
      </c>
      <c r="E13" s="16">
        <v>322096</v>
      </c>
      <c r="F13" s="16">
        <v>365120</v>
      </c>
    </row>
    <row r="14" spans="1:6" ht="15.75" thickBot="1" x14ac:dyDescent="0.3">
      <c r="A14" s="5" t="s">
        <v>227</v>
      </c>
      <c r="B14" s="6">
        <v>539</v>
      </c>
      <c r="C14" s="17">
        <v>4473</v>
      </c>
      <c r="D14" s="6">
        <v>794</v>
      </c>
      <c r="E14" s="6">
        <v>68</v>
      </c>
      <c r="F14" s="6">
        <v>38</v>
      </c>
    </row>
    <row r="15" spans="1:6" ht="15.75" thickBot="1" x14ac:dyDescent="0.3">
      <c r="A15" s="5" t="s">
        <v>228</v>
      </c>
      <c r="B15" s="6">
        <v>60</v>
      </c>
      <c r="C15" s="17">
        <v>4275</v>
      </c>
      <c r="D15" s="6">
        <v>36</v>
      </c>
      <c r="E15" s="17">
        <v>1636</v>
      </c>
      <c r="F15" s="17">
        <v>1036</v>
      </c>
    </row>
    <row r="16" spans="1:6" ht="15.75" thickBot="1" x14ac:dyDescent="0.3">
      <c r="A16" s="10" t="s">
        <v>229</v>
      </c>
      <c r="B16" s="11">
        <v>479</v>
      </c>
      <c r="C16" s="11">
        <v>197</v>
      </c>
      <c r="D16" s="11">
        <v>758</v>
      </c>
      <c r="E16" s="16">
        <v>-1568</v>
      </c>
      <c r="F16" s="11">
        <v>-998</v>
      </c>
    </row>
    <row r="17" spans="1:6" ht="15.75" thickBot="1" x14ac:dyDescent="0.3">
      <c r="A17" s="10" t="s">
        <v>230</v>
      </c>
      <c r="B17" s="11"/>
      <c r="C17" s="11"/>
      <c r="D17" s="11"/>
      <c r="E17" s="11"/>
      <c r="F17" s="11"/>
    </row>
    <row r="18" spans="1:6" ht="15.75" thickBot="1" x14ac:dyDescent="0.3">
      <c r="A18" s="10" t="s">
        <v>231</v>
      </c>
      <c r="B18" s="16">
        <v>207723</v>
      </c>
      <c r="C18" s="16">
        <v>177456</v>
      </c>
      <c r="D18" s="16">
        <v>313154</v>
      </c>
      <c r="E18" s="16">
        <v>320528</v>
      </c>
      <c r="F18" s="16">
        <v>364122</v>
      </c>
    </row>
    <row r="19" spans="1:6" ht="15.75" thickBot="1" x14ac:dyDescent="0.3">
      <c r="A19" s="5" t="s">
        <v>232</v>
      </c>
      <c r="B19" s="17">
        <v>41692</v>
      </c>
      <c r="C19" s="17">
        <v>36507</v>
      </c>
      <c r="D19" s="17">
        <v>62627</v>
      </c>
      <c r="E19" s="17">
        <v>64211</v>
      </c>
      <c r="F19" s="17">
        <v>73294</v>
      </c>
    </row>
    <row r="20" spans="1:6" ht="15.75" thickBot="1" x14ac:dyDescent="0.3">
      <c r="A20" s="5" t="s">
        <v>233</v>
      </c>
      <c r="B20" s="6"/>
      <c r="C20" s="6"/>
      <c r="D20" s="6"/>
      <c r="E20" s="6"/>
      <c r="F20" s="6"/>
    </row>
    <row r="21" spans="1:6" ht="15.75" thickBot="1" x14ac:dyDescent="0.3">
      <c r="A21" s="10" t="s">
        <v>234</v>
      </c>
      <c r="B21" s="16">
        <v>166032</v>
      </c>
      <c r="C21" s="16">
        <v>140949</v>
      </c>
      <c r="D21" s="16">
        <v>250526</v>
      </c>
      <c r="E21" s="16">
        <v>256317</v>
      </c>
      <c r="F21" s="16">
        <v>290828</v>
      </c>
    </row>
    <row r="22" spans="1:6" ht="15.75" thickBot="1" x14ac:dyDescent="0.3">
      <c r="A22" s="5" t="s">
        <v>235</v>
      </c>
      <c r="B22" s="6"/>
      <c r="C22" s="6"/>
      <c r="D22" s="6"/>
      <c r="E22" s="6"/>
      <c r="F22" s="6"/>
    </row>
    <row r="23" spans="1:6" ht="15.75" thickBot="1" x14ac:dyDescent="0.3">
      <c r="A23" s="5" t="s">
        <v>236</v>
      </c>
      <c r="B23" s="17">
        <v>166032</v>
      </c>
      <c r="C23" s="17">
        <v>140949</v>
      </c>
      <c r="D23" s="17">
        <v>250526</v>
      </c>
      <c r="E23" s="17">
        <v>256317</v>
      </c>
      <c r="F23" s="17">
        <v>290828</v>
      </c>
    </row>
    <row r="24" spans="1:6" ht="15.75" thickBot="1" x14ac:dyDescent="0.3">
      <c r="A24" s="5" t="s">
        <v>237</v>
      </c>
      <c r="B24" s="17">
        <v>1398</v>
      </c>
      <c r="C24" s="17">
        <v>1187</v>
      </c>
      <c r="D24" s="17">
        <v>2109</v>
      </c>
      <c r="E24" s="17">
        <v>2158</v>
      </c>
      <c r="F24" s="17">
        <v>2448</v>
      </c>
    </row>
    <row r="25" spans="1:6" x14ac:dyDescent="0.25">
      <c r="A25" s="5" t="s">
        <v>238</v>
      </c>
      <c r="B25" s="6"/>
      <c r="C25" s="17">
        <v>1187</v>
      </c>
      <c r="D25" s="6"/>
      <c r="E25" s="6"/>
      <c r="F25" s="17">
        <v>2448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BA-8EF5-4E4A-9B9F-B43DC6A1706B}">
  <sheetPr>
    <tabColor theme="7" tint="0.79998168889431442"/>
  </sheetPr>
  <dimension ref="A2:O83"/>
  <sheetViews>
    <sheetView showGridLines="0" tabSelected="1" zoomScale="115" zoomScaleNormal="115" workbookViewId="0">
      <selection activeCell="H11" sqref="H11"/>
    </sheetView>
  </sheetViews>
  <sheetFormatPr defaultRowHeight="14.25" outlineLevelRow="1" x14ac:dyDescent="0.2"/>
  <cols>
    <col min="1" max="1" width="4.7109375" style="13" customWidth="1"/>
    <col min="2" max="2" width="9.140625" style="13"/>
    <col min="3" max="3" width="11.85546875" style="13" bestFit="1" customWidth="1"/>
    <col min="4" max="4" width="10.7109375" style="13" customWidth="1"/>
    <col min="5" max="15" width="14.140625" style="13" customWidth="1"/>
    <col min="16" max="16384" width="9.140625" style="13"/>
  </cols>
  <sheetData>
    <row r="2" spans="1:15" ht="23.25" x14ac:dyDescent="0.35">
      <c r="B2" s="47" t="s">
        <v>318</v>
      </c>
    </row>
    <row r="4" spans="1:15" x14ac:dyDescent="0.2">
      <c r="A4" s="13" t="s">
        <v>254</v>
      </c>
      <c r="B4" s="13" t="s">
        <v>252</v>
      </c>
      <c r="C4" s="20" t="s">
        <v>319</v>
      </c>
      <c r="F4" s="13" t="s">
        <v>306</v>
      </c>
      <c r="H4" s="21">
        <f ca="1">O83</f>
        <v>39.880748446931463</v>
      </c>
    </row>
    <row r="5" spans="1:15" x14ac:dyDescent="0.2">
      <c r="B5" s="13" t="s">
        <v>253</v>
      </c>
      <c r="C5" s="22">
        <f ca="1">TODAY()</f>
        <v>44746</v>
      </c>
      <c r="F5" s="13" t="s">
        <v>307</v>
      </c>
      <c r="H5" s="21">
        <v>27.5</v>
      </c>
    </row>
    <row r="7" spans="1:15" ht="15" x14ac:dyDescent="0.25">
      <c r="A7" s="13" t="s">
        <v>254</v>
      </c>
      <c r="B7" s="23" t="s">
        <v>255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15" x14ac:dyDescent="0.25">
      <c r="B8" s="14" t="s">
        <v>286</v>
      </c>
      <c r="F8" s="14" t="s">
        <v>282</v>
      </c>
      <c r="I8" s="14" t="s">
        <v>283</v>
      </c>
      <c r="L8" s="14" t="s">
        <v>284</v>
      </c>
    </row>
    <row r="9" spans="1:15" x14ac:dyDescent="0.2">
      <c r="B9" s="13" t="s">
        <v>287</v>
      </c>
      <c r="D9" s="62">
        <v>2</v>
      </c>
      <c r="F9" s="13" t="s">
        <v>293</v>
      </c>
      <c r="G9" s="60">
        <v>0.1</v>
      </c>
      <c r="I9" s="13" t="s">
        <v>293</v>
      </c>
      <c r="J9" s="60">
        <v>0.11</v>
      </c>
      <c r="L9" s="13" t="s">
        <v>293</v>
      </c>
      <c r="M9" s="60">
        <v>0.12</v>
      </c>
    </row>
    <row r="10" spans="1:15" x14ac:dyDescent="0.2">
      <c r="B10" s="13" t="s">
        <v>288</v>
      </c>
      <c r="D10" s="62">
        <v>2</v>
      </c>
      <c r="F10" s="13" t="s">
        <v>292</v>
      </c>
      <c r="G10" s="60">
        <v>7.0000000000000007E-2</v>
      </c>
      <c r="I10" s="13" t="s">
        <v>292</v>
      </c>
      <c r="J10" s="60">
        <v>0.08</v>
      </c>
      <c r="L10" s="13" t="s">
        <v>292</v>
      </c>
      <c r="M10" s="60">
        <v>0.09</v>
      </c>
    </row>
    <row r="11" spans="1:15" x14ac:dyDescent="0.2">
      <c r="B11" s="13" t="s">
        <v>274</v>
      </c>
      <c r="D11" s="62">
        <v>2</v>
      </c>
      <c r="F11" s="13" t="s">
        <v>294</v>
      </c>
      <c r="G11" s="61">
        <f>J11-1.5%</f>
        <v>6.5000000000000002E-2</v>
      </c>
      <c r="I11" s="13" t="s">
        <v>294</v>
      </c>
      <c r="J11" s="60">
        <v>0.08</v>
      </c>
      <c r="L11" s="13" t="s">
        <v>294</v>
      </c>
      <c r="M11" s="60">
        <f>J11+1.5%</f>
        <v>9.5000000000000001E-2</v>
      </c>
    </row>
    <row r="12" spans="1:15" x14ac:dyDescent="0.2">
      <c r="D12" s="63"/>
      <c r="F12" s="13" t="s">
        <v>295</v>
      </c>
      <c r="G12" s="61">
        <v>7.4999999999999997E-2</v>
      </c>
      <c r="I12" s="13" t="s">
        <v>295</v>
      </c>
      <c r="J12" s="60">
        <v>8.5000000000000006E-2</v>
      </c>
      <c r="L12" s="13" t="s">
        <v>295</v>
      </c>
      <c r="M12" s="60">
        <f>J12+1%</f>
        <v>9.5000000000000001E-2</v>
      </c>
    </row>
    <row r="13" spans="1:15" x14ac:dyDescent="0.2">
      <c r="B13" s="13" t="s">
        <v>289</v>
      </c>
      <c r="D13" s="62">
        <v>2</v>
      </c>
      <c r="G13" s="49"/>
      <c r="I13" s="13" t="s">
        <v>263</v>
      </c>
      <c r="J13" s="60">
        <v>0.19</v>
      </c>
      <c r="M13" s="49"/>
    </row>
    <row r="14" spans="1:15" x14ac:dyDescent="0.2">
      <c r="B14" s="13" t="s">
        <v>290</v>
      </c>
      <c r="D14" s="62">
        <v>2</v>
      </c>
      <c r="G14" s="49"/>
      <c r="I14" s="13" t="s">
        <v>271</v>
      </c>
      <c r="J14" s="60">
        <v>0.02</v>
      </c>
      <c r="M14" s="49"/>
    </row>
    <row r="15" spans="1:15" x14ac:dyDescent="0.2">
      <c r="F15" s="13" t="s">
        <v>352</v>
      </c>
      <c r="G15" s="60">
        <f>J15+0.2%</f>
        <v>2.1999999999999999E-2</v>
      </c>
      <c r="I15" s="13" t="s">
        <v>352</v>
      </c>
      <c r="J15" s="60">
        <v>0.02</v>
      </c>
      <c r="L15" s="13" t="s">
        <v>352</v>
      </c>
      <c r="M15" s="60">
        <f>J15-0.2%</f>
        <v>1.8000000000000002E-2</v>
      </c>
    </row>
    <row r="16" spans="1:15" x14ac:dyDescent="0.2">
      <c r="B16" s="13" t="s">
        <v>291</v>
      </c>
      <c r="F16" s="13" t="s">
        <v>297</v>
      </c>
      <c r="G16" s="60">
        <v>2E-3</v>
      </c>
      <c r="I16" s="13" t="s">
        <v>297</v>
      </c>
      <c r="J16" s="60">
        <v>2E-3</v>
      </c>
      <c r="L16" s="13" t="s">
        <v>297</v>
      </c>
      <c r="M16" s="60">
        <v>2E-3</v>
      </c>
    </row>
    <row r="17" spans="1:15" x14ac:dyDescent="0.2">
      <c r="B17" s="13" t="s">
        <v>289</v>
      </c>
      <c r="D17" s="48">
        <f>CHOOSE(D13,G18,J18,M18)</f>
        <v>0.11</v>
      </c>
      <c r="G17" s="49"/>
      <c r="I17" s="13" t="s">
        <v>296</v>
      </c>
      <c r="J17" s="60">
        <f>AVERAGE(F71:I71)</f>
        <v>-9.6023801066417794E-3</v>
      </c>
      <c r="M17" s="49"/>
    </row>
    <row r="18" spans="1:15" x14ac:dyDescent="0.2">
      <c r="B18" s="13" t="s">
        <v>290</v>
      </c>
      <c r="D18" s="48">
        <f>CHOOSE(D14,G19,J19,M19)</f>
        <v>2.5000000000000001E-2</v>
      </c>
      <c r="F18" s="13" t="s">
        <v>289</v>
      </c>
      <c r="G18" s="60">
        <f>J18+0.5%</f>
        <v>0.115</v>
      </c>
      <c r="I18" s="13" t="s">
        <v>289</v>
      </c>
      <c r="J18" s="60">
        <v>0.11</v>
      </c>
      <c r="L18" s="13" t="s">
        <v>289</v>
      </c>
      <c r="M18" s="60">
        <f>J18-0.5%</f>
        <v>0.105</v>
      </c>
    </row>
    <row r="19" spans="1:15" x14ac:dyDescent="0.2">
      <c r="F19" s="13" t="s">
        <v>290</v>
      </c>
      <c r="G19" s="60">
        <f>J19-0.5%</f>
        <v>0.02</v>
      </c>
      <c r="I19" s="13" t="s">
        <v>290</v>
      </c>
      <c r="J19" s="60">
        <v>2.5000000000000001E-2</v>
      </c>
      <c r="L19" s="13" t="s">
        <v>290</v>
      </c>
      <c r="M19" s="60">
        <f>J19+0.5%</f>
        <v>3.0000000000000002E-2</v>
      </c>
    </row>
    <row r="21" spans="1:15" ht="15" x14ac:dyDescent="0.25">
      <c r="A21" s="13" t="s">
        <v>254</v>
      </c>
      <c r="B21" s="23" t="s">
        <v>256</v>
      </c>
      <c r="C21" s="23"/>
      <c r="D21" s="23"/>
      <c r="E21" s="23">
        <v>2017</v>
      </c>
      <c r="F21" s="23">
        <f>E21+1</f>
        <v>2018</v>
      </c>
      <c r="G21" s="23">
        <f t="shared" ref="G21:O43" si="0">F21+1</f>
        <v>2019</v>
      </c>
      <c r="H21" s="23">
        <f t="shared" si="0"/>
        <v>2020</v>
      </c>
      <c r="I21" s="23">
        <f t="shared" si="0"/>
        <v>2021</v>
      </c>
      <c r="J21" s="23">
        <f t="shared" si="0"/>
        <v>2022</v>
      </c>
      <c r="K21" s="23">
        <f t="shared" si="0"/>
        <v>2023</v>
      </c>
      <c r="L21" s="23">
        <f t="shared" si="0"/>
        <v>2024</v>
      </c>
      <c r="M21" s="23">
        <f t="shared" si="0"/>
        <v>2025</v>
      </c>
      <c r="N21" s="23">
        <f>M21+1</f>
        <v>2026</v>
      </c>
      <c r="O21" s="23">
        <f t="shared" si="0"/>
        <v>2027</v>
      </c>
    </row>
    <row r="22" spans="1:15" outlineLevel="1" x14ac:dyDescent="0.2">
      <c r="B22" s="13" t="s">
        <v>259</v>
      </c>
      <c r="E22" s="24">
        <f>KQKD!B2</f>
        <v>3831010</v>
      </c>
      <c r="F22" s="24">
        <f>KQKD!C2</f>
        <v>3749144</v>
      </c>
      <c r="G22" s="24">
        <f>KQKD!D2</f>
        <v>4036960</v>
      </c>
      <c r="H22" s="24">
        <f>KQKD!E2</f>
        <v>3818765</v>
      </c>
      <c r="I22" s="24">
        <f>KQKD!F2</f>
        <v>4635525</v>
      </c>
      <c r="J22" s="25">
        <f t="shared" ref="J22:O22" si="1">I22*(1+J23)</f>
        <v>4884951.5781174265</v>
      </c>
      <c r="K22" s="25">
        <f t="shared" si="1"/>
        <v>5147799.2073286064</v>
      </c>
      <c r="L22" s="25">
        <f t="shared" si="1"/>
        <v>5424790.0424809521</v>
      </c>
      <c r="M22" s="25">
        <f t="shared" si="1"/>
        <v>5716685.0958571099</v>
      </c>
      <c r="N22" s="25">
        <f t="shared" si="1"/>
        <v>6024286.3280011564</v>
      </c>
      <c r="O22" s="25">
        <f t="shared" si="1"/>
        <v>6348438.8510471815</v>
      </c>
    </row>
    <row r="23" spans="1:15" outlineLevel="1" x14ac:dyDescent="0.2">
      <c r="B23" s="13" t="s">
        <v>260</v>
      </c>
      <c r="F23" s="26">
        <f>F22/E22-1</f>
        <v>-2.136929947977162E-2</v>
      </c>
      <c r="G23" s="26">
        <f>G22/F22-1</f>
        <v>7.676845701312085E-2</v>
      </c>
      <c r="H23" s="26">
        <f>H22/G22-1</f>
        <v>-5.4049334152431516E-2</v>
      </c>
      <c r="I23" s="26">
        <f>I22/H22-1</f>
        <v>0.21388066560786023</v>
      </c>
      <c r="J23" s="27">
        <f>AVERAGE(F23:I23)</f>
        <v>5.3807622247194486E-2</v>
      </c>
      <c r="K23" s="27">
        <f>$J$23</f>
        <v>5.3807622247194486E-2</v>
      </c>
      <c r="L23" s="27">
        <f>$J$23</f>
        <v>5.3807622247194486E-2</v>
      </c>
      <c r="M23" s="27">
        <f>$J$23</f>
        <v>5.3807622247194486E-2</v>
      </c>
      <c r="N23" s="27">
        <f>$J$23</f>
        <v>5.3807622247194486E-2</v>
      </c>
      <c r="O23" s="27">
        <f>$J$23</f>
        <v>5.3807622247194486E-2</v>
      </c>
    </row>
    <row r="24" spans="1:15" outlineLevel="1" x14ac:dyDescent="0.2"/>
    <row r="25" spans="1:15" outlineLevel="1" x14ac:dyDescent="0.2">
      <c r="B25" s="13" t="s">
        <v>261</v>
      </c>
      <c r="E25" s="28">
        <f>KQKD!B18+KQKD!B9</f>
        <v>249567</v>
      </c>
      <c r="F25" s="28">
        <f>KQKD!C18+KQKD!C9</f>
        <v>226921</v>
      </c>
      <c r="G25" s="28">
        <f>KQKD!D18+KQKD!D9</f>
        <v>353634</v>
      </c>
      <c r="H25" s="28">
        <f>KQKD!E18+KQKD!E9</f>
        <v>340717</v>
      </c>
      <c r="I25" s="28">
        <f>KQKD!F18+KQKD!F9</f>
        <v>373357</v>
      </c>
      <c r="J25" s="25">
        <f>J22*J26</f>
        <v>388218.69577032491</v>
      </c>
      <c r="K25" s="25">
        <f t="shared" ref="K25:M25" si="2">K22*K26</f>
        <v>409107.82070163311</v>
      </c>
      <c r="L25" s="25">
        <f t="shared" si="2"/>
        <v>431120.93977631966</v>
      </c>
      <c r="M25" s="25">
        <f t="shared" si="2"/>
        <v>454318.5324466594</v>
      </c>
      <c r="N25" s="25">
        <f>N22*N26</f>
        <v>478764.33242044901</v>
      </c>
      <c r="O25" s="25">
        <f>O22*O26</f>
        <v>504525.50276475883</v>
      </c>
    </row>
    <row r="26" spans="1:15" outlineLevel="1" x14ac:dyDescent="0.2">
      <c r="B26" s="13" t="s">
        <v>262</v>
      </c>
      <c r="E26" s="26">
        <f>E25/E22</f>
        <v>6.51439176614E-2</v>
      </c>
      <c r="F26" s="26">
        <f>F25/F22</f>
        <v>6.052608275382327E-2</v>
      </c>
      <c r="G26" s="26">
        <f t="shared" ref="G26:I26" si="3">G25/G22</f>
        <v>8.7599084459593357E-2</v>
      </c>
      <c r="H26" s="26">
        <f t="shared" si="3"/>
        <v>8.922177719760184E-2</v>
      </c>
      <c r="I26" s="26">
        <f t="shared" si="3"/>
        <v>8.0542549117953194E-2</v>
      </c>
      <c r="J26" s="27">
        <f>AVERAGE(F26:I26)</f>
        <v>7.9472373382242917E-2</v>
      </c>
      <c r="K26" s="27">
        <f>$J$26</f>
        <v>7.9472373382242917E-2</v>
      </c>
      <c r="L26" s="27">
        <f>$J$26</f>
        <v>7.9472373382242917E-2</v>
      </c>
      <c r="M26" s="27">
        <f>$J$26</f>
        <v>7.9472373382242917E-2</v>
      </c>
      <c r="N26" s="27">
        <f>$J$26</f>
        <v>7.9472373382242917E-2</v>
      </c>
      <c r="O26" s="27">
        <f>$J$26</f>
        <v>7.9472373382242917E-2</v>
      </c>
    </row>
    <row r="27" spans="1:15" outlineLevel="1" x14ac:dyDescent="0.2"/>
    <row r="28" spans="1:15" outlineLevel="1" x14ac:dyDescent="0.2">
      <c r="B28" s="13" t="s">
        <v>263</v>
      </c>
      <c r="E28" s="28">
        <f>KQKD!B19</f>
        <v>41692</v>
      </c>
      <c r="F28" s="28">
        <f>KQKD!C19</f>
        <v>36507</v>
      </c>
      <c r="G28" s="28">
        <f>KQKD!D19</f>
        <v>62627</v>
      </c>
      <c r="H28" s="28">
        <f>KQKD!E19</f>
        <v>64211</v>
      </c>
      <c r="I28" s="28">
        <f>KQKD!F19</f>
        <v>73294</v>
      </c>
      <c r="J28" s="29">
        <f>J25*J29</f>
        <v>70145.734896933776</v>
      </c>
      <c r="K28" s="29">
        <f t="shared" ref="K28:O28" si="4">K25*K29</f>
        <v>73920.110102519844</v>
      </c>
      <c r="L28" s="29">
        <f t="shared" si="4"/>
        <v>77897.575463387286</v>
      </c>
      <c r="M28" s="29">
        <f t="shared" si="4"/>
        <v>82089.058777893559</v>
      </c>
      <c r="N28" s="29">
        <f t="shared" si="4"/>
        <v>86506.075843242201</v>
      </c>
      <c r="O28" s="29">
        <f t="shared" si="4"/>
        <v>91160.762094302539</v>
      </c>
    </row>
    <row r="29" spans="1:15" outlineLevel="1" x14ac:dyDescent="0.2">
      <c r="B29" s="13" t="s">
        <v>264</v>
      </c>
      <c r="E29" s="30">
        <f>E28/E25</f>
        <v>0.16705734331862787</v>
      </c>
      <c r="F29" s="30">
        <f t="shared" ref="F29:I29" si="5">F28/F25</f>
        <v>0.16087977754372668</v>
      </c>
      <c r="G29" s="30">
        <f t="shared" si="5"/>
        <v>0.17709552814491819</v>
      </c>
      <c r="H29" s="30">
        <f t="shared" si="5"/>
        <v>0.18845845672508268</v>
      </c>
      <c r="I29" s="30">
        <f t="shared" si="5"/>
        <v>0.19631076958514238</v>
      </c>
      <c r="J29" s="27">
        <f>AVERAGE(F29:I29)</f>
        <v>0.18068613299971747</v>
      </c>
      <c r="K29" s="27">
        <f>$J$29</f>
        <v>0.18068613299971747</v>
      </c>
      <c r="L29" s="27">
        <f>$J$29</f>
        <v>0.18068613299971747</v>
      </c>
      <c r="M29" s="27">
        <f>$J$29</f>
        <v>0.18068613299971747</v>
      </c>
      <c r="N29" s="27">
        <f>$J$29</f>
        <v>0.18068613299971747</v>
      </c>
      <c r="O29" s="27">
        <f>$J$29</f>
        <v>0.18068613299971747</v>
      </c>
    </row>
    <row r="30" spans="1:15" outlineLevel="1" x14ac:dyDescent="0.2"/>
    <row r="31" spans="1:15" ht="15" x14ac:dyDescent="0.25">
      <c r="A31" s="13" t="s">
        <v>254</v>
      </c>
      <c r="B31" s="23" t="s">
        <v>257</v>
      </c>
      <c r="C31" s="23"/>
      <c r="D31" s="23"/>
      <c r="E31" s="23">
        <v>2017</v>
      </c>
      <c r="F31" s="23">
        <f>E31+1</f>
        <v>2018</v>
      </c>
      <c r="G31" s="23">
        <f t="shared" si="0"/>
        <v>2019</v>
      </c>
      <c r="H31" s="23">
        <f t="shared" si="0"/>
        <v>2020</v>
      </c>
      <c r="I31" s="23">
        <f t="shared" si="0"/>
        <v>2021</v>
      </c>
      <c r="J31" s="23">
        <f t="shared" si="0"/>
        <v>2022</v>
      </c>
      <c r="K31" s="23">
        <f t="shared" si="0"/>
        <v>2023</v>
      </c>
      <c r="L31" s="23">
        <f t="shared" si="0"/>
        <v>2024</v>
      </c>
      <c r="M31" s="23">
        <f t="shared" si="0"/>
        <v>2025</v>
      </c>
      <c r="N31" s="23">
        <f>M31+1</f>
        <v>2026</v>
      </c>
      <c r="O31" s="23">
        <f t="shared" si="0"/>
        <v>2027</v>
      </c>
    </row>
    <row r="32" spans="1:15" outlineLevel="1" x14ac:dyDescent="0.2">
      <c r="B32" s="13" t="s">
        <v>271</v>
      </c>
      <c r="E32" s="28"/>
      <c r="F32" s="28">
        <f>CĐKT!B41-CĐKT!C41+CĐKT!B44-CĐKT!C44+CĐKT!B47-CĐKT!C47</f>
        <v>270600</v>
      </c>
      <c r="G32" s="28">
        <f>CĐKT!C41-CĐKT!D41+CĐKT!C44-CĐKT!D44+CĐKT!C47-CĐKT!D47</f>
        <v>273618</v>
      </c>
      <c r="H32" s="28">
        <f>CĐKT!D41-CĐKT!E41+CĐKT!D44-CĐKT!E44+CĐKT!D47-CĐKT!E47</f>
        <v>210351</v>
      </c>
      <c r="I32" s="28">
        <f>CĐKT!E41-CĐKT!F41+CĐKT!E44-CĐKT!F44+CĐKT!E47-CĐKT!F47</f>
        <v>103724</v>
      </c>
    </row>
    <row r="33" spans="1:15" outlineLevel="1" x14ac:dyDescent="0.2">
      <c r="B33" s="13" t="s">
        <v>272</v>
      </c>
      <c r="E33" s="26">
        <f>E32/E22</f>
        <v>0</v>
      </c>
      <c r="F33" s="26">
        <f t="shared" ref="F33:I33" si="6">F32/F22</f>
        <v>7.2176475483470365E-2</v>
      </c>
      <c r="G33" s="26">
        <f t="shared" si="6"/>
        <v>6.7778229162538145E-2</v>
      </c>
      <c r="H33" s="26">
        <f t="shared" si="6"/>
        <v>5.5083515220234816E-2</v>
      </c>
      <c r="I33" s="26">
        <f t="shared" si="6"/>
        <v>2.237589054098511E-2</v>
      </c>
    </row>
    <row r="34" spans="1:15" outlineLevel="1" x14ac:dyDescent="0.2">
      <c r="B34" s="13" t="s">
        <v>273</v>
      </c>
      <c r="E34" s="30">
        <f>E32/E36</f>
        <v>0</v>
      </c>
      <c r="F34" s="30">
        <f t="shared" ref="F34:I34" si="7">F32/F36</f>
        <v>2.0159878414923971</v>
      </c>
      <c r="G34" s="30">
        <f t="shared" si="7"/>
        <v>17.512672811059907</v>
      </c>
      <c r="H34" s="30">
        <f t="shared" si="7"/>
        <v>22.996720236142998</v>
      </c>
      <c r="I34" s="30">
        <f t="shared" si="7"/>
        <v>9.9086740542606044</v>
      </c>
    </row>
    <row r="35" spans="1:15" outlineLevel="1" x14ac:dyDescent="0.2"/>
    <row r="36" spans="1:15" outlineLevel="1" x14ac:dyDescent="0.2">
      <c r="B36" s="13" t="s">
        <v>274</v>
      </c>
      <c r="E36" s="28">
        <f>-(LCTT!B12+LCTT!B13)</f>
        <v>333203</v>
      </c>
      <c r="F36" s="28">
        <f>-(LCTT!C12+LCTT!C13)</f>
        <v>134227</v>
      </c>
      <c r="G36" s="28">
        <f>-(LCTT!D12+LCTT!D13)</f>
        <v>15624</v>
      </c>
      <c r="H36" s="28">
        <f>-(LCTT!E12+LCTT!E13)</f>
        <v>9147</v>
      </c>
      <c r="I36" s="28">
        <f>-(LCTT!F12+LCTT!F13)</f>
        <v>10468</v>
      </c>
    </row>
    <row r="37" spans="1:15" outlineLevel="1" x14ac:dyDescent="0.2">
      <c r="B37" s="13" t="s">
        <v>275</v>
      </c>
      <c r="E37" s="26">
        <f>E36/E22</f>
        <v>8.697523629538946E-2</v>
      </c>
      <c r="F37" s="26">
        <f t="shared" ref="F37:I37" si="8">F36/F22</f>
        <v>3.5802039078787054E-2</v>
      </c>
      <c r="G37" s="26">
        <f t="shared" si="8"/>
        <v>3.870238991716539E-3</v>
      </c>
      <c r="H37" s="26">
        <f t="shared" si="8"/>
        <v>2.3952770070952258E-3</v>
      </c>
      <c r="I37" s="26">
        <f t="shared" si="8"/>
        <v>2.2582123923395947E-3</v>
      </c>
    </row>
    <row r="38" spans="1:15" outlineLevel="1" x14ac:dyDescent="0.2"/>
    <row r="39" spans="1:15" outlineLevel="1" x14ac:dyDescent="0.2">
      <c r="B39" s="13" t="s">
        <v>276</v>
      </c>
      <c r="E39" s="28"/>
      <c r="F39" s="28">
        <f>(CĐKT!B11-CĐKT!C11)+(CĐKT!B20-CĐKT!C20)+(CĐKT!B23-CĐKT!C23)-(CĐKT!B71-CĐKT!C71)-(CĐKT!B72-CĐKT!C72)-(CĐKT!B74-CĐKT!C74)-(CĐKT!B79-CĐKT!C79)</f>
        <v>-127024</v>
      </c>
      <c r="G39" s="28">
        <f>(CĐKT!C11-CĐKT!D11)+(CĐKT!C20-CĐKT!D20)+(CĐKT!C23-CĐKT!D23)-(CĐKT!C71-CĐKT!D71)-(CĐKT!C72-CĐKT!D72)-(CĐKT!C74-CĐKT!D74)-(CĐKT!C79-CĐKT!D79)</f>
        <v>-112062</v>
      </c>
      <c r="H39" s="28">
        <f>(CĐKT!D11-CĐKT!E11)+(CĐKT!D20-CĐKT!E20)+(CĐKT!D23-CĐKT!E23)-(CĐKT!D71-CĐKT!E71)-(CĐKT!D72-CĐKT!E72)-(CĐKT!D74-CĐKT!E74)-(CĐKT!D79-CĐKT!E79)</f>
        <v>394475</v>
      </c>
      <c r="I39" s="28">
        <f>(CĐKT!E11-CĐKT!F11)+(CĐKT!E20-CĐKT!F20)+(CĐKT!E23-CĐKT!F23)-(CĐKT!E71-CĐKT!F71)-(CĐKT!E72-CĐKT!F72)-(CĐKT!E74-CĐKT!F74)-(CĐKT!E79-CĐKT!F79)</f>
        <v>-371161</v>
      </c>
    </row>
    <row r="40" spans="1:15" outlineLevel="1" x14ac:dyDescent="0.2">
      <c r="B40" s="13" t="s">
        <v>275</v>
      </c>
      <c r="E40" s="26"/>
      <c r="F40" s="26">
        <f t="shared" ref="F40:I40" si="9">F39/F22</f>
        <v>-3.3880800524066293E-2</v>
      </c>
      <c r="G40" s="26">
        <f t="shared" si="9"/>
        <v>-2.7759006777377037E-2</v>
      </c>
      <c r="H40" s="26">
        <f t="shared" si="9"/>
        <v>0.10329910324411164</v>
      </c>
      <c r="I40" s="26">
        <f t="shared" si="9"/>
        <v>-8.0068816369235421E-2</v>
      </c>
    </row>
    <row r="41" spans="1:15" outlineLevel="1" x14ac:dyDescent="0.2">
      <c r="B41" s="13" t="s">
        <v>277</v>
      </c>
      <c r="F41" s="26">
        <f>F39/(F22-E22)</f>
        <v>1.5516087264554272</v>
      </c>
      <c r="G41" s="26">
        <f t="shared" ref="G41:I41" si="10">G39/(G22-F22)</f>
        <v>-0.38935291992106069</v>
      </c>
      <c r="H41" s="26">
        <f t="shared" si="10"/>
        <v>-1.8079011893031462</v>
      </c>
      <c r="I41" s="26">
        <f t="shared" si="10"/>
        <v>-0.45443092218032227</v>
      </c>
    </row>
    <row r="42" spans="1:15" outlineLevel="1" x14ac:dyDescent="0.2">
      <c r="J42" s="13">
        <f t="shared" ref="J42:O42" si="11">J43-$I$43</f>
        <v>1</v>
      </c>
      <c r="K42" s="13">
        <f t="shared" si="11"/>
        <v>2</v>
      </c>
      <c r="L42" s="13">
        <f t="shared" si="11"/>
        <v>3</v>
      </c>
      <c r="M42" s="13">
        <f t="shared" si="11"/>
        <v>4</v>
      </c>
      <c r="N42" s="13">
        <f t="shared" si="11"/>
        <v>5</v>
      </c>
      <c r="O42" s="13">
        <f t="shared" si="11"/>
        <v>6</v>
      </c>
    </row>
    <row r="43" spans="1:15" ht="15" x14ac:dyDescent="0.25">
      <c r="A43" s="13" t="s">
        <v>254</v>
      </c>
      <c r="B43" s="23" t="s">
        <v>258</v>
      </c>
      <c r="C43" s="23"/>
      <c r="D43" s="23"/>
      <c r="E43" s="23">
        <v>2017</v>
      </c>
      <c r="F43" s="23">
        <f>E43+1</f>
        <v>2018</v>
      </c>
      <c r="G43" s="23">
        <f t="shared" si="0"/>
        <v>2019</v>
      </c>
      <c r="H43" s="23">
        <f t="shared" si="0"/>
        <v>2020</v>
      </c>
      <c r="I43" s="23">
        <f t="shared" si="0"/>
        <v>2021</v>
      </c>
      <c r="J43" s="23">
        <f t="shared" si="0"/>
        <v>2022</v>
      </c>
      <c r="K43" s="23">
        <f t="shared" si="0"/>
        <v>2023</v>
      </c>
      <c r="L43" s="23">
        <f t="shared" si="0"/>
        <v>2024</v>
      </c>
      <c r="M43" s="23">
        <f t="shared" si="0"/>
        <v>2025</v>
      </c>
      <c r="N43" s="23">
        <f>M43+1</f>
        <v>2026</v>
      </c>
      <c r="O43" s="23">
        <f t="shared" si="0"/>
        <v>2027</v>
      </c>
    </row>
    <row r="44" spans="1:15" x14ac:dyDescent="0.2">
      <c r="B44" s="13" t="s">
        <v>259</v>
      </c>
      <c r="E44" s="31">
        <f>E22</f>
        <v>3831010</v>
      </c>
      <c r="F44" s="31">
        <f t="shared" ref="F44:I44" si="12">F22</f>
        <v>3749144</v>
      </c>
      <c r="G44" s="31">
        <f t="shared" si="12"/>
        <v>4036960</v>
      </c>
      <c r="H44" s="31">
        <f t="shared" si="12"/>
        <v>3818765</v>
      </c>
      <c r="I44" s="31">
        <f t="shared" si="12"/>
        <v>4635525</v>
      </c>
      <c r="J44" s="31">
        <f ca="1">I44*(1+J45)</f>
        <v>5145432.75</v>
      </c>
      <c r="K44" s="31">
        <f t="shared" ref="K44:O44" ca="1" si="13">J44*(1+K45)</f>
        <v>5672839.6068750005</v>
      </c>
      <c r="L44" s="31">
        <f t="shared" ca="1" si="13"/>
        <v>6211759.369528125</v>
      </c>
      <c r="M44" s="31">
        <f t="shared" ca="1" si="13"/>
        <v>6755288.3143618358</v>
      </c>
      <c r="N44" s="31">
        <f ca="1">M44*(1+N45)</f>
        <v>7295711.3795107836</v>
      </c>
      <c r="O44" s="31">
        <f t="shared" ca="1" si="13"/>
        <v>7879368.289871647</v>
      </c>
    </row>
    <row r="45" spans="1:15" x14ac:dyDescent="0.2">
      <c r="B45" s="13" t="s">
        <v>260</v>
      </c>
      <c r="E45" s="27"/>
      <c r="F45" s="26">
        <f>F44/E44-1</f>
        <v>-2.136929947977162E-2</v>
      </c>
      <c r="G45" s="26">
        <f t="shared" ref="G45:I45" si="14">G44/F44-1</f>
        <v>7.676845701312085E-2</v>
      </c>
      <c r="H45" s="26">
        <f t="shared" si="14"/>
        <v>-5.4049334152431516E-2</v>
      </c>
      <c r="I45" s="26">
        <f t="shared" si="14"/>
        <v>0.21388066560786023</v>
      </c>
      <c r="J45" s="26">
        <f ca="1">OFFSET(J45,$D$9,0)</f>
        <v>0.11</v>
      </c>
      <c r="K45" s="26">
        <f t="shared" ref="K45:O45" ca="1" si="15">OFFSET(K45,$D$9,0)</f>
        <v>0.10250000000000001</v>
      </c>
      <c r="L45" s="26">
        <f t="shared" ca="1" si="15"/>
        <v>9.5000000000000001E-2</v>
      </c>
      <c r="M45" s="26">
        <f t="shared" ca="1" si="15"/>
        <v>8.7499999999999994E-2</v>
      </c>
      <c r="N45" s="26">
        <f t="shared" ca="1" si="15"/>
        <v>7.9999999999999988E-2</v>
      </c>
      <c r="O45" s="26">
        <f t="shared" ca="1" si="15"/>
        <v>0.08</v>
      </c>
    </row>
    <row r="46" spans="1:15" x14ac:dyDescent="0.2">
      <c r="B46" s="13" t="s">
        <v>282</v>
      </c>
      <c r="E46" s="27"/>
      <c r="F46" s="27"/>
      <c r="G46" s="27"/>
      <c r="H46" s="27"/>
      <c r="I46" s="27"/>
      <c r="J46" s="32">
        <f>G9</f>
        <v>0.1</v>
      </c>
      <c r="K46" s="33">
        <f>J46-(J47-K47)</f>
        <v>9.2500000000000013E-2</v>
      </c>
      <c r="L46" s="33">
        <f>K46-($K$46-$O$46)/($O$43-$K$43)</f>
        <v>8.6875000000000008E-2</v>
      </c>
      <c r="M46" s="33">
        <f>L46-($K$46-$O$46)/($O$43-$K$43)</f>
        <v>8.1250000000000003E-2</v>
      </c>
      <c r="N46" s="33">
        <f>M46-($K$46-$O$46)/($O$43-$K$43)</f>
        <v>7.5624999999999998E-2</v>
      </c>
      <c r="O46" s="34">
        <f>G10</f>
        <v>7.0000000000000007E-2</v>
      </c>
    </row>
    <row r="47" spans="1:15" x14ac:dyDescent="0.2">
      <c r="B47" s="13" t="s">
        <v>283</v>
      </c>
      <c r="E47" s="27"/>
      <c r="F47" s="27"/>
      <c r="G47" s="27"/>
      <c r="H47" s="27"/>
      <c r="I47" s="27"/>
      <c r="J47" s="32">
        <f>J9</f>
        <v>0.11</v>
      </c>
      <c r="K47" s="35">
        <f>J47-($J$47-$O$47)/($O$43-$K$43)</f>
        <v>0.10250000000000001</v>
      </c>
      <c r="L47" s="35">
        <f>K47-($J$47-$O$47)/($O$43-$K$43)</f>
        <v>9.5000000000000001E-2</v>
      </c>
      <c r="M47" s="35">
        <f>L47-($J$47-$O$47)/($O$43-$K$43)</f>
        <v>8.7499999999999994E-2</v>
      </c>
      <c r="N47" s="35">
        <f>M47-($J$47-$O$47)/($O$43-$K$43)</f>
        <v>7.9999999999999988E-2</v>
      </c>
      <c r="O47" s="36">
        <f>J10</f>
        <v>0.08</v>
      </c>
    </row>
    <row r="48" spans="1:15" x14ac:dyDescent="0.2">
      <c r="B48" s="13" t="s">
        <v>284</v>
      </c>
      <c r="E48" s="27"/>
      <c r="F48" s="27"/>
      <c r="G48" s="27"/>
      <c r="H48" s="27"/>
      <c r="I48" s="27"/>
      <c r="J48" s="32">
        <f>M9</f>
        <v>0.12</v>
      </c>
      <c r="K48" s="37">
        <f>J48-(J47-K47)</f>
        <v>0.1125</v>
      </c>
      <c r="L48" s="35">
        <f>K48-($K$48-$O$48)/($O$43-$K$43)</f>
        <v>0.106875</v>
      </c>
      <c r="M48" s="35">
        <f>L48-($K$48-$O$48)/($O$43-$K$43)</f>
        <v>0.10124999999999999</v>
      </c>
      <c r="N48" s="35">
        <f>M48-($K$48-$O$48)/($O$43-$K$43)</f>
        <v>9.5624999999999988E-2</v>
      </c>
      <c r="O48" s="36">
        <f>M10</f>
        <v>0.09</v>
      </c>
    </row>
    <row r="50" spans="2:15" x14ac:dyDescent="0.2">
      <c r="B50" s="13" t="s">
        <v>261</v>
      </c>
      <c r="E50" s="31">
        <f>E25</f>
        <v>249567</v>
      </c>
      <c r="F50" s="31">
        <f t="shared" ref="F50:I50" si="16">F25</f>
        <v>226921</v>
      </c>
      <c r="G50" s="31">
        <f t="shared" si="16"/>
        <v>353634</v>
      </c>
      <c r="H50" s="31">
        <f t="shared" si="16"/>
        <v>340717</v>
      </c>
      <c r="I50" s="31">
        <f t="shared" si="16"/>
        <v>373357</v>
      </c>
      <c r="J50" s="31">
        <f ca="1">J51*J44</f>
        <v>411634.62</v>
      </c>
      <c r="K50" s="31">
        <f t="shared" ref="K50:O50" ca="1" si="17">K51*K44</f>
        <v>459500.00815687503</v>
      </c>
      <c r="L50" s="31">
        <f t="shared" ca="1" si="17"/>
        <v>509364.26830130629</v>
      </c>
      <c r="M50" s="31">
        <f t="shared" ca="1" si="17"/>
        <v>560688.93009203242</v>
      </c>
      <c r="N50" s="31">
        <f t="shared" ca="1" si="17"/>
        <v>612839.75587890588</v>
      </c>
      <c r="O50" s="31">
        <f t="shared" ca="1" si="17"/>
        <v>669746.30463909009</v>
      </c>
    </row>
    <row r="51" spans="2:15" x14ac:dyDescent="0.2">
      <c r="B51" s="13" t="s">
        <v>281</v>
      </c>
      <c r="E51" s="26">
        <f>E50/E44</f>
        <v>6.51439176614E-2</v>
      </c>
      <c r="F51" s="26">
        <f t="shared" ref="F51:I51" si="18">F50/F44</f>
        <v>6.052608275382327E-2</v>
      </c>
      <c r="G51" s="26">
        <f t="shared" si="18"/>
        <v>8.7599084459593357E-2</v>
      </c>
      <c r="H51" s="26">
        <f t="shared" si="18"/>
        <v>8.922177719760184E-2</v>
      </c>
      <c r="I51" s="26">
        <f t="shared" si="18"/>
        <v>8.0542549117953194E-2</v>
      </c>
      <c r="J51" s="26">
        <f ca="1">OFFSET(J51,$D$10,0)</f>
        <v>0.08</v>
      </c>
      <c r="K51" s="26">
        <f t="shared" ref="K51:O51" ca="1" si="19">OFFSET(K51,$D$10,0)</f>
        <v>8.1000000000000003E-2</v>
      </c>
      <c r="L51" s="26">
        <f t="shared" ca="1" si="19"/>
        <v>8.2000000000000003E-2</v>
      </c>
      <c r="M51" s="26">
        <f t="shared" ca="1" si="19"/>
        <v>8.3000000000000004E-2</v>
      </c>
      <c r="N51" s="26">
        <f t="shared" ca="1" si="19"/>
        <v>8.4000000000000005E-2</v>
      </c>
      <c r="O51" s="26">
        <f t="shared" ca="1" si="19"/>
        <v>8.5000000000000006E-2</v>
      </c>
    </row>
    <row r="52" spans="2:15" x14ac:dyDescent="0.2">
      <c r="B52" s="13" t="s">
        <v>282</v>
      </c>
      <c r="J52" s="32">
        <f>G11</f>
        <v>6.5000000000000002E-2</v>
      </c>
      <c r="K52" s="38">
        <f>J52+($O$52-$J$52)/($O$43-$J$43)</f>
        <v>6.7000000000000004E-2</v>
      </c>
      <c r="L52" s="38">
        <f>K52+($O$52-$J$52)/($O$43-$J$43)</f>
        <v>6.9000000000000006E-2</v>
      </c>
      <c r="M52" s="38">
        <f>L52+($O$52-$J$52)/($O$43-$J$43)</f>
        <v>7.1000000000000008E-2</v>
      </c>
      <c r="N52" s="38">
        <f>M52+($O$52-$J$52)/($O$43-$J$43)</f>
        <v>7.3000000000000009E-2</v>
      </c>
      <c r="O52" s="34">
        <f>G12</f>
        <v>7.4999999999999997E-2</v>
      </c>
    </row>
    <row r="53" spans="2:15" x14ac:dyDescent="0.2">
      <c r="B53" s="13" t="s">
        <v>283</v>
      </c>
      <c r="J53" s="32">
        <f>J11</f>
        <v>0.08</v>
      </c>
      <c r="K53" s="38">
        <f>J53+($O$53-$J$53)/($O$43-$J$43)</f>
        <v>8.1000000000000003E-2</v>
      </c>
      <c r="L53" s="38">
        <f>K53+($O$53-$J$53)/($O$43-$J$43)</f>
        <v>8.2000000000000003E-2</v>
      </c>
      <c r="M53" s="38">
        <f>L53+($O$53-$J$53)/($O$43-$J$43)</f>
        <v>8.3000000000000004E-2</v>
      </c>
      <c r="N53" s="38">
        <f>M53+($O$53-$J$53)/($O$43-$J$43)</f>
        <v>8.4000000000000005E-2</v>
      </c>
      <c r="O53" s="36">
        <f>J12</f>
        <v>8.5000000000000006E-2</v>
      </c>
    </row>
    <row r="54" spans="2:15" x14ac:dyDescent="0.2">
      <c r="B54" s="13" t="s">
        <v>284</v>
      </c>
      <c r="J54" s="32">
        <f>M11</f>
        <v>9.5000000000000001E-2</v>
      </c>
      <c r="K54" s="37">
        <f>J54+($O$54-$J$54)/($O$43-$J$43)</f>
        <v>9.5000000000000001E-2</v>
      </c>
      <c r="L54" s="37">
        <f>K54+($O$54-$J$54)/($O$43-$J$43)</f>
        <v>9.5000000000000001E-2</v>
      </c>
      <c r="M54" s="37">
        <f>L54+($O$54-$J$54)/($O$43-$J$43)</f>
        <v>9.5000000000000001E-2</v>
      </c>
      <c r="N54" s="37">
        <f>M54+($O$54-$J$54)/($O$43-$J$43)</f>
        <v>9.5000000000000001E-2</v>
      </c>
      <c r="O54" s="36">
        <f>M12</f>
        <v>9.5000000000000001E-2</v>
      </c>
    </row>
    <row r="56" spans="2:15" x14ac:dyDescent="0.2">
      <c r="B56" s="13" t="s">
        <v>263</v>
      </c>
      <c r="E56" s="31">
        <f>E28</f>
        <v>41692</v>
      </c>
      <c r="F56" s="31">
        <f t="shared" ref="F56:I56" si="20">F28</f>
        <v>36507</v>
      </c>
      <c r="G56" s="31">
        <f t="shared" si="20"/>
        <v>62627</v>
      </c>
      <c r="H56" s="31">
        <f t="shared" si="20"/>
        <v>64211</v>
      </c>
      <c r="I56" s="31">
        <f t="shared" si="20"/>
        <v>73294</v>
      </c>
      <c r="J56" s="31">
        <f ca="1">J57*J50</f>
        <v>78210.577799999999</v>
      </c>
      <c r="K56" s="31">
        <f t="shared" ref="K56:O56" ca="1" si="21">K57*K50</f>
        <v>87305.001549806257</v>
      </c>
      <c r="L56" s="31">
        <f t="shared" ca="1" si="21"/>
        <v>96779.210977248193</v>
      </c>
      <c r="M56" s="31">
        <f t="shared" ca="1" si="21"/>
        <v>106530.89671748616</v>
      </c>
      <c r="N56" s="31">
        <f t="shared" ca="1" si="21"/>
        <v>116439.55361699213</v>
      </c>
      <c r="O56" s="31">
        <f t="shared" ca="1" si="21"/>
        <v>127251.79788142712</v>
      </c>
    </row>
    <row r="57" spans="2:15" x14ac:dyDescent="0.2">
      <c r="B57" s="13" t="s">
        <v>285</v>
      </c>
      <c r="E57" s="26">
        <f>E56/E50</f>
        <v>0.16705734331862787</v>
      </c>
      <c r="F57" s="26">
        <f t="shared" ref="F57:I57" si="22">F56/F50</f>
        <v>0.16087977754372668</v>
      </c>
      <c r="G57" s="26">
        <f t="shared" si="22"/>
        <v>0.17709552814491819</v>
      </c>
      <c r="H57" s="26">
        <f t="shared" si="22"/>
        <v>0.18845845672508268</v>
      </c>
      <c r="I57" s="26">
        <f t="shared" si="22"/>
        <v>0.19631076958514238</v>
      </c>
      <c r="J57" s="26">
        <f>J13</f>
        <v>0.19</v>
      </c>
      <c r="K57" s="26">
        <f>J57</f>
        <v>0.19</v>
      </c>
      <c r="L57" s="26">
        <f t="shared" ref="L57:O57" si="23">K57</f>
        <v>0.19</v>
      </c>
      <c r="M57" s="26">
        <f t="shared" si="23"/>
        <v>0.19</v>
      </c>
      <c r="N57" s="26">
        <f t="shared" si="23"/>
        <v>0.19</v>
      </c>
      <c r="O57" s="26">
        <f t="shared" si="23"/>
        <v>0.19</v>
      </c>
    </row>
    <row r="59" spans="2:15" ht="15" x14ac:dyDescent="0.25">
      <c r="B59" s="39" t="s">
        <v>278</v>
      </c>
      <c r="C59" s="39"/>
      <c r="D59" s="39"/>
      <c r="E59" s="39"/>
      <c r="F59" s="39"/>
      <c r="G59" s="39"/>
      <c r="H59" s="39"/>
      <c r="I59" s="39"/>
      <c r="J59" s="40">
        <f ca="1">J50-J56</f>
        <v>333424.04220000003</v>
      </c>
      <c r="K59" s="40">
        <f t="shared" ref="K59:O59" ca="1" si="24">K50-K56</f>
        <v>372195.00660706876</v>
      </c>
      <c r="L59" s="40">
        <f t="shared" ca="1" si="24"/>
        <v>412585.05732405809</v>
      </c>
      <c r="M59" s="40">
        <f t="shared" ca="1" si="24"/>
        <v>454158.03337454627</v>
      </c>
      <c r="N59" s="40">
        <f t="shared" ca="1" si="24"/>
        <v>496400.20226191374</v>
      </c>
      <c r="O59" s="40">
        <f t="shared" ca="1" si="24"/>
        <v>542494.50675766298</v>
      </c>
    </row>
    <row r="61" spans="2:15" x14ac:dyDescent="0.2">
      <c r="B61" s="13" t="s">
        <v>271</v>
      </c>
      <c r="E61" s="29">
        <f>E32</f>
        <v>0</v>
      </c>
      <c r="F61" s="29">
        <f>F32</f>
        <v>270600</v>
      </c>
      <c r="G61" s="29">
        <f>G32</f>
        <v>273618</v>
      </c>
      <c r="H61" s="29">
        <f>H32</f>
        <v>210351</v>
      </c>
      <c r="I61" s="29">
        <f>I32</f>
        <v>103724</v>
      </c>
      <c r="J61" s="29">
        <f t="shared" ref="J61:O61" ca="1" si="25">J62*J44</f>
        <v>102908.655</v>
      </c>
      <c r="K61" s="29">
        <f t="shared" ca="1" si="25"/>
        <v>113456.79213750002</v>
      </c>
      <c r="L61" s="29">
        <f t="shared" ca="1" si="25"/>
        <v>124235.1873905625</v>
      </c>
      <c r="M61" s="29">
        <f t="shared" ca="1" si="25"/>
        <v>135105.76628723671</v>
      </c>
      <c r="N61" s="29">
        <f t="shared" ca="1" si="25"/>
        <v>145914.22759021568</v>
      </c>
      <c r="O61" s="29">
        <f t="shared" ca="1" si="25"/>
        <v>157587.36579743295</v>
      </c>
    </row>
    <row r="62" spans="2:15" x14ac:dyDescent="0.2">
      <c r="B62" s="13" t="s">
        <v>275</v>
      </c>
      <c r="E62" s="26">
        <f>E61/E44</f>
        <v>0</v>
      </c>
      <c r="F62" s="26">
        <f>F61/F44</f>
        <v>7.2176475483470365E-2</v>
      </c>
      <c r="G62" s="26">
        <f>G61/G44</f>
        <v>6.7778229162538145E-2</v>
      </c>
      <c r="H62" s="26">
        <f>H61/H44</f>
        <v>5.5083515220234816E-2</v>
      </c>
      <c r="I62" s="26">
        <f>I61/I44</f>
        <v>2.237589054098511E-2</v>
      </c>
      <c r="J62" s="26">
        <f>$J$14</f>
        <v>0.02</v>
      </c>
      <c r="K62" s="26">
        <f>J62</f>
        <v>0.02</v>
      </c>
      <c r="L62" s="26">
        <f t="shared" ref="L62:O62" si="26">K62</f>
        <v>0.02</v>
      </c>
      <c r="M62" s="26">
        <f t="shared" si="26"/>
        <v>0.02</v>
      </c>
      <c r="N62" s="26">
        <f t="shared" si="26"/>
        <v>0.02</v>
      </c>
      <c r="O62" s="26">
        <f t="shared" si="26"/>
        <v>0.02</v>
      </c>
    </row>
    <row r="64" spans="2:15" x14ac:dyDescent="0.2">
      <c r="B64" s="13" t="s">
        <v>274</v>
      </c>
      <c r="E64" s="29">
        <f>E36</f>
        <v>333203</v>
      </c>
      <c r="F64" s="29">
        <f>F36</f>
        <v>134227</v>
      </c>
      <c r="G64" s="29">
        <f>G36</f>
        <v>15624</v>
      </c>
      <c r="H64" s="29">
        <f>H36</f>
        <v>9147</v>
      </c>
      <c r="I64" s="29">
        <f>I36</f>
        <v>10468</v>
      </c>
      <c r="J64" s="29">
        <f t="shared" ref="J64:O64" ca="1" si="27">J65*J44</f>
        <v>102908.655</v>
      </c>
      <c r="K64" s="29">
        <f t="shared" ca="1" si="27"/>
        <v>93034.569552750021</v>
      </c>
      <c r="L64" s="29">
        <f t="shared" ca="1" si="27"/>
        <v>79510.519929960006</v>
      </c>
      <c r="M64" s="29">
        <f t="shared" ca="1" si="27"/>
        <v>62148.652492128887</v>
      </c>
      <c r="N64" s="29">
        <f t="shared" ca="1" si="27"/>
        <v>40855.983725260383</v>
      </c>
      <c r="O64" s="29">
        <f t="shared" ca="1" si="27"/>
        <v>15758.736579743294</v>
      </c>
    </row>
    <row r="65" spans="2:15" x14ac:dyDescent="0.2">
      <c r="B65" s="13" t="s">
        <v>275</v>
      </c>
      <c r="E65" s="26">
        <f>E64/E44</f>
        <v>8.697523629538946E-2</v>
      </c>
      <c r="F65" s="26">
        <f>F64/F44</f>
        <v>3.5802039078787054E-2</v>
      </c>
      <c r="G65" s="26">
        <f>G64/G44</f>
        <v>3.870238991716539E-3</v>
      </c>
      <c r="H65" s="26">
        <f>H64/H44</f>
        <v>2.3952770070952258E-3</v>
      </c>
      <c r="I65" s="26">
        <f>I64/I44</f>
        <v>2.2582123923395947E-3</v>
      </c>
      <c r="J65" s="26">
        <f t="shared" ref="J65:O65" ca="1" si="28">OFFSET(J65,$D$11,0)</f>
        <v>0.02</v>
      </c>
      <c r="K65" s="26">
        <f t="shared" ca="1" si="28"/>
        <v>1.6400000000000001E-2</v>
      </c>
      <c r="L65" s="26">
        <f t="shared" ca="1" si="28"/>
        <v>1.2800000000000001E-2</v>
      </c>
      <c r="M65" s="26">
        <f t="shared" ca="1" si="28"/>
        <v>9.1999999999999998E-3</v>
      </c>
      <c r="N65" s="26">
        <f t="shared" ca="1" si="28"/>
        <v>5.5999999999999991E-3</v>
      </c>
      <c r="O65" s="26">
        <f t="shared" ca="1" si="28"/>
        <v>2E-3</v>
      </c>
    </row>
    <row r="66" spans="2:15" x14ac:dyDescent="0.2">
      <c r="B66" s="13" t="s">
        <v>282</v>
      </c>
      <c r="J66" s="41">
        <f>G15</f>
        <v>2.1999999999999999E-2</v>
      </c>
      <c r="K66" s="33">
        <f>J66-($J$66-$O$66)/($O$43-$J$43)</f>
        <v>1.7999999999999999E-2</v>
      </c>
      <c r="L66" s="33">
        <f>K66-($J$66-$O$66)/($O$43-$J$43)</f>
        <v>1.3999999999999999E-2</v>
      </c>
      <c r="M66" s="33">
        <f>L66-($J$66-$O$66)/($O$43-$J$43)</f>
        <v>9.9999999999999985E-3</v>
      </c>
      <c r="N66" s="33">
        <f>M66-($J$66-$O$66)/($O$43-$J$43)</f>
        <v>5.9999999999999993E-3</v>
      </c>
      <c r="O66" s="34">
        <f>G16</f>
        <v>2E-3</v>
      </c>
    </row>
    <row r="67" spans="2:15" x14ac:dyDescent="0.2">
      <c r="B67" s="13" t="s">
        <v>283</v>
      </c>
      <c r="J67" s="35">
        <f>J15</f>
        <v>0.02</v>
      </c>
      <c r="K67" s="37">
        <f>J67-($J$67-$O$67)/($O$43-$J$43)</f>
        <v>1.6400000000000001E-2</v>
      </c>
      <c r="L67" s="37">
        <f>K67-($J$67-$O$67)/($O$43-$J$43)</f>
        <v>1.2800000000000001E-2</v>
      </c>
      <c r="M67" s="37">
        <f>L67-($J$67-$O$67)/($O$43-$J$43)</f>
        <v>9.1999999999999998E-3</v>
      </c>
      <c r="N67" s="37">
        <f>M67-($J$67-$O$67)/($O$43-$J$43)</f>
        <v>5.5999999999999991E-3</v>
      </c>
      <c r="O67" s="36">
        <f>J16</f>
        <v>2E-3</v>
      </c>
    </row>
    <row r="68" spans="2:15" x14ac:dyDescent="0.2">
      <c r="B68" s="13" t="s">
        <v>284</v>
      </c>
      <c r="J68" s="41">
        <f>M15</f>
        <v>1.8000000000000002E-2</v>
      </c>
      <c r="K68" s="37">
        <f>J68-($J$68-$O$68)/($O$43-$J$43)</f>
        <v>1.4800000000000002E-2</v>
      </c>
      <c r="L68" s="37">
        <f>K68-($J$68-$O$68)/($O$43-$J$43)</f>
        <v>1.1600000000000003E-2</v>
      </c>
      <c r="M68" s="37">
        <f>L68-($J$68-$O$68)/($O$43-$J$43)</f>
        <v>8.400000000000003E-3</v>
      </c>
      <c r="N68" s="37">
        <f>M68-($J$68-$O$68)/($O$43-$J$43)</f>
        <v>5.2000000000000032E-3</v>
      </c>
      <c r="O68" s="36">
        <f>M16</f>
        <v>2E-3</v>
      </c>
    </row>
    <row r="70" spans="2:15" x14ac:dyDescent="0.2">
      <c r="B70" s="13" t="s">
        <v>276</v>
      </c>
      <c r="E70" s="29">
        <f>E39</f>
        <v>0</v>
      </c>
      <c r="F70" s="29">
        <f>F39</f>
        <v>-127024</v>
      </c>
      <c r="G70" s="29">
        <f>G39</f>
        <v>-112062</v>
      </c>
      <c r="H70" s="29">
        <f>H39</f>
        <v>394475</v>
      </c>
      <c r="I70" s="29">
        <f>I39</f>
        <v>-371161</v>
      </c>
      <c r="J70" s="29">
        <f t="shared" ref="J70:O70" ca="1" si="29">J71*J44</f>
        <v>-49408.401078663104</v>
      </c>
      <c r="K70" s="29">
        <f t="shared" ca="1" si="29"/>
        <v>-54472.762189226079</v>
      </c>
      <c r="L70" s="29">
        <f t="shared" ca="1" si="29"/>
        <v>-59647.674597202553</v>
      </c>
      <c r="M70" s="29">
        <f t="shared" ca="1" si="29"/>
        <v>-64866.84612445777</v>
      </c>
      <c r="N70" s="29">
        <f t="shared" ca="1" si="29"/>
        <v>-70056.193814414408</v>
      </c>
      <c r="O70" s="29">
        <f t="shared" ca="1" si="29"/>
        <v>-75660.689319567566</v>
      </c>
    </row>
    <row r="71" spans="2:15" x14ac:dyDescent="0.2">
      <c r="B71" s="13" t="s">
        <v>275</v>
      </c>
      <c r="E71" s="26">
        <f>E70/E44</f>
        <v>0</v>
      </c>
      <c r="F71" s="26">
        <f>F70/F44</f>
        <v>-3.3880800524066293E-2</v>
      </c>
      <c r="G71" s="26">
        <f>G70/G44</f>
        <v>-2.7759006777377037E-2</v>
      </c>
      <c r="H71" s="26">
        <f>H70/H44</f>
        <v>0.10329910324411164</v>
      </c>
      <c r="I71" s="26">
        <f>I70/I44</f>
        <v>-8.0068816369235421E-2</v>
      </c>
      <c r="J71" s="42">
        <f>J17</f>
        <v>-9.6023801066417794E-3</v>
      </c>
      <c r="K71" s="42">
        <f>J71</f>
        <v>-9.6023801066417794E-3</v>
      </c>
      <c r="L71" s="42">
        <f t="shared" ref="L71:O71" si="30">K71</f>
        <v>-9.6023801066417794E-3</v>
      </c>
      <c r="M71" s="42">
        <f t="shared" si="30"/>
        <v>-9.6023801066417794E-3</v>
      </c>
      <c r="N71" s="42">
        <f t="shared" si="30"/>
        <v>-9.6023801066417794E-3</v>
      </c>
      <c r="O71" s="42">
        <f t="shared" si="30"/>
        <v>-9.6023801066417794E-3</v>
      </c>
    </row>
    <row r="73" spans="2:15" ht="15" x14ac:dyDescent="0.25">
      <c r="B73" s="39" t="s">
        <v>279</v>
      </c>
      <c r="C73" s="39"/>
      <c r="D73" s="39"/>
      <c r="E73" s="39"/>
      <c r="F73" s="39"/>
      <c r="G73" s="39"/>
      <c r="H73" s="39"/>
      <c r="I73" s="39"/>
      <c r="J73" s="40">
        <f ca="1">J59+J61-J64-J70</f>
        <v>382832.44327866315</v>
      </c>
      <c r="K73" s="40">
        <f t="shared" ref="K73:O73" ca="1" si="31">K59+K61-K64-K70</f>
        <v>447089.99138104485</v>
      </c>
      <c r="L73" s="40">
        <f t="shared" ca="1" si="31"/>
        <v>516957.39938186307</v>
      </c>
      <c r="M73" s="40">
        <f t="shared" ca="1" si="31"/>
        <v>591981.99329411192</v>
      </c>
      <c r="N73" s="40">
        <f t="shared" ca="1" si="31"/>
        <v>671514.6399412835</v>
      </c>
      <c r="O73" s="40">
        <f t="shared" ca="1" si="31"/>
        <v>759983.82529492013</v>
      </c>
    </row>
    <row r="74" spans="2:15" x14ac:dyDescent="0.2">
      <c r="B74" s="13" t="s">
        <v>280</v>
      </c>
      <c r="J74" s="29" cm="1">
        <f t="array" aca="1" ref="J74" ca="1">J73/(1+wacc)^J42</f>
        <v>344894.09304384066</v>
      </c>
      <c r="K74" s="29" cm="1">
        <f t="array" aca="1" ref="K74" ca="1">K73/(1+wacc)^K42</f>
        <v>362868.26668374706</v>
      </c>
      <c r="L74" s="29" cm="1">
        <f t="array" aca="1" ref="L74" ca="1">L73/(1+wacc)^L42</f>
        <v>377994.79492777144</v>
      </c>
      <c r="M74" s="29" cm="1">
        <f t="array" aca="1" ref="M74" ca="1">M73/(1+wacc)^M42</f>
        <v>389956.87511892925</v>
      </c>
      <c r="N74" s="29" cm="1">
        <f t="array" aca="1" ref="N74" ca="1">N73/(1+wacc)^N42</f>
        <v>398511.25488391949</v>
      </c>
      <c r="O74" s="29" cm="1">
        <f t="array" aca="1" ref="O74" ca="1">O73/(1+wacc)^O42</f>
        <v>406318.3877696342</v>
      </c>
    </row>
    <row r="75" spans="2:15" x14ac:dyDescent="0.2">
      <c r="B75" s="13" t="s">
        <v>298</v>
      </c>
      <c r="O75" s="29">
        <f ca="1">O74*(1+tgr)/(wacc-tgr)</f>
        <v>4899721.7348691188</v>
      </c>
    </row>
    <row r="76" spans="2:15" x14ac:dyDescent="0.2">
      <c r="B76" s="13" t="s">
        <v>299</v>
      </c>
      <c r="O76" s="29">
        <f ca="1">O75/(1+wacc)^O42</f>
        <v>2619591.32493285</v>
      </c>
    </row>
    <row r="77" spans="2:15" x14ac:dyDescent="0.2">
      <c r="O77" s="29"/>
    </row>
    <row r="78" spans="2:15" x14ac:dyDescent="0.2">
      <c r="B78" s="13" t="s">
        <v>300</v>
      </c>
      <c r="O78" s="29">
        <f ca="1">SUM(J74:O74,O76)</f>
        <v>4900134.9973606924</v>
      </c>
    </row>
    <row r="79" spans="2:15" x14ac:dyDescent="0.2">
      <c r="B79" s="43" t="s">
        <v>301</v>
      </c>
      <c r="O79" s="29">
        <f>CĐKT!F4+CĐKT!F7</f>
        <v>409621</v>
      </c>
    </row>
    <row r="80" spans="2:15" x14ac:dyDescent="0.2">
      <c r="B80" s="43" t="s">
        <v>302</v>
      </c>
      <c r="O80" s="29">
        <f>CĐKT!F80</f>
        <v>572218</v>
      </c>
    </row>
    <row r="81" spans="2:15" ht="15" x14ac:dyDescent="0.25">
      <c r="B81" s="44" t="s">
        <v>303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5">
        <f ca="1">O78+O79-O80</f>
        <v>4737537.9973606924</v>
      </c>
    </row>
    <row r="82" spans="2:15" ht="15" x14ac:dyDescent="0.25">
      <c r="B82" s="44" t="s">
        <v>304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f>118792605/1000</f>
        <v>118792.605</v>
      </c>
    </row>
    <row r="83" spans="2:15" ht="15" x14ac:dyDescent="0.25">
      <c r="B83" s="44" t="s">
        <v>305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6">
        <f ca="1">O81/O82</f>
        <v>39.880748446931463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D6CB-E999-4CBC-B097-614A1DAFEC4E}">
  <sheetPr>
    <tabColor theme="7" tint="0.79998168889431442"/>
  </sheetPr>
  <dimension ref="A3:O19"/>
  <sheetViews>
    <sheetView showGridLines="0" zoomScale="130" zoomScaleNormal="130" workbookViewId="0">
      <selection activeCell="I17" sqref="I17"/>
    </sheetView>
  </sheetViews>
  <sheetFormatPr defaultRowHeight="14.25" x14ac:dyDescent="0.2"/>
  <cols>
    <col min="1" max="1" width="4.42578125" style="13" customWidth="1"/>
    <col min="2" max="2" width="9.85546875" style="13" bestFit="1" customWidth="1"/>
    <col min="3" max="3" width="9.140625" style="13"/>
    <col min="4" max="7" width="12.5703125" style="13" customWidth="1"/>
    <col min="8" max="8" width="14" style="13" customWidth="1"/>
    <col min="9" max="15" width="12.5703125" style="13" customWidth="1"/>
    <col min="16" max="16384" width="9.140625" style="13"/>
  </cols>
  <sheetData>
    <row r="3" spans="1:15" ht="15" x14ac:dyDescent="0.25">
      <c r="A3" s="13" t="s">
        <v>254</v>
      </c>
      <c r="B3" s="23" t="s">
        <v>255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5" x14ac:dyDescent="0.25">
      <c r="E4" s="14" t="s">
        <v>282</v>
      </c>
      <c r="H4" s="14" t="s">
        <v>283</v>
      </c>
      <c r="K4" s="14" t="s">
        <v>284</v>
      </c>
    </row>
    <row r="5" spans="1:15" x14ac:dyDescent="0.2">
      <c r="B5" s="13" t="s">
        <v>343</v>
      </c>
      <c r="C5" s="56">
        <v>2</v>
      </c>
      <c r="E5" s="13" t="s">
        <v>344</v>
      </c>
      <c r="F5" s="57">
        <v>0.08</v>
      </c>
      <c r="H5" s="13" t="s">
        <v>344</v>
      </c>
      <c r="I5" s="57">
        <v>0.09</v>
      </c>
      <c r="K5" s="13" t="s">
        <v>344</v>
      </c>
      <c r="L5" s="57">
        <v>0.08</v>
      </c>
    </row>
    <row r="6" spans="1:15" x14ac:dyDescent="0.2">
      <c r="E6" s="13" t="s">
        <v>345</v>
      </c>
      <c r="F6" s="57">
        <v>7.0000000000000007E-2</v>
      </c>
      <c r="H6" s="13" t="s">
        <v>345</v>
      </c>
      <c r="I6" s="57">
        <v>0.08</v>
      </c>
      <c r="K6" s="13" t="s">
        <v>345</v>
      </c>
      <c r="L6" s="57">
        <v>0.09</v>
      </c>
    </row>
    <row r="7" spans="1:15" x14ac:dyDescent="0.2">
      <c r="B7" s="13" t="s">
        <v>290</v>
      </c>
      <c r="C7" s="57">
        <f>CHOOSE(C5,F7,I7,L7)</f>
        <v>0.08</v>
      </c>
      <c r="E7" s="13" t="s">
        <v>290</v>
      </c>
      <c r="F7" s="57">
        <f>F6</f>
        <v>7.0000000000000007E-2</v>
      </c>
      <c r="H7" s="13" t="s">
        <v>290</v>
      </c>
      <c r="I7" s="57">
        <f>I6</f>
        <v>0.08</v>
      </c>
      <c r="K7" s="13" t="s">
        <v>290</v>
      </c>
      <c r="L7" s="57">
        <f>L6</f>
        <v>0.09</v>
      </c>
    </row>
    <row r="8" spans="1:15" x14ac:dyDescent="0.2">
      <c r="H8" s="13" t="s">
        <v>346</v>
      </c>
      <c r="I8" s="57">
        <f>WACC!B11</f>
        <v>0.12660000000000002</v>
      </c>
    </row>
    <row r="9" spans="1:15" x14ac:dyDescent="0.2">
      <c r="J9" s="13">
        <f>J10-$I$10</f>
        <v>1</v>
      </c>
      <c r="K9" s="13">
        <f t="shared" ref="K9:O9" si="0">K10-$I$10</f>
        <v>2</v>
      </c>
      <c r="L9" s="13">
        <f t="shared" si="0"/>
        <v>3</v>
      </c>
      <c r="M9" s="13">
        <f t="shared" si="0"/>
        <v>4</v>
      </c>
      <c r="N9" s="13">
        <f t="shared" si="0"/>
        <v>5</v>
      </c>
      <c r="O9" s="13">
        <f t="shared" si="0"/>
        <v>6</v>
      </c>
    </row>
    <row r="10" spans="1:15" ht="15" x14ac:dyDescent="0.25">
      <c r="A10" s="13" t="s">
        <v>254</v>
      </c>
      <c r="B10" s="23"/>
      <c r="C10" s="23"/>
      <c r="D10" s="23">
        <v>2016</v>
      </c>
      <c r="E10" s="23">
        <f t="shared" ref="E10:O10" si="1">D10+1</f>
        <v>2017</v>
      </c>
      <c r="F10" s="23">
        <f t="shared" si="1"/>
        <v>2018</v>
      </c>
      <c r="G10" s="23">
        <f t="shared" si="1"/>
        <v>2019</v>
      </c>
      <c r="H10" s="23">
        <f t="shared" si="1"/>
        <v>2020</v>
      </c>
      <c r="I10" s="23">
        <f t="shared" si="1"/>
        <v>2021</v>
      </c>
      <c r="J10" s="23">
        <f t="shared" si="1"/>
        <v>2022</v>
      </c>
      <c r="K10" s="23">
        <f t="shared" si="1"/>
        <v>2023</v>
      </c>
      <c r="L10" s="23">
        <f t="shared" si="1"/>
        <v>2024</v>
      </c>
      <c r="M10" s="23">
        <f t="shared" si="1"/>
        <v>2025</v>
      </c>
      <c r="N10" s="23">
        <f t="shared" si="1"/>
        <v>2026</v>
      </c>
      <c r="O10" s="23">
        <f t="shared" si="1"/>
        <v>2027</v>
      </c>
    </row>
    <row r="11" spans="1:15" x14ac:dyDescent="0.2">
      <c r="B11" s="13" t="s">
        <v>342</v>
      </c>
      <c r="D11" s="29">
        <v>4500</v>
      </c>
      <c r="E11" s="29">
        <v>1800</v>
      </c>
      <c r="F11" s="29">
        <v>1100</v>
      </c>
      <c r="G11" s="29">
        <v>1100</v>
      </c>
      <c r="H11" s="29">
        <v>1500</v>
      </c>
      <c r="I11" s="29">
        <v>1500</v>
      </c>
      <c r="J11" s="29">
        <f ca="1">I11*(1+J12)</f>
        <v>1635.0000000000002</v>
      </c>
      <c r="K11" s="29">
        <f t="shared" ref="K11:O11" ca="1" si="2">J11*(1+K12)</f>
        <v>1778.0625</v>
      </c>
      <c r="L11" s="29">
        <f t="shared" ca="1" si="2"/>
        <v>1929.1978124999998</v>
      </c>
      <c r="M11" s="29">
        <f t="shared" ca="1" si="2"/>
        <v>2088.3566320312498</v>
      </c>
      <c r="N11" s="29">
        <f t="shared" ca="1" si="2"/>
        <v>2255.42516259375</v>
      </c>
      <c r="O11" s="29">
        <f t="shared" ca="1" si="2"/>
        <v>2435.8591756012502</v>
      </c>
    </row>
    <row r="12" spans="1:15" x14ac:dyDescent="0.2">
      <c r="B12" s="13" t="s">
        <v>343</v>
      </c>
      <c r="E12" s="30">
        <f>E11/D11-1</f>
        <v>-0.6</v>
      </c>
      <c r="F12" s="30">
        <f>F11/E11-1</f>
        <v>-0.38888888888888884</v>
      </c>
      <c r="G12" s="30">
        <f>G11/F11-1</f>
        <v>0</v>
      </c>
      <c r="H12" s="30">
        <f>H11/G11-1</f>
        <v>0.36363636363636354</v>
      </c>
      <c r="I12" s="30">
        <f>I11/H11-1</f>
        <v>0</v>
      </c>
      <c r="J12" s="30">
        <f ca="1">OFFSET(J12,$C$5,0)</f>
        <v>0.09</v>
      </c>
      <c r="K12" s="30">
        <f t="shared" ref="K12:O12" ca="1" si="3">OFFSET(K12,$C$5,0)</f>
        <v>8.7499999999999994E-2</v>
      </c>
      <c r="L12" s="30">
        <f t="shared" ca="1" si="3"/>
        <v>8.4999999999999992E-2</v>
      </c>
      <c r="M12" s="30">
        <f t="shared" ca="1" si="3"/>
        <v>8.249999999999999E-2</v>
      </c>
      <c r="N12" s="30">
        <f t="shared" ca="1" si="3"/>
        <v>7.9999999999999988E-2</v>
      </c>
      <c r="O12" s="30">
        <f t="shared" ca="1" si="3"/>
        <v>0.08</v>
      </c>
    </row>
    <row r="13" spans="1:15" x14ac:dyDescent="0.2">
      <c r="B13" s="13" t="s">
        <v>282</v>
      </c>
      <c r="J13" s="42">
        <f>F5</f>
        <v>0.08</v>
      </c>
      <c r="K13" s="27">
        <f>J13-($J$13-$O$13)/($O$10-$J$10)</f>
        <v>7.8E-2</v>
      </c>
      <c r="L13" s="27">
        <f>K13-($J$13-$O$13)/($O$10-$J$10)</f>
        <v>7.5999999999999998E-2</v>
      </c>
      <c r="M13" s="27">
        <f>L13-($J$13-$O$13)/($O$10-$J$10)</f>
        <v>7.3999999999999996E-2</v>
      </c>
      <c r="N13" s="27">
        <f>M13-($J$13-$O$13)/($O$10-$J$10)</f>
        <v>7.1999999999999995E-2</v>
      </c>
      <c r="O13" s="42">
        <f>F6</f>
        <v>7.0000000000000007E-2</v>
      </c>
    </row>
    <row r="14" spans="1:15" x14ac:dyDescent="0.2">
      <c r="B14" s="13" t="s">
        <v>283</v>
      </c>
      <c r="J14" s="42">
        <f>I5</f>
        <v>0.09</v>
      </c>
      <c r="K14" s="27">
        <f>J14-($J$14-$O$14)/($O$10-$K$10)</f>
        <v>8.7499999999999994E-2</v>
      </c>
      <c r="L14" s="27">
        <f>K14-($J$14-$O$14)/($O$10-$K$10)</f>
        <v>8.4999999999999992E-2</v>
      </c>
      <c r="M14" s="27">
        <f>L14-($J$14-$O$14)/($O$10-$K$10)</f>
        <v>8.249999999999999E-2</v>
      </c>
      <c r="N14" s="27">
        <f>M14-($J$14-$O$14)/($O$10-$K$10)</f>
        <v>7.9999999999999988E-2</v>
      </c>
      <c r="O14" s="42">
        <f>I6</f>
        <v>0.08</v>
      </c>
    </row>
    <row r="15" spans="1:15" x14ac:dyDescent="0.2">
      <c r="B15" s="13" t="s">
        <v>284</v>
      </c>
      <c r="J15" s="42">
        <f>L5</f>
        <v>0.08</v>
      </c>
      <c r="K15" s="27">
        <f>J15-($J$15-$O$15)/($O$10-$J$10)</f>
        <v>8.2000000000000003E-2</v>
      </c>
      <c r="L15" s="27">
        <f>K15-($J$15-$O$15)/($O$10-$J$10)</f>
        <v>8.4000000000000005E-2</v>
      </c>
      <c r="M15" s="27">
        <f>L15-($J$15-$O$15)/($O$10-$J$10)</f>
        <v>8.6000000000000007E-2</v>
      </c>
      <c r="N15" s="27">
        <f>M15-($J$15-$O$15)/($O$10-$J$10)</f>
        <v>8.8000000000000009E-2</v>
      </c>
      <c r="O15" s="42">
        <f>L6</f>
        <v>0.09</v>
      </c>
    </row>
    <row r="16" spans="1:15" x14ac:dyDescent="0.2">
      <c r="B16" s="13" t="s">
        <v>349</v>
      </c>
      <c r="J16" s="29">
        <f t="shared" ref="J16:O16" ca="1" si="4">J11/(1+re)^J9</f>
        <v>1451.2693058760874</v>
      </c>
      <c r="K16" s="29">
        <f t="shared" ca="1" si="4"/>
        <v>1400.9012694303613</v>
      </c>
      <c r="L16" s="29">
        <f t="shared" ca="1" si="4"/>
        <v>1349.1726232309086</v>
      </c>
      <c r="M16" s="29">
        <f t="shared" ca="1" si="4"/>
        <v>1296.360167448481</v>
      </c>
      <c r="N16" s="29">
        <f t="shared" ca="1" si="4"/>
        <v>1242.7383107086453</v>
      </c>
      <c r="O16" s="29">
        <f t="shared" ca="1" si="4"/>
        <v>1191.3344359713624</v>
      </c>
    </row>
    <row r="17" spans="2:15" x14ac:dyDescent="0.2">
      <c r="B17" s="13" t="s">
        <v>347</v>
      </c>
      <c r="J17" s="29"/>
      <c r="K17" s="29"/>
      <c r="L17" s="29"/>
      <c r="M17" s="29"/>
      <c r="N17" s="29"/>
      <c r="O17" s="29">
        <f ca="1">O11*(1+tgr_d)/(re-tgr_d)</f>
        <v>56453.388619084748</v>
      </c>
    </row>
    <row r="18" spans="2:15" x14ac:dyDescent="0.2">
      <c r="B18" s="13" t="s">
        <v>348</v>
      </c>
      <c r="J18" s="29"/>
      <c r="K18" s="29"/>
      <c r="L18" s="29"/>
      <c r="M18" s="29"/>
      <c r="N18" s="29"/>
      <c r="O18" s="29">
        <f ca="1">O17/(1+re)^O9</f>
        <v>27610.325983885639</v>
      </c>
    </row>
    <row r="19" spans="2:15" x14ac:dyDescent="0.2">
      <c r="B19" s="13" t="s">
        <v>350</v>
      </c>
      <c r="J19" s="29"/>
      <c r="K19" s="29"/>
      <c r="L19" s="29"/>
      <c r="M19" s="29"/>
      <c r="N19" s="29"/>
      <c r="O19" s="29">
        <f ca="1">SUM(J16:O16,O18)</f>
        <v>35542.102096551484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1854-15D7-45D0-8CBC-C4779F18D893}">
  <sheetPr>
    <tabColor theme="5" tint="0.79998168889431442"/>
  </sheetPr>
  <dimension ref="A1:B13"/>
  <sheetViews>
    <sheetView showGridLines="0" zoomScale="130" zoomScaleNormal="130" workbookViewId="0">
      <selection activeCell="H28" sqref="H28"/>
    </sheetView>
  </sheetViews>
  <sheetFormatPr defaultRowHeight="14.25" x14ac:dyDescent="0.2"/>
  <cols>
    <col min="1" max="1" width="13.140625" style="13" bestFit="1" customWidth="1"/>
    <col min="2" max="2" width="24.28515625" style="13" bestFit="1" customWidth="1"/>
    <col min="3" max="16384" width="9.140625" style="13"/>
  </cols>
  <sheetData>
    <row r="1" spans="1:2" x14ac:dyDescent="0.2">
      <c r="A1" s="13" t="s">
        <v>308</v>
      </c>
      <c r="B1" s="17">
        <f>CĐKT!F80+CĐKT!F93</f>
        <v>573818</v>
      </c>
    </row>
    <row r="2" spans="1:2" x14ac:dyDescent="0.2">
      <c r="A2" s="13" t="s">
        <v>309</v>
      </c>
      <c r="B2" s="30">
        <f>B1/(B1+B6)</f>
        <v>0.14963916135852867</v>
      </c>
    </row>
    <row r="3" spans="1:2" x14ac:dyDescent="0.2">
      <c r="A3" s="13" t="s">
        <v>310</v>
      </c>
      <c r="B3" s="50">
        <f>KQKD!F9/WACC!B1</f>
        <v>1.609395313496614E-2</v>
      </c>
    </row>
    <row r="4" spans="1:2" x14ac:dyDescent="0.2">
      <c r="A4" s="13" t="s">
        <v>313</v>
      </c>
      <c r="B4" s="42">
        <v>0.19</v>
      </c>
    </row>
    <row r="6" spans="1:2" x14ac:dyDescent="0.2">
      <c r="A6" s="13" t="s">
        <v>311</v>
      </c>
      <c r="B6" s="29">
        <v>3260860</v>
      </c>
    </row>
    <row r="7" spans="1:2" x14ac:dyDescent="0.2">
      <c r="A7" s="13" t="s">
        <v>312</v>
      </c>
      <c r="B7" s="30">
        <f>B6/(B6+B1)</f>
        <v>0.85036083864147138</v>
      </c>
    </row>
    <row r="8" spans="1:2" x14ac:dyDescent="0.2">
      <c r="A8" s="13" t="s">
        <v>315</v>
      </c>
      <c r="B8" s="13">
        <v>1.25</v>
      </c>
    </row>
    <row r="9" spans="1:2" x14ac:dyDescent="0.2">
      <c r="A9" s="13" t="s">
        <v>316</v>
      </c>
      <c r="B9" s="42">
        <v>8.2000000000000003E-2</v>
      </c>
    </row>
    <row r="10" spans="1:2" x14ac:dyDescent="0.2">
      <c r="A10" s="13" t="s">
        <v>317</v>
      </c>
      <c r="B10" s="50">
        <v>2.41E-2</v>
      </c>
    </row>
    <row r="11" spans="1:2" x14ac:dyDescent="0.2">
      <c r="A11" s="13" t="s">
        <v>314</v>
      </c>
      <c r="B11" s="50">
        <f>B10+B8*B9</f>
        <v>0.12660000000000002</v>
      </c>
    </row>
    <row r="13" spans="1:2" x14ac:dyDescent="0.2">
      <c r="A13" s="13" t="s">
        <v>289</v>
      </c>
      <c r="B13" s="50">
        <f>B3*B2*(1-B4)+B7*B11</f>
        <v>0.10960639354855874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CSTC</vt:lpstr>
      <vt:lpstr>CĐKT</vt:lpstr>
      <vt:lpstr>LCTT</vt:lpstr>
      <vt:lpstr>KQKD</vt:lpstr>
      <vt:lpstr>DCF</vt:lpstr>
      <vt:lpstr>DDM</vt:lpstr>
      <vt:lpstr>WACC</vt:lpstr>
      <vt:lpstr>re</vt:lpstr>
      <vt:lpstr>tgr</vt:lpstr>
      <vt:lpstr>tgr_d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2022-06-29T03:23:34Z</dcterms:created>
  <dcterms:modified xsi:type="dcterms:W3CDTF">2022-07-04T03:44:21Z</dcterms:modified>
</cp:coreProperties>
</file>