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Valuation\"/>
    </mc:Choice>
  </mc:AlternateContent>
  <xr:revisionPtr revIDLastSave="0" documentId="13_ncr:1_{03579449-4357-4F83-A3C7-FFF96F61ADAF}" xr6:coauthVersionLast="47" xr6:coauthVersionMax="47" xr10:uidLastSave="{00000000-0000-0000-0000-000000000000}"/>
  <bookViews>
    <workbookView xWindow="-120" yWindow="-120" windowWidth="29040" windowHeight="17520" activeTab="4" xr2:uid="{A113AAE8-6214-4B6D-AB8C-F5D663DFCC07}"/>
  </bookViews>
  <sheets>
    <sheet name="CSTC" sheetId="1" r:id="rId1"/>
    <sheet name="CĐKT" sheetId="2" r:id="rId2"/>
    <sheet name="LCTT" sheetId="4" r:id="rId3"/>
    <sheet name="KQKD" sheetId="3" r:id="rId4"/>
    <sheet name="DCF" sheetId="5" r:id="rId5"/>
    <sheet name="WACC" sheetId="6" r:id="rId6"/>
  </sheets>
  <definedNames>
    <definedName name="re">#REF!</definedName>
    <definedName name="tgr">DCF!$D$18</definedName>
    <definedName name="tgr_d">#REF!</definedName>
    <definedName name="wacc">DCF!$D$17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5" l="1"/>
  <c r="M11" i="5"/>
  <c r="G11" i="5"/>
  <c r="J45" i="5"/>
  <c r="J44" i="5"/>
  <c r="K45" i="5"/>
  <c r="K44" i="5"/>
  <c r="L45" i="5"/>
  <c r="L44" i="5"/>
  <c r="M45" i="5"/>
  <c r="M44" i="5"/>
  <c r="N45" i="5"/>
  <c r="N44" i="5"/>
  <c r="O45" i="5"/>
  <c r="O44" i="5"/>
  <c r="O70" i="5"/>
  <c r="O72" i="5"/>
  <c r="N70" i="5"/>
  <c r="N72" i="5"/>
  <c r="M70" i="5"/>
  <c r="M72" i="5"/>
  <c r="L70" i="5"/>
  <c r="L72" i="5"/>
  <c r="K70" i="5"/>
  <c r="K72" i="5"/>
  <c r="J70" i="5"/>
  <c r="J72" i="5"/>
  <c r="I72" i="5"/>
  <c r="H72" i="5"/>
  <c r="G72" i="5"/>
  <c r="F72" i="5"/>
  <c r="G11" i="2"/>
  <c r="H70" i="2"/>
  <c r="I70" i="2"/>
  <c r="H11" i="2"/>
  <c r="F39" i="5"/>
  <c r="G39" i="5"/>
  <c r="H39" i="5"/>
  <c r="I39" i="5"/>
  <c r="G15" i="5"/>
  <c r="J66" i="5"/>
  <c r="I70" i="5"/>
  <c r="I22" i="5"/>
  <c r="I44" i="5"/>
  <c r="I71" i="5"/>
  <c r="H70" i="5"/>
  <c r="H22" i="5"/>
  <c r="H44" i="5"/>
  <c r="H71" i="5"/>
  <c r="G70" i="5"/>
  <c r="G22" i="5"/>
  <c r="G44" i="5"/>
  <c r="G71" i="5"/>
  <c r="F70" i="5"/>
  <c r="F22" i="5"/>
  <c r="F44" i="5"/>
  <c r="F71" i="5"/>
  <c r="O80" i="5"/>
  <c r="M15" i="5"/>
  <c r="J68" i="5"/>
  <c r="D18" i="5"/>
  <c r="G89" i="5"/>
  <c r="H89" i="5"/>
  <c r="E89" i="5"/>
  <c r="D89" i="5"/>
  <c r="C92" i="5"/>
  <c r="C93" i="5"/>
  <c r="C94" i="5"/>
  <c r="C91" i="5"/>
  <c r="C90" i="5"/>
  <c r="D17" i="5"/>
  <c r="J53" i="5"/>
  <c r="J51" i="5"/>
  <c r="J47" i="5"/>
  <c r="J50" i="5"/>
  <c r="J57" i="5"/>
  <c r="J56" i="5"/>
  <c r="J59" i="5"/>
  <c r="E32" i="5"/>
  <c r="E61" i="5"/>
  <c r="E22" i="5"/>
  <c r="E44" i="5"/>
  <c r="E62" i="5"/>
  <c r="F32" i="5"/>
  <c r="F61" i="5"/>
  <c r="F62" i="5"/>
  <c r="G32" i="5"/>
  <c r="G61" i="5"/>
  <c r="G62" i="5"/>
  <c r="H32" i="5"/>
  <c r="H61" i="5"/>
  <c r="H62" i="5"/>
  <c r="I32" i="5"/>
  <c r="I61" i="5"/>
  <c r="I62" i="5"/>
  <c r="J14" i="5"/>
  <c r="J62" i="5"/>
  <c r="J61" i="5"/>
  <c r="J67" i="5"/>
  <c r="J65" i="5"/>
  <c r="J64" i="5"/>
  <c r="J71" i="5"/>
  <c r="J74" i="5"/>
  <c r="F43" i="5"/>
  <c r="G43" i="5"/>
  <c r="H43" i="5"/>
  <c r="I43" i="5"/>
  <c r="J43" i="5"/>
  <c r="J42" i="5"/>
  <c r="J75" i="5" a="1"/>
  <c r="J75" i="5"/>
  <c r="O53" i="5"/>
  <c r="K43" i="5"/>
  <c r="L43" i="5"/>
  <c r="M43" i="5"/>
  <c r="N43" i="5"/>
  <c r="O43" i="5"/>
  <c r="K53" i="5"/>
  <c r="K51" i="5"/>
  <c r="O47" i="5"/>
  <c r="K47" i="5"/>
  <c r="K50" i="5"/>
  <c r="K57" i="5"/>
  <c r="K56" i="5"/>
  <c r="K59" i="5"/>
  <c r="K62" i="5"/>
  <c r="K61" i="5"/>
  <c r="O67" i="5"/>
  <c r="K67" i="5"/>
  <c r="K65" i="5"/>
  <c r="K64" i="5"/>
  <c r="K71" i="5"/>
  <c r="K74" i="5"/>
  <c r="K42" i="5"/>
  <c r="K75" i="5" a="1"/>
  <c r="K75" i="5"/>
  <c r="L53" i="5"/>
  <c r="L51" i="5"/>
  <c r="L47" i="5"/>
  <c r="L50" i="5"/>
  <c r="L57" i="5"/>
  <c r="L56" i="5"/>
  <c r="L59" i="5"/>
  <c r="L62" i="5"/>
  <c r="L61" i="5"/>
  <c r="L67" i="5"/>
  <c r="L65" i="5"/>
  <c r="L64" i="5"/>
  <c r="L71" i="5"/>
  <c r="L74" i="5"/>
  <c r="L42" i="5"/>
  <c r="L75" i="5" a="1"/>
  <c r="M53" i="5"/>
  <c r="M51" i="5"/>
  <c r="M47" i="5"/>
  <c r="M50" i="5"/>
  <c r="M57" i="5"/>
  <c r="M56" i="5"/>
  <c r="M59" i="5"/>
  <c r="M62" i="5"/>
  <c r="M61" i="5"/>
  <c r="M67" i="5"/>
  <c r="M65" i="5"/>
  <c r="M64" i="5"/>
  <c r="M71" i="5"/>
  <c r="M74" i="5"/>
  <c r="M42" i="5"/>
  <c r="M75" i="5" a="1"/>
  <c r="N53" i="5"/>
  <c r="N51" i="5"/>
  <c r="N47" i="5"/>
  <c r="N50" i="5"/>
  <c r="N57" i="5"/>
  <c r="N56" i="5"/>
  <c r="N59" i="5"/>
  <c r="N62" i="5"/>
  <c r="N61" i="5"/>
  <c r="N67" i="5"/>
  <c r="N65" i="5"/>
  <c r="N64" i="5"/>
  <c r="N71" i="5"/>
  <c r="N74" i="5"/>
  <c r="N42" i="5"/>
  <c r="N75" i="5" a="1"/>
  <c r="O51" i="5"/>
  <c r="O50" i="5"/>
  <c r="O57" i="5"/>
  <c r="O56" i="5"/>
  <c r="O59" i="5"/>
  <c r="O62" i="5"/>
  <c r="O61" i="5"/>
  <c r="O65" i="5"/>
  <c r="O64" i="5"/>
  <c r="O71" i="5"/>
  <c r="O74" i="5"/>
  <c r="O42" i="5"/>
  <c r="O75" i="5" a="1"/>
  <c r="O75" i="5"/>
  <c r="O76" i="5"/>
  <c r="O77" i="5"/>
  <c r="L75" i="5"/>
  <c r="M75" i="5"/>
  <c r="N75" i="5"/>
  <c r="O79" i="5"/>
  <c r="O81" i="5"/>
  <c r="O82" i="5"/>
  <c r="O83" i="5"/>
  <c r="O84" i="5"/>
  <c r="C89" i="5"/>
  <c r="G18" i="5"/>
  <c r="M18" i="5"/>
  <c r="G16" i="5"/>
  <c r="M16" i="5"/>
  <c r="B11" i="6"/>
  <c r="B13" i="6"/>
  <c r="E25" i="5"/>
  <c r="E50" i="5"/>
  <c r="E28" i="5"/>
  <c r="E56" i="5"/>
  <c r="E59" i="5"/>
  <c r="E36" i="5"/>
  <c r="E64" i="5"/>
  <c r="E70" i="5"/>
  <c r="E74" i="5"/>
  <c r="F25" i="5"/>
  <c r="F50" i="5"/>
  <c r="F28" i="5"/>
  <c r="F56" i="5"/>
  <c r="F59" i="5"/>
  <c r="F36" i="5"/>
  <c r="F64" i="5"/>
  <c r="F74" i="5"/>
  <c r="G25" i="5"/>
  <c r="G50" i="5"/>
  <c r="G28" i="5"/>
  <c r="G56" i="5"/>
  <c r="G59" i="5"/>
  <c r="G36" i="5"/>
  <c r="G64" i="5"/>
  <c r="G74" i="5"/>
  <c r="H25" i="5"/>
  <c r="H50" i="5"/>
  <c r="H28" i="5"/>
  <c r="H56" i="5"/>
  <c r="H59" i="5"/>
  <c r="H36" i="5"/>
  <c r="H64" i="5"/>
  <c r="H74" i="5"/>
  <c r="I25" i="5"/>
  <c r="I50" i="5"/>
  <c r="I28" i="5"/>
  <c r="I56" i="5"/>
  <c r="I59" i="5"/>
  <c r="I36" i="5"/>
  <c r="I64" i="5"/>
  <c r="I74" i="5"/>
  <c r="M12" i="5"/>
  <c r="E26" i="5"/>
  <c r="F26" i="5"/>
  <c r="G26" i="5"/>
  <c r="H26" i="5"/>
  <c r="I26" i="5"/>
  <c r="G12" i="5"/>
  <c r="M10" i="5"/>
  <c r="G10" i="5"/>
  <c r="M9" i="5"/>
  <c r="G9" i="5"/>
  <c r="B1" i="6"/>
  <c r="J54" i="5"/>
  <c r="J48" i="5"/>
  <c r="O54" i="5"/>
  <c r="K54" i="5"/>
  <c r="J46" i="5"/>
  <c r="K46" i="5"/>
  <c r="K48" i="5"/>
  <c r="O68" i="5"/>
  <c r="K68" i="5"/>
  <c r="L54" i="5"/>
  <c r="O46" i="5"/>
  <c r="L46" i="5"/>
  <c r="O48" i="5"/>
  <c r="L48" i="5"/>
  <c r="L68" i="5"/>
  <c r="M54" i="5"/>
  <c r="M46" i="5"/>
  <c r="M48" i="5"/>
  <c r="M68" i="5"/>
  <c r="N54" i="5"/>
  <c r="N46" i="5"/>
  <c r="N48" i="5"/>
  <c r="N68" i="5"/>
  <c r="G19" i="5"/>
  <c r="M19" i="5"/>
  <c r="B3" i="6"/>
  <c r="B2" i="6"/>
  <c r="B7" i="6"/>
  <c r="J26" i="5"/>
  <c r="J52" i="5"/>
  <c r="O52" i="5"/>
  <c r="K52" i="5"/>
  <c r="L52" i="5"/>
  <c r="M52" i="5"/>
  <c r="N52" i="5"/>
  <c r="O66" i="5"/>
  <c r="K66" i="5"/>
  <c r="L66" i="5"/>
  <c r="M66" i="5"/>
  <c r="N66" i="5"/>
  <c r="E71" i="5"/>
  <c r="I65" i="5"/>
  <c r="H65" i="5"/>
  <c r="G65" i="5"/>
  <c r="F65" i="5"/>
  <c r="E65" i="5"/>
  <c r="F23" i="5"/>
  <c r="G23" i="5"/>
  <c r="H23" i="5"/>
  <c r="I23" i="5"/>
  <c r="J23" i="5"/>
  <c r="L23" i="5"/>
  <c r="K23" i="5"/>
  <c r="F29" i="5"/>
  <c r="G29" i="5"/>
  <c r="H29" i="5"/>
  <c r="I29" i="5"/>
  <c r="J29" i="5"/>
  <c r="O29" i="5"/>
  <c r="J22" i="5"/>
  <c r="K22" i="5"/>
  <c r="L22" i="5"/>
  <c r="M23" i="5"/>
  <c r="M22" i="5"/>
  <c r="N23" i="5"/>
  <c r="N22" i="5"/>
  <c r="O23" i="5"/>
  <c r="O22" i="5"/>
  <c r="O26" i="5"/>
  <c r="O25" i="5"/>
  <c r="O28" i="5"/>
  <c r="I57" i="5"/>
  <c r="H57" i="5"/>
  <c r="G57" i="5"/>
  <c r="F57" i="5"/>
  <c r="E57" i="5"/>
  <c r="N26" i="5"/>
  <c r="N25" i="5"/>
  <c r="M26" i="5"/>
  <c r="M25" i="5"/>
  <c r="L26" i="5"/>
  <c r="L25" i="5"/>
  <c r="K26" i="5"/>
  <c r="K25" i="5"/>
  <c r="J25" i="5"/>
  <c r="F51" i="5"/>
  <c r="G51" i="5"/>
  <c r="H51" i="5"/>
  <c r="I51" i="5"/>
  <c r="E51" i="5"/>
  <c r="F31" i="5"/>
  <c r="G31" i="5"/>
  <c r="H31" i="5"/>
  <c r="I31" i="5"/>
  <c r="J31" i="5"/>
  <c r="K31" i="5"/>
  <c r="L31" i="5"/>
  <c r="M31" i="5"/>
  <c r="N31" i="5"/>
  <c r="O31" i="5"/>
  <c r="F21" i="5"/>
  <c r="G21" i="5"/>
  <c r="H21" i="5"/>
  <c r="I21" i="5"/>
  <c r="J21" i="5"/>
  <c r="K21" i="5"/>
  <c r="L21" i="5"/>
  <c r="M21" i="5"/>
  <c r="N21" i="5"/>
  <c r="O21" i="5"/>
  <c r="G45" i="5"/>
  <c r="H45" i="5"/>
  <c r="I45" i="5"/>
  <c r="F45" i="5"/>
  <c r="G41" i="5"/>
  <c r="H41" i="5"/>
  <c r="I41" i="5"/>
  <c r="F41" i="5"/>
  <c r="F40" i="5"/>
  <c r="G40" i="5"/>
  <c r="H40" i="5"/>
  <c r="I40" i="5"/>
  <c r="F37" i="5"/>
  <c r="G37" i="5"/>
  <c r="H37" i="5"/>
  <c r="I37" i="5"/>
  <c r="E37" i="5"/>
  <c r="I34" i="5"/>
  <c r="H34" i="5"/>
  <c r="G34" i="5"/>
  <c r="F34" i="5"/>
  <c r="E34" i="5"/>
  <c r="F33" i="5"/>
  <c r="G33" i="5"/>
  <c r="H33" i="5"/>
  <c r="I33" i="5"/>
  <c r="E33" i="5"/>
  <c r="N29" i="5"/>
  <c r="N28" i="5"/>
  <c r="M29" i="5"/>
  <c r="M28" i="5"/>
  <c r="L29" i="5"/>
  <c r="L28" i="5"/>
  <c r="K29" i="5"/>
  <c r="K28" i="5"/>
  <c r="J28" i="5"/>
  <c r="E29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<sst xmlns="http://schemas.openxmlformats.org/spreadsheetml/2006/main" count="419" uniqueCount="360">
  <si>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</si>
  <si>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</si>
  <si>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</si>
  <si>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</si>
  <si>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</si>
  <si>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</si>
  <si>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</si>
  <si>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</si>
  <si>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</si>
  <si>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</si>
  <si>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</si>
  <si>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</si>
  <si>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</si>
  <si>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</si>
  <si>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</si>
  <si>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</si>
  <si>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</si>
  <si>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</si>
  <si>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</si>
  <si>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</si>
  <si>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</si>
  <si>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</si>
  <si>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</si>
  <si>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</si>
  <si>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</si>
  <si>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</si>
  <si>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</si>
  <si>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</si>
  <si>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</si>
  <si>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</si>
  <si>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</si>
  <si>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</si>
  <si>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</si>
  <si>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</si>
  <si>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</si>
  <si>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</si>
  <si>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</si>
  <si>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</si>
  <si>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</si>
  <si>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doanh thu thuần</t>
  </si>
  <si>
    <t>Tăng trưởng lợi nhuận gộp</t>
  </si>
  <si>
    <t>Tăng trưởng lợi nhuận trước thuế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</si>
  <si>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</si>
  <si>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</si>
  <si>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</si>
  <si>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</si>
  <si>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</si>
  <si>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</si>
  <si>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</si>
  <si>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</si>
  <si>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</si>
  <si>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</si>
  <si>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</si>
  <si>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</si>
  <si>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</si>
  <si>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</si>
  <si>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</si>
  <si>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</si>
  <si>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</si>
  <si>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</si>
  <si>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</si>
  <si>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</si>
  <si>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</si>
  <si>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</si>
  <si>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</si>
  <si>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</si>
  <si>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</si>
  <si>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</si>
  <si>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</si>
  <si>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</si>
  <si>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</si>
  <si>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</si>
  <si>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</si>
  <si>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</si>
  <si>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</si>
  <si>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</si>
  <si>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</si>
  <si>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</si>
  <si>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</si>
  <si>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</si>
  <si>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</si>
  <si>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</si>
  <si>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</si>
  <si>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</si>
  <si>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</si>
  <si>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</si>
  <si>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</si>
  <si>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</si>
  <si>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</si>
  <si>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</si>
  <si>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</si>
  <si>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</si>
  <si>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</si>
  <si>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</si>
  <si>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</si>
  <si>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</si>
  <si>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</si>
  <si>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</si>
  <si>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</si>
  <si>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</si>
  <si>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</si>
  <si>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</si>
  <si>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</t>
  </si>
  <si>
    <t>   A. TÀI SẢN NGẮN HẠN</t>
  </si>
  <si>
    <t>    I. Tiền và các khoản tương đương tiền</t>
  </si>
  <si>
    <t>    II. Đầu tư tài chính ngắn hạn</t>
  </si>
  <si>
    <t>    III. Các khoản phải thu ngắn hạn</t>
  </si>
  <si>
    <t>    IV. Hàng tồn kho</t>
  </si>
  <si>
    <t>    V. Tài sản ngắn hạn khác</t>
  </si>
  <si>
    <t>   B. TÀI SẢN DÀI HẠN</t>
  </si>
  <si>
    <t>    I. Các khoản phải thu dài hạn</t>
  </si>
  <si>
    <t>    II. Tài sản cố định</t>
  </si>
  <si>
    <t>    III. Bất động sản đầu tư</t>
  </si>
  <si>
    <t>    IV. Tài sản dở dang dài hạn</t>
  </si>
  <si>
    <t>    V. Đầu tư tài chính dài hạn</t>
  </si>
  <si>
    <t>    VI.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</si>
  <si>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</si>
  <si>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</si>
  <si>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</si>
  <si>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</si>
  <si>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</si>
  <si>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II. Nợ dài hạn</t>
  </si>
  <si>
    <t>   B. VỐN CHỦ SỞ HỮU</t>
  </si>
  <si>
    <t>    I. Vốn chủ sở hữu</t>
  </si>
  <si>
    <t>    II. Nguồn kinh phí và quỹ khác</t>
  </si>
  <si>
    <t>  C. LỢI ÍCH CỔ ĐÔNG THIỂU SỐ</t>
  </si>
  <si>
    <t> TỔNG CỘNG NGUỒN VỐN</t>
  </si>
  <si>
    <t>    1. Tiền</t>
  </si>
  <si>
    <t>    2. Các khoản tương đương tiền</t>
  </si>
  <si>
    <t>    1. Chứng khoán kinh doanh</t>
  </si>
  <si>
    <t>    2. Dự phòng giảm giá chứng khoán kinh doanh (*)</t>
  </si>
  <si>
    <t>    3. Đầu tư nắm giữ đến ngày đáo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</si>
  <si>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</si>
  <si>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</si>
  <si>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</si>
  <si>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</si>
  <si>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</si>
  <si>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</si>
  <si>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</si>
  <si>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</si>
  <si>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1. Hàng tồn kho</t>
  </si>
  <si>
    <t>    2. Dự phòng giảm giá hàng tồn kho (*)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</si>
  <si>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</si>
  <si>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</si>
  <si>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</si>
  <si>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</si>
  <si>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</si>
  <si>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 1. Phải thu dài hạn của khách hàng</t>
  </si>
  <si>
    <t>    2. Trả trước cho người bán dài hạn</t>
  </si>
  <si>
    <t>    3. Vốn kinh doanh ở các đơn vị trực thuộc</t>
  </si>
  <si>
    <t>    4. Phải thu nội bộ dài hạn</t>
  </si>
  <si>
    <t>    5. Phải thu về cho vay dài hạn</t>
  </si>
  <si>
    <t>    6. Phải thu dài hạn khác</t>
  </si>
  <si>
    <t>    7. Dự phòng phải thu dài hạn khó đòi (*)</t>
  </si>
  <si>
    <t>     1. Tài sản cố định hữu hình</t>
  </si>
  <si>
    <t>     2. Tài sản cố định thuê tài chính</t>
  </si>
  <si>
    <t>     3. Tài sản cố định vô hình</t>
  </si>
  <si>
    <t>     - Nguyên giá</t>
  </si>
  <si>
    <t>     - Giá trị hao mòn lũy kế (*)</t>
  </si>
  <si>
    <t>    1. Chi phí sản xuất, kinh doanh dở dang dài hạn</t>
  </si>
  <si>
    <t>    2. Chi phí xây dựng cơ bản dở dang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</si>
  <si>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</si>
  <si>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</si>
  <si>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</si>
  <si>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</si>
  <si>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</si>
  <si>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</si>
  <si>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</si>
  <si>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</si>
  <si>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</si>
  <si>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</si>
  <si>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</si>
  <si>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</si>
  <si>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</si>
  <si>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</si>
  <si>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</si>
  <si>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</si>
  <si>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</si>
  <si>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</si>
  <si>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</si>
  <si>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</si>
  <si>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</si>
  <si>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</si>
  <si>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</si>
  <si>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</si>
  <si>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</si>
  <si>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</si>
  <si>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</si>
  <si>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</si>
  <si>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</si>
  <si>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</si>
  <si>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</si>
  <si>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</si>
  <si>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</si>
  <si>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</si>
  <si>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</si>
  <si>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</si>
  <si>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</si>
  <si>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</si>
  <si>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  1. Vốn góp của chủ sở hữu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</si>
  <si>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</si>
  <si>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</si>
  <si>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</si>
  <si>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</si>
  <si>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</si>
  <si>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</si>
  <si>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</si>
  <si>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</si>
  <si>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</si>
  <si>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</si>
  <si>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12. Nguồn vốn đầu tư XDCB</t>
  </si>
  <si>
    <t>    13. Lợi ích cổ đông không kiểm soát</t>
  </si>
  <si>
    <t>    14. Quỹ dự phòng tài chính</t>
  </si>
  <si>
    <t>    1. Nguồn kinh phí</t>
  </si>
  <si>
    <t>    2. Nguồn kinh phí đã hình thành TSCĐ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</si>
  <si>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</si>
  <si>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</si>
  <si>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</si>
  <si>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</si>
  <si>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</si>
  <si>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</si>
  <si>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</si>
  <si>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</si>
  <si>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</si>
  <si>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</si>
  <si>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</si>
  <si>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</si>
  <si>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</si>
  <si>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</si>
  <si>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</si>
  <si>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</si>
  <si>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</si>
  <si>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</si>
  <si>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</si>
  <si>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</si>
  <si>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</si>
  <si>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</si>
  <si>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</si>
  <si>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</si>
  <si>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LƯU CHUYỂN TIỀN TỆ GIÁN TIẾP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</si>
  <si>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</si>
  <si>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</si>
  <si>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</si>
  <si>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</si>
  <si>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</si>
  <si>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</si>
  <si>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</si>
  <si>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</si>
  <si>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</si>
  <si>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</si>
  <si>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</si>
  <si>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</si>
  <si>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</si>
  <si>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</si>
  <si>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</si>
  <si>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</si>
  <si>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</si>
  <si>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</si>
  <si>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</si>
  <si>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</si>
  <si>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</si>
  <si>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</si>
  <si>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</si>
  <si>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</si>
  <si>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</si>
  <si>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</si>
  <si>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</si>
  <si>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</si>
  <si>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</si>
  <si>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</si>
  <si>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</si>
  <si>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</si>
  <si>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</si>
  <si>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</si>
  <si>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</si>
  <si>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</si>
  <si>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</si>
  <si>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</si>
  <si>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</si>
  <si>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</si>
  <si>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</si>
  <si>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</si>
  <si>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</si>
  <si>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</si>
  <si>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</si>
  <si>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</si>
  <si>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</si>
  <si>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</si>
  <si>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</si>
  <si>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</si>
  <si>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Ticker</t>
  </si>
  <si>
    <t>Date</t>
  </si>
  <si>
    <t>x</t>
  </si>
  <si>
    <t>Assumptions</t>
  </si>
  <si>
    <t>Income Statement</t>
  </si>
  <si>
    <t>Cash Flow Items</t>
  </si>
  <si>
    <t>DCF</t>
  </si>
  <si>
    <t>Revenue</t>
  </si>
  <si>
    <t>% growth</t>
  </si>
  <si>
    <t>EBIT</t>
  </si>
  <si>
    <t>%Sales</t>
  </si>
  <si>
    <t>Taxes</t>
  </si>
  <si>
    <t>% of EBIT</t>
  </si>
  <si>
    <t>      - Nguyên giá</t>
  </si>
  <si>
    <t>      - Giá trị hao mòn lũy kế (*)</t>
  </si>
  <si>
    <t>     - Cổ phiếu phổ thông có quyền biểu quyết</t>
  </si>
  <si>
    <t>     - Cổ phiếu ưu đãi</t>
  </si>
  <si>
    <t>D&amp;A</t>
  </si>
  <si>
    <t>% of sales</t>
  </si>
  <si>
    <t>% of CapEx</t>
  </si>
  <si>
    <t>CapEx</t>
  </si>
  <si>
    <t>% of Sales</t>
  </si>
  <si>
    <t>Change in NWC</t>
  </si>
  <si>
    <t>% of change in sales</t>
  </si>
  <si>
    <t>EBIAT</t>
  </si>
  <si>
    <t>Unlevered FCF</t>
  </si>
  <si>
    <t>Present Value of FCF</t>
  </si>
  <si>
    <t>% margin</t>
  </si>
  <si>
    <t>Conservative Case</t>
  </si>
  <si>
    <t>Base Case</t>
  </si>
  <si>
    <t>Optimistic Case</t>
  </si>
  <si>
    <t>% EBIT</t>
  </si>
  <si>
    <t>Switches</t>
  </si>
  <si>
    <t>Revenue Growth</t>
  </si>
  <si>
    <t>EBIT Margin</t>
  </si>
  <si>
    <t>WACC</t>
  </si>
  <si>
    <t>TGR</t>
  </si>
  <si>
    <t>Valuation Assumption</t>
  </si>
  <si>
    <t>Revenue 2027</t>
  </si>
  <si>
    <t>Revenue 2022</t>
  </si>
  <si>
    <t>EBIT 2022</t>
  </si>
  <si>
    <t>EBIT 2027</t>
  </si>
  <si>
    <t>NWC</t>
  </si>
  <si>
    <t>CapEx 2027</t>
  </si>
  <si>
    <t>Terminal Value</t>
  </si>
  <si>
    <t>Present Value of Terminal Value</t>
  </si>
  <si>
    <t>Enterprise Value</t>
  </si>
  <si>
    <t>+ Cash</t>
  </si>
  <si>
    <t>- Dept</t>
  </si>
  <si>
    <t>Equity Value</t>
  </si>
  <si>
    <t>Number of Shares</t>
  </si>
  <si>
    <t>Share price</t>
  </si>
  <si>
    <t>Implied Share Price</t>
  </si>
  <si>
    <t>Current Share Price</t>
  </si>
  <si>
    <t>debt</t>
  </si>
  <si>
    <t>% debt</t>
  </si>
  <si>
    <t>cost of debt</t>
  </si>
  <si>
    <t>equity</t>
  </si>
  <si>
    <t>% equity</t>
  </si>
  <si>
    <t>taxes</t>
  </si>
  <si>
    <t>cost of equity</t>
  </si>
  <si>
    <t>beta</t>
  </si>
  <si>
    <t>MRP</t>
  </si>
  <si>
    <t>risk free rate</t>
  </si>
  <si>
    <t>Sensitivity Analysis</t>
  </si>
  <si>
    <t>Terminal Growth Rate</t>
  </si>
  <si>
    <t>HPG</t>
  </si>
  <si>
    <t>HPG DCF</t>
  </si>
  <si>
    <t>CapEx 2022</t>
  </si>
  <si>
    <t>Chỉ số tài chính - 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</si>
</sst>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15096"/>
      <name val="Arial"/>
      <family val="2"/>
    </font>
    <font>
      <b/>
      <sz val="11"/>
      <color rgb="FF275F8F"/>
      <name val="Arial"/>
      <family val="2"/>
    </font>
    <font>
      <sz val="11"/>
      <color rgb="FF333333"/>
      <name val="Arial"/>
      <family val="2"/>
    </font>
    <font>
      <b/>
      <sz val="11"/>
      <color rgb="FF005288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8"/>
      <color theme="1"/>
      <name val="Arial"/>
      <family val="2"/>
    </font>
    <font>
      <sz val="11"/>
      <color theme="4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2" fontId="0" fillId="0" borderId="0" xfId="0" applyNumberFormat="1"/>
    <xf numFmtId="3" fontId="6" fillId="2" borderId="2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0" fontId="7" fillId="4" borderId="0" xfId="0" applyFont="1" applyFill="1" applyAlignment="1">
      <alignment horizontal="center"/>
    </xf>
    <xf numFmtId="2" fontId="7" fillId="0" borderId="0" xfId="0" applyNumberFormat="1" applyFont="1"/>
    <xf numFmtId="14" fontId="7" fillId="4" borderId="0" xfId="0" applyNumberFormat="1" applyFont="1" applyFill="1" applyAlignment="1">
      <alignment horizontal="center"/>
    </xf>
    <xf numFmtId="0" fontId="9" fillId="5" borderId="0" xfId="0" applyFont="1" applyFill="1"/>
    <xf numFmtId="3" fontId="10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7" fillId="0" borderId="0" xfId="1" applyNumberFormat="1" applyFont="1"/>
    <xf numFmtId="164" fontId="7" fillId="0" borderId="0" xfId="0" applyNumberFormat="1" applyFont="1"/>
    <xf numFmtId="3" fontId="10" fillId="0" borderId="0" xfId="0" applyNumberFormat="1" applyFont="1"/>
    <xf numFmtId="3" fontId="7" fillId="0" borderId="0" xfId="0" applyNumberFormat="1" applyFont="1"/>
    <xf numFmtId="9" fontId="7" fillId="0" borderId="0" xfId="1" applyFont="1"/>
    <xf numFmtId="3" fontId="11" fillId="0" borderId="0" xfId="0" applyNumberFormat="1" applyFont="1"/>
    <xf numFmtId="164" fontId="11" fillId="4" borderId="3" xfId="0" applyNumberFormat="1" applyFont="1" applyFill="1" applyBorder="1"/>
    <xf numFmtId="164" fontId="7" fillId="4" borderId="5" xfId="0" applyNumberFormat="1" applyFont="1" applyFill="1" applyBorder="1"/>
    <xf numFmtId="164" fontId="11" fillId="4" borderId="5" xfId="0" applyNumberFormat="1" applyFont="1" applyFill="1" applyBorder="1"/>
    <xf numFmtId="164" fontId="7" fillId="4" borderId="3" xfId="0" applyNumberFormat="1" applyFont="1" applyFill="1" applyBorder="1"/>
    <xf numFmtId="164" fontId="11" fillId="4" borderId="4" xfId="0" applyNumberFormat="1" applyFont="1" applyFill="1" applyBorder="1"/>
    <xf numFmtId="164" fontId="7" fillId="4" borderId="4" xfId="0" applyNumberFormat="1" applyFont="1" applyFill="1" applyBorder="1"/>
    <xf numFmtId="164" fontId="7" fillId="4" borderId="5" xfId="1" applyNumberFormat="1" applyFont="1" applyFill="1" applyBorder="1"/>
    <xf numFmtId="0" fontId="8" fillId="6" borderId="0" xfId="0" applyFont="1" applyFill="1"/>
    <xf numFmtId="3" fontId="8" fillId="6" borderId="0" xfId="0" applyNumberFormat="1" applyFont="1" applyFill="1"/>
    <xf numFmtId="9" fontId="7" fillId="0" borderId="0" xfId="0" applyNumberFormat="1" applyFont="1"/>
    <xf numFmtId="0" fontId="7" fillId="0" borderId="0" xfId="0" quotePrefix="1" applyFont="1"/>
    <xf numFmtId="0" fontId="8" fillId="7" borderId="0" xfId="0" applyFont="1" applyFill="1"/>
    <xf numFmtId="3" fontId="8" fillId="7" borderId="0" xfId="0" applyNumberFormat="1" applyFont="1" applyFill="1"/>
    <xf numFmtId="2" fontId="8" fillId="7" borderId="0" xfId="0" applyNumberFormat="1" applyFont="1" applyFill="1"/>
    <xf numFmtId="0" fontId="12" fillId="0" borderId="0" xfId="0" applyFont="1"/>
    <xf numFmtId="164" fontId="7" fillId="0" borderId="0" xfId="0" applyNumberFormat="1" applyFont="1" applyAlignment="1">
      <alignment horizontal="center"/>
    </xf>
    <xf numFmtId="164" fontId="7" fillId="4" borderId="0" xfId="1" applyNumberFormat="1" applyFont="1" applyFill="1" applyAlignment="1">
      <alignment horizontal="center"/>
    </xf>
    <xf numFmtId="10" fontId="7" fillId="0" borderId="0" xfId="0" applyNumberFormat="1" applyFont="1"/>
    <xf numFmtId="3" fontId="0" fillId="0" borderId="0" xfId="0" applyNumberFormat="1"/>
    <xf numFmtId="0" fontId="7" fillId="8" borderId="6" xfId="0" applyFont="1" applyFill="1" applyBorder="1"/>
    <xf numFmtId="0" fontId="7" fillId="8" borderId="7" xfId="0" applyFont="1" applyFill="1" applyBorder="1"/>
    <xf numFmtId="0" fontId="7" fillId="8" borderId="8" xfId="0" applyFont="1" applyFill="1" applyBorder="1"/>
    <xf numFmtId="0" fontId="7" fillId="8" borderId="9" xfId="0" applyFont="1" applyFill="1" applyBorder="1"/>
    <xf numFmtId="2" fontId="7" fillId="8" borderId="0" xfId="0" applyNumberFormat="1" applyFont="1" applyFill="1" applyBorder="1"/>
    <xf numFmtId="164" fontId="7" fillId="8" borderId="0" xfId="0" applyNumberFormat="1" applyFont="1" applyFill="1" applyBorder="1"/>
    <xf numFmtId="0" fontId="7" fillId="8" borderId="11" xfId="0" applyFont="1" applyFill="1" applyBorder="1"/>
    <xf numFmtId="164" fontId="7" fillId="8" borderId="12" xfId="0" applyNumberFormat="1" applyFont="1" applyFill="1" applyBorder="1"/>
    <xf numFmtId="164" fontId="7" fillId="8" borderId="10" xfId="0" applyNumberFormat="1" applyFont="1" applyFill="1" applyBorder="1"/>
    <xf numFmtId="164" fontId="13" fillId="4" borderId="0" xfId="0" applyNumberFormat="1" applyFont="1" applyFill="1" applyAlignment="1">
      <alignment horizontal="center"/>
    </xf>
    <xf numFmtId="164" fontId="13" fillId="4" borderId="0" xfId="1" applyNumberFormat="1" applyFont="1" applyFill="1" applyAlignment="1">
      <alignment horizontal="center"/>
    </xf>
    <xf numFmtId="2" fontId="7" fillId="0" borderId="0" xfId="0" applyNumberFormat="1" applyFont="1" applyBorder="1"/>
    <xf numFmtId="2" fontId="7" fillId="0" borderId="10" xfId="0" applyNumberFormat="1" applyFont="1" applyBorder="1"/>
    <xf numFmtId="2" fontId="7" fillId="0" borderId="12" xfId="0" applyNumberFormat="1" applyFont="1" applyBorder="1"/>
    <xf numFmtId="2" fontId="7" fillId="0" borderId="13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C76-A4DD-4585-84F6-D0923D0B1F7B}">
  <dimension ref="A1:U83"/>
  <sheetViews>
    <sheetView workbookViewId="0">
      <selection activeCell="U9" sqref="U9"/>
    </sheetView>
  </sheetViews>
  <sheetFormatPr defaultRowHeight="15" x14ac:dyDescent="0.25"/>
  <cols>
    <col min="1" max="1" width="76.7109375" bestFit="1" customWidth="1"/>
    <col min="2" max="15" width="9.140625" style="14"/>
  </cols>
  <sheetData>
    <row r="1" spans="1:21" ht="15.75" thickBot="1" x14ac:dyDescent="0.3">
      <c r="A1" s="1" t="s">
        <v>359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.5" thickTop="1" thickBot="1" x14ac:dyDescent="0.3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thickBot="1" x14ac:dyDescent="0.3">
      <c r="A3" s="5" t="s">
        <v>21</v>
      </c>
      <c r="B3" s="18">
        <v>7890.56</v>
      </c>
      <c r="C3" s="18">
        <v>7183.46</v>
      </c>
      <c r="D3" s="18">
        <v>6521.58</v>
      </c>
      <c r="E3" s="18">
        <v>5977.73</v>
      </c>
      <c r="F3" s="18">
        <v>5996.81</v>
      </c>
      <c r="G3" s="18">
        <v>5467.94</v>
      </c>
      <c r="H3" s="18">
        <v>4653.07</v>
      </c>
      <c r="I3" s="18">
        <v>4117.24</v>
      </c>
      <c r="J3" s="18">
        <v>3713.75</v>
      </c>
      <c r="K3" s="18">
        <v>3168.96</v>
      </c>
      <c r="L3" s="18">
        <v>3017.14</v>
      </c>
      <c r="M3" s="18">
        <v>3031.17</v>
      </c>
      <c r="N3" s="18">
        <v>3150.9</v>
      </c>
      <c r="O3" s="18">
        <v>3773.93</v>
      </c>
      <c r="P3" s="18">
        <v>4502.6899999999996</v>
      </c>
      <c r="Q3" s="18">
        <v>5824.12</v>
      </c>
      <c r="R3" s="18">
        <v>7544.88</v>
      </c>
      <c r="S3" s="16">
        <v>8590</v>
      </c>
      <c r="T3" s="16">
        <v>8630</v>
      </c>
      <c r="U3" s="18">
        <v>8376.17</v>
      </c>
    </row>
    <row r="4" spans="1:21" ht="15.75" thickBot="1" x14ac:dyDescent="0.3">
      <c r="A4" s="5" t="s">
        <v>22</v>
      </c>
      <c r="B4" s="16">
        <v>18146</v>
      </c>
      <c r="C4" s="16">
        <v>19867</v>
      </c>
      <c r="D4" s="16">
        <v>21358</v>
      </c>
      <c r="E4" s="16">
        <v>22697</v>
      </c>
      <c r="F4" s="16">
        <v>17245</v>
      </c>
      <c r="G4" s="16">
        <v>18378</v>
      </c>
      <c r="H4" s="16">
        <v>19120</v>
      </c>
      <c r="I4" s="16">
        <v>19874</v>
      </c>
      <c r="J4" s="16">
        <v>16029</v>
      </c>
      <c r="K4" s="16">
        <v>16678</v>
      </c>
      <c r="L4" s="16">
        <v>17308</v>
      </c>
      <c r="M4" s="16">
        <v>18132</v>
      </c>
      <c r="N4" s="16">
        <v>19044</v>
      </c>
      <c r="O4" s="16">
        <v>16596</v>
      </c>
      <c r="P4" s="16">
        <v>17873</v>
      </c>
      <c r="Q4" s="16">
        <v>19987</v>
      </c>
      <c r="R4" s="16">
        <v>16541</v>
      </c>
      <c r="S4" s="16">
        <v>18852</v>
      </c>
      <c r="T4" s="16">
        <v>20295</v>
      </c>
      <c r="U4" s="16">
        <v>22124</v>
      </c>
    </row>
    <row r="5" spans="1:21" ht="15.75" thickBot="1" x14ac:dyDescent="0.3">
      <c r="A5" s="5" t="s">
        <v>23</v>
      </c>
      <c r="B5" s="6">
        <v>4.0599999999999996</v>
      </c>
      <c r="C5" s="6">
        <v>5.42</v>
      </c>
      <c r="D5" s="6">
        <v>7.18</v>
      </c>
      <c r="E5" s="6">
        <v>10.1</v>
      </c>
      <c r="F5" s="6">
        <v>6.4</v>
      </c>
      <c r="G5" s="6">
        <v>7.74</v>
      </c>
      <c r="H5" s="6">
        <v>6.65</v>
      </c>
      <c r="I5" s="6">
        <v>7.82</v>
      </c>
      <c r="J5" s="6">
        <v>6.33</v>
      </c>
      <c r="K5" s="6">
        <v>6.93</v>
      </c>
      <c r="L5" s="6">
        <v>7.79</v>
      </c>
      <c r="M5" s="6">
        <v>5.56</v>
      </c>
      <c r="N5" s="6">
        <v>8.51</v>
      </c>
      <c r="O5" s="6">
        <v>7</v>
      </c>
      <c r="P5" s="6">
        <v>9.2100000000000009</v>
      </c>
      <c r="Q5" s="6">
        <v>8.0399999999999991</v>
      </c>
      <c r="R5" s="6">
        <v>6.83</v>
      </c>
      <c r="S5" s="6">
        <v>6.16</v>
      </c>
      <c r="T5" s="6">
        <v>5.38</v>
      </c>
      <c r="U5" s="6">
        <v>5.38</v>
      </c>
    </row>
    <row r="6" spans="1:21" ht="15.75" thickBot="1" x14ac:dyDescent="0.3">
      <c r="A6" s="5" t="s">
        <v>24</v>
      </c>
      <c r="B6" s="6">
        <v>1.76</v>
      </c>
      <c r="C6" s="6">
        <v>1.96</v>
      </c>
      <c r="D6" s="6">
        <v>2.19</v>
      </c>
      <c r="E6" s="6">
        <v>2.66</v>
      </c>
      <c r="F6" s="6">
        <v>2.23</v>
      </c>
      <c r="G6" s="6">
        <v>2.2999999999999998</v>
      </c>
      <c r="H6" s="6">
        <v>1.62</v>
      </c>
      <c r="I6" s="6">
        <v>1.62</v>
      </c>
      <c r="J6" s="6">
        <v>1.47</v>
      </c>
      <c r="K6" s="6">
        <v>1.32</v>
      </c>
      <c r="L6" s="6">
        <v>1.36</v>
      </c>
      <c r="M6" s="6">
        <v>0.93</v>
      </c>
      <c r="N6" s="6">
        <v>1.41</v>
      </c>
      <c r="O6" s="6">
        <v>1.59</v>
      </c>
      <c r="P6" s="6">
        <v>2.3199999999999998</v>
      </c>
      <c r="Q6" s="6">
        <v>2.34</v>
      </c>
      <c r="R6" s="6">
        <v>3.11</v>
      </c>
      <c r="S6" s="6">
        <v>2.81</v>
      </c>
      <c r="T6" s="6">
        <v>2.29</v>
      </c>
      <c r="U6" s="6">
        <v>2.04</v>
      </c>
    </row>
    <row r="7" spans="1:21" ht="15.75" thickBot="1" x14ac:dyDescent="0.3">
      <c r="A7" s="5" t="s">
        <v>25</v>
      </c>
      <c r="B7" s="6">
        <v>2.68</v>
      </c>
      <c r="C7" s="6">
        <v>3.26</v>
      </c>
      <c r="D7" s="6">
        <v>4.5</v>
      </c>
      <c r="E7" s="6">
        <v>6.42</v>
      </c>
      <c r="F7" s="6">
        <v>4.01</v>
      </c>
      <c r="G7" s="6">
        <v>5.01</v>
      </c>
      <c r="H7" s="6">
        <v>3.96</v>
      </c>
      <c r="I7" s="6">
        <v>4.26</v>
      </c>
      <c r="J7" s="6">
        <v>3.35</v>
      </c>
      <c r="K7" s="6">
        <v>3.38</v>
      </c>
      <c r="L7" s="6">
        <v>3.26</v>
      </c>
      <c r="M7" s="6">
        <v>2.31</v>
      </c>
      <c r="N7" s="6">
        <v>3.62</v>
      </c>
      <c r="O7" s="6">
        <v>3.54</v>
      </c>
      <c r="P7" s="6">
        <v>5.33</v>
      </c>
      <c r="Q7" s="6">
        <v>4.97</v>
      </c>
      <c r="R7" s="6">
        <v>6.56</v>
      </c>
      <c r="S7" s="6">
        <v>6.12</v>
      </c>
      <c r="T7" s="6">
        <v>4.6399999999999997</v>
      </c>
      <c r="U7" s="6">
        <v>4.58</v>
      </c>
    </row>
    <row r="8" spans="1:21" ht="15.75" thickBot="1" x14ac:dyDescent="0.3">
      <c r="A8" s="5" t="s">
        <v>26</v>
      </c>
      <c r="B8" s="6">
        <v>0.05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0.02</v>
      </c>
      <c r="P8" s="6">
        <v>0.01</v>
      </c>
      <c r="Q8" s="6">
        <v>0.01</v>
      </c>
      <c r="R8" s="6">
        <v>0.02</v>
      </c>
      <c r="S8" s="6">
        <v>0.01</v>
      </c>
      <c r="T8" s="6">
        <v>0.01</v>
      </c>
      <c r="U8" s="6">
        <v>0.01</v>
      </c>
    </row>
    <row r="9" spans="1:21" ht="15.75" thickBot="1" x14ac:dyDescent="0.3">
      <c r="A9" s="5" t="s">
        <v>27</v>
      </c>
      <c r="B9" s="6">
        <v>1.01</v>
      </c>
      <c r="C9" s="6">
        <v>0.95</v>
      </c>
      <c r="D9" s="6">
        <v>0.96</v>
      </c>
      <c r="E9" s="6">
        <v>0.81</v>
      </c>
      <c r="F9" s="6">
        <v>0.89</v>
      </c>
      <c r="G9" s="6">
        <v>0.87</v>
      </c>
      <c r="H9" s="6">
        <v>0.93</v>
      </c>
      <c r="I9" s="6">
        <v>0.99</v>
      </c>
      <c r="J9" s="6">
        <v>0.99</v>
      </c>
      <c r="K9" s="6">
        <v>0.98</v>
      </c>
      <c r="L9" s="6">
        <v>0.95</v>
      </c>
      <c r="M9" s="6">
        <v>1.04</v>
      </c>
      <c r="N9" s="6">
        <v>1.07</v>
      </c>
      <c r="O9" s="6">
        <v>1.1000000000000001</v>
      </c>
      <c r="P9" s="6">
        <v>1.1200000000000001</v>
      </c>
      <c r="Q9" s="6">
        <v>1.05</v>
      </c>
      <c r="R9" s="6">
        <v>1.06</v>
      </c>
      <c r="S9" s="6">
        <v>1.0900000000000001</v>
      </c>
      <c r="T9" s="6">
        <v>1.08</v>
      </c>
      <c r="U9" s="6">
        <v>1.1100000000000001</v>
      </c>
    </row>
    <row r="10" spans="1:21" ht="15.75" thickBot="1" x14ac:dyDescent="0.3">
      <c r="A10" s="5" t="s">
        <v>28</v>
      </c>
      <c r="B10" s="6">
        <v>26.7</v>
      </c>
      <c r="C10" s="6">
        <v>23.63</v>
      </c>
      <c r="D10" s="6">
        <v>27.66</v>
      </c>
      <c r="E10" s="6">
        <v>35.700000000000003</v>
      </c>
      <c r="F10" s="6">
        <v>25.6</v>
      </c>
      <c r="G10" s="6">
        <v>27.5</v>
      </c>
      <c r="H10" s="6">
        <v>31.5</v>
      </c>
      <c r="I10" s="6">
        <v>31.07</v>
      </c>
      <c r="J10" s="6">
        <v>23.75</v>
      </c>
      <c r="K10" s="6">
        <v>39.06</v>
      </c>
      <c r="L10" s="6">
        <v>37.96</v>
      </c>
      <c r="M10" s="6">
        <v>26.04</v>
      </c>
      <c r="N10" s="6">
        <v>30.17</v>
      </c>
      <c r="O10" s="6">
        <v>23.38</v>
      </c>
      <c r="P10" s="6">
        <v>25.96</v>
      </c>
      <c r="Q10" s="6">
        <v>23.65</v>
      </c>
      <c r="R10" s="6">
        <v>24.83</v>
      </c>
      <c r="S10" s="6">
        <v>24.41</v>
      </c>
      <c r="T10" s="6">
        <v>27.97</v>
      </c>
      <c r="U10" s="6">
        <v>25.53</v>
      </c>
    </row>
    <row r="11" spans="1:21" ht="15.75" thickBot="1" x14ac:dyDescent="0.3">
      <c r="A11" s="5" t="s">
        <v>29</v>
      </c>
      <c r="B11" s="6">
        <v>21.56</v>
      </c>
      <c r="C11" s="6">
        <v>19.920000000000002</v>
      </c>
      <c r="D11" s="6">
        <v>23.96</v>
      </c>
      <c r="E11" s="6">
        <v>29.65</v>
      </c>
      <c r="F11" s="6">
        <v>21.39</v>
      </c>
      <c r="G11" s="6">
        <v>23.38</v>
      </c>
      <c r="H11" s="6">
        <v>25.15</v>
      </c>
      <c r="I11" s="6">
        <v>24.91</v>
      </c>
      <c r="J11" s="6">
        <v>19.739999999999998</v>
      </c>
      <c r="K11" s="6">
        <v>31.83</v>
      </c>
      <c r="L11" s="6">
        <v>29.26</v>
      </c>
      <c r="M11" s="6">
        <v>19.32</v>
      </c>
      <c r="N11" s="6">
        <v>23.2</v>
      </c>
      <c r="O11" s="6">
        <v>18.86</v>
      </c>
      <c r="P11" s="6">
        <v>21.52</v>
      </c>
      <c r="Q11" s="6">
        <v>20.13</v>
      </c>
      <c r="R11" s="6">
        <v>17.73</v>
      </c>
      <c r="S11" s="6">
        <v>17.36</v>
      </c>
      <c r="T11" s="6">
        <v>17.78</v>
      </c>
      <c r="U11" s="6">
        <v>21.7</v>
      </c>
    </row>
    <row r="12" spans="1:21" ht="15.75" thickBot="1" x14ac:dyDescent="0.3">
      <c r="A12" s="3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thickBot="1" x14ac:dyDescent="0.3">
      <c r="A13" s="5" t="s">
        <v>31</v>
      </c>
      <c r="B13" s="6">
        <v>20.63</v>
      </c>
      <c r="C13" s="6">
        <v>22.58</v>
      </c>
      <c r="D13" s="6">
        <v>25.03</v>
      </c>
      <c r="E13" s="6">
        <v>22.81</v>
      </c>
      <c r="F13" s="6">
        <v>20.2</v>
      </c>
      <c r="G13" s="6">
        <v>23</v>
      </c>
      <c r="H13" s="6">
        <v>17.760000000000002</v>
      </c>
      <c r="I13" s="6">
        <v>17.52</v>
      </c>
      <c r="J13" s="6">
        <v>20.05</v>
      </c>
      <c r="K13" s="6">
        <v>17.91</v>
      </c>
      <c r="L13" s="6">
        <v>15.78</v>
      </c>
      <c r="M13" s="6">
        <v>19.57</v>
      </c>
      <c r="N13" s="6">
        <v>18.14</v>
      </c>
      <c r="O13" s="6">
        <v>20.94</v>
      </c>
      <c r="P13" s="6">
        <v>24.31</v>
      </c>
      <c r="Q13" s="6">
        <v>26.25</v>
      </c>
      <c r="R13" s="6">
        <v>32.68</v>
      </c>
      <c r="S13" s="6">
        <v>30.67</v>
      </c>
      <c r="T13" s="6">
        <v>21.44</v>
      </c>
      <c r="U13" s="6">
        <v>22.94</v>
      </c>
    </row>
    <row r="14" spans="1:21" ht="15.75" thickBot="1" x14ac:dyDescent="0.3">
      <c r="A14" s="5" t="s">
        <v>32</v>
      </c>
      <c r="B14" s="6">
        <v>18.260000000000002</v>
      </c>
      <c r="C14" s="6">
        <v>20.88</v>
      </c>
      <c r="D14" s="6">
        <v>22.63</v>
      </c>
      <c r="E14" s="6">
        <v>20.97</v>
      </c>
      <c r="F14" s="6">
        <v>19.02</v>
      </c>
      <c r="G14" s="6">
        <v>21.07</v>
      </c>
      <c r="H14" s="6">
        <v>15.17</v>
      </c>
      <c r="I14" s="6">
        <v>15.75</v>
      </c>
      <c r="J14" s="6">
        <v>17.850000000000001</v>
      </c>
      <c r="K14" s="6">
        <v>16.09</v>
      </c>
      <c r="L14" s="6">
        <v>14.22</v>
      </c>
      <c r="M14" s="6">
        <v>16.32</v>
      </c>
      <c r="N14" s="6">
        <v>17.72</v>
      </c>
      <c r="O14" s="6">
        <v>19.5</v>
      </c>
      <c r="P14" s="6">
        <v>23.25</v>
      </c>
      <c r="Q14" s="6">
        <v>26.66</v>
      </c>
      <c r="R14" s="6">
        <v>31.18</v>
      </c>
      <c r="S14" s="6">
        <v>30.13</v>
      </c>
      <c r="T14" s="6">
        <v>19.39</v>
      </c>
      <c r="U14" s="6">
        <v>21.61</v>
      </c>
    </row>
    <row r="15" spans="1:21" ht="15.75" thickBot="1" x14ac:dyDescent="0.3">
      <c r="A15" s="5" t="s">
        <v>33</v>
      </c>
      <c r="B15" s="6">
        <v>22.62</v>
      </c>
      <c r="C15" s="6">
        <v>24.77</v>
      </c>
      <c r="D15" s="6">
        <v>26.13</v>
      </c>
      <c r="E15" s="6">
        <v>25.25</v>
      </c>
      <c r="F15" s="6">
        <v>22.76</v>
      </c>
      <c r="G15" s="6">
        <v>24.78</v>
      </c>
      <c r="H15" s="6">
        <v>19</v>
      </c>
      <c r="I15" s="6">
        <v>19.64</v>
      </c>
      <c r="J15" s="6">
        <v>21.48</v>
      </c>
      <c r="K15" s="6">
        <v>19.739999999999998</v>
      </c>
      <c r="L15" s="6">
        <v>18.45</v>
      </c>
      <c r="M15" s="6">
        <v>21.99</v>
      </c>
      <c r="N15" s="6">
        <v>23.04</v>
      </c>
      <c r="O15" s="6">
        <v>24.17</v>
      </c>
      <c r="P15" s="6">
        <v>28.05</v>
      </c>
      <c r="Q15" s="6">
        <v>31.33</v>
      </c>
      <c r="R15" s="6">
        <v>35.18</v>
      </c>
      <c r="S15" s="6">
        <v>34.01</v>
      </c>
      <c r="T15" s="6">
        <v>22.67</v>
      </c>
      <c r="U15" s="6">
        <v>25.41</v>
      </c>
    </row>
    <row r="16" spans="1:21" ht="15.75" thickBot="1" x14ac:dyDescent="0.3">
      <c r="A16" s="5" t="s">
        <v>34</v>
      </c>
      <c r="B16" s="6">
        <v>14.5</v>
      </c>
      <c r="C16" s="6">
        <v>17.07</v>
      </c>
      <c r="D16" s="6">
        <v>18.84</v>
      </c>
      <c r="E16" s="6">
        <v>17.100000000000001</v>
      </c>
      <c r="F16" s="6">
        <v>15.44</v>
      </c>
      <c r="G16" s="6">
        <v>16.97</v>
      </c>
      <c r="H16" s="6">
        <v>12.28</v>
      </c>
      <c r="I16" s="6">
        <v>12.1</v>
      </c>
      <c r="J16" s="6">
        <v>13.58</v>
      </c>
      <c r="K16" s="6">
        <v>11.89</v>
      </c>
      <c r="L16" s="6">
        <v>10.7</v>
      </c>
      <c r="M16" s="6">
        <v>11.98</v>
      </c>
      <c r="N16" s="6">
        <v>13.49</v>
      </c>
      <c r="O16" s="6">
        <v>15.33</v>
      </c>
      <c r="P16" s="6">
        <v>18.079999999999998</v>
      </c>
      <c r="Q16" s="6">
        <v>22.47</v>
      </c>
      <c r="R16" s="6">
        <v>27.75</v>
      </c>
      <c r="S16" s="6">
        <v>26.76</v>
      </c>
      <c r="T16" s="6">
        <v>16.59</v>
      </c>
      <c r="U16" s="6">
        <v>18.63</v>
      </c>
    </row>
    <row r="17" spans="1:21" ht="15.75" thickBot="1" x14ac:dyDescent="0.3">
      <c r="A17" s="5" t="s">
        <v>35</v>
      </c>
      <c r="B17" s="6">
        <v>6.94</v>
      </c>
      <c r="C17" s="6">
        <v>8.06</v>
      </c>
      <c r="D17" s="6">
        <v>7.66</v>
      </c>
      <c r="E17" s="6">
        <v>6.62</v>
      </c>
      <c r="F17" s="6">
        <v>6.18</v>
      </c>
      <c r="G17" s="6">
        <v>6.35</v>
      </c>
      <c r="H17" s="6">
        <v>4.43</v>
      </c>
      <c r="I17" s="6">
        <v>4.3499999999999996</v>
      </c>
      <c r="J17" s="6">
        <v>4.71</v>
      </c>
      <c r="K17" s="6">
        <v>3.89</v>
      </c>
      <c r="L17" s="6">
        <v>4.09</v>
      </c>
      <c r="M17" s="6">
        <v>4.67</v>
      </c>
      <c r="N17" s="6">
        <v>5.34</v>
      </c>
      <c r="O17" s="6">
        <v>7.01</v>
      </c>
      <c r="P17" s="6">
        <v>8.1199999999999992</v>
      </c>
      <c r="Q17" s="6">
        <v>11.12</v>
      </c>
      <c r="R17" s="6">
        <v>13.87</v>
      </c>
      <c r="S17" s="6">
        <v>13.08</v>
      </c>
      <c r="T17" s="6">
        <v>8.48</v>
      </c>
      <c r="U17" s="6">
        <v>8.66</v>
      </c>
    </row>
    <row r="18" spans="1:21" ht="15.75" thickBot="1" x14ac:dyDescent="0.3">
      <c r="A18" s="5" t="s">
        <v>36</v>
      </c>
      <c r="B18" s="6">
        <v>8.36</v>
      </c>
      <c r="C18" s="6">
        <v>9.39</v>
      </c>
      <c r="D18" s="6">
        <v>8.69</v>
      </c>
      <c r="E18" s="6">
        <v>7.63</v>
      </c>
      <c r="F18" s="6">
        <v>6.86</v>
      </c>
      <c r="G18" s="6">
        <v>6.59</v>
      </c>
      <c r="H18" s="6">
        <v>4.26</v>
      </c>
      <c r="I18" s="6">
        <v>4.03</v>
      </c>
      <c r="J18" s="6">
        <v>4.03</v>
      </c>
      <c r="K18" s="6">
        <v>3.38</v>
      </c>
      <c r="L18" s="6">
        <v>3.46</v>
      </c>
      <c r="M18" s="6">
        <v>4.12</v>
      </c>
      <c r="N18" s="6">
        <v>4.62</v>
      </c>
      <c r="O18" s="6">
        <v>5.99</v>
      </c>
      <c r="P18" s="6">
        <v>7.44</v>
      </c>
      <c r="Q18" s="6">
        <v>9.9499999999999993</v>
      </c>
      <c r="R18" s="6">
        <v>12.12</v>
      </c>
      <c r="S18" s="6">
        <v>11.9</v>
      </c>
      <c r="T18" s="6">
        <v>8.36</v>
      </c>
      <c r="U18" s="6">
        <v>8.73</v>
      </c>
    </row>
    <row r="19" spans="1:21" ht="15.75" thickBot="1" x14ac:dyDescent="0.3">
      <c r="A19" s="5" t="s">
        <v>37</v>
      </c>
      <c r="B19" s="6">
        <v>4.01</v>
      </c>
      <c r="C19" s="6">
        <v>4.8600000000000003</v>
      </c>
      <c r="D19" s="6">
        <v>4.7300000000000004</v>
      </c>
      <c r="E19" s="6">
        <v>4.12</v>
      </c>
      <c r="F19" s="6">
        <v>3.77</v>
      </c>
      <c r="G19" s="6">
        <v>3.63</v>
      </c>
      <c r="H19" s="6">
        <v>2.38</v>
      </c>
      <c r="I19" s="6">
        <v>2.21</v>
      </c>
      <c r="J19" s="6">
        <v>2.29</v>
      </c>
      <c r="K19" s="6">
        <v>1.84</v>
      </c>
      <c r="L19" s="6">
        <v>1.92</v>
      </c>
      <c r="M19" s="6">
        <v>2.19</v>
      </c>
      <c r="N19" s="6">
        <v>2.5</v>
      </c>
      <c r="O19" s="6">
        <v>3.28</v>
      </c>
      <c r="P19" s="6">
        <v>3.73</v>
      </c>
      <c r="Q19" s="6">
        <v>5.16</v>
      </c>
      <c r="R19" s="6">
        <v>6.51</v>
      </c>
      <c r="S19" s="6">
        <v>6.19</v>
      </c>
      <c r="T19" s="6">
        <v>4.21</v>
      </c>
      <c r="U19" s="6">
        <v>4.51</v>
      </c>
    </row>
    <row r="20" spans="1:21" ht="15.75" thickBot="1" x14ac:dyDescent="0.3">
      <c r="A20" s="3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thickBot="1" x14ac:dyDescent="0.3">
      <c r="A21" s="5" t="s">
        <v>39</v>
      </c>
      <c r="B21" s="6">
        <v>31.86</v>
      </c>
      <c r="C21" s="6">
        <v>54.01</v>
      </c>
      <c r="D21" s="6">
        <v>28.08</v>
      </c>
      <c r="E21" s="6">
        <v>26.66</v>
      </c>
      <c r="F21" s="6">
        <v>34.380000000000003</v>
      </c>
      <c r="G21" s="6">
        <v>13.14</v>
      </c>
      <c r="H21" s="6">
        <v>12.88</v>
      </c>
      <c r="I21" s="6">
        <v>15.09</v>
      </c>
      <c r="J21" s="6">
        <v>5.86</v>
      </c>
      <c r="K21" s="6">
        <v>6.33</v>
      </c>
      <c r="L21" s="6">
        <v>24.95</v>
      </c>
      <c r="M21" s="6">
        <v>28.53</v>
      </c>
      <c r="N21" s="6">
        <v>35.270000000000003</v>
      </c>
      <c r="O21" s="6">
        <v>63.62</v>
      </c>
      <c r="P21" s="6">
        <v>43.41</v>
      </c>
      <c r="Q21" s="6">
        <v>62.1</v>
      </c>
      <c r="R21" s="6">
        <v>71.959999999999994</v>
      </c>
      <c r="S21" s="6">
        <v>56.67</v>
      </c>
      <c r="T21" s="6">
        <v>73.44</v>
      </c>
      <c r="U21" s="6">
        <v>41.32</v>
      </c>
    </row>
    <row r="22" spans="1:21" ht="15.75" thickBot="1" x14ac:dyDescent="0.3">
      <c r="A22" s="5" t="s">
        <v>40</v>
      </c>
      <c r="B22" s="6">
        <v>-14.88</v>
      </c>
      <c r="C22" s="6">
        <v>33.74</v>
      </c>
      <c r="D22" s="6">
        <v>20.89</v>
      </c>
      <c r="E22" s="6">
        <v>20.41</v>
      </c>
      <c r="F22" s="6">
        <v>31.63</v>
      </c>
      <c r="G22" s="6">
        <v>15.26</v>
      </c>
      <c r="H22" s="6">
        <v>-19.91</v>
      </c>
      <c r="I22" s="6">
        <v>-11.62</v>
      </c>
      <c r="J22" s="6">
        <v>5.05</v>
      </c>
      <c r="K22" s="6">
        <v>-17.2</v>
      </c>
      <c r="L22" s="6">
        <v>10.98</v>
      </c>
      <c r="M22" s="6">
        <v>43.58</v>
      </c>
      <c r="N22" s="6">
        <v>22.42</v>
      </c>
      <c r="O22" s="6">
        <v>91.31</v>
      </c>
      <c r="P22" s="6">
        <v>121.01</v>
      </c>
      <c r="Q22" s="6">
        <v>117.46</v>
      </c>
      <c r="R22" s="6">
        <v>209.73</v>
      </c>
      <c r="S22" s="6">
        <v>129.46</v>
      </c>
      <c r="T22" s="6">
        <v>52.98</v>
      </c>
      <c r="U22" s="6">
        <v>23.53</v>
      </c>
    </row>
    <row r="23" spans="1:21" ht="15.75" thickBot="1" x14ac:dyDescent="0.3">
      <c r="A23" s="5" t="s">
        <v>41</v>
      </c>
      <c r="B23" s="6">
        <v>-24.1</v>
      </c>
      <c r="C23" s="6">
        <v>34.07</v>
      </c>
      <c r="D23" s="6">
        <v>22.05</v>
      </c>
      <c r="E23" s="6">
        <v>16.3</v>
      </c>
      <c r="F23" s="6">
        <v>42.56</v>
      </c>
      <c r="G23" s="6">
        <v>14.48</v>
      </c>
      <c r="H23" s="6">
        <v>-25.91</v>
      </c>
      <c r="I23" s="6">
        <v>-16.77</v>
      </c>
      <c r="J23" s="6">
        <v>-3.78</v>
      </c>
      <c r="K23" s="6">
        <v>-24.13</v>
      </c>
      <c r="L23" s="6">
        <v>12.16</v>
      </c>
      <c r="M23" s="6">
        <v>22.39</v>
      </c>
      <c r="N23" s="6">
        <v>24.84</v>
      </c>
      <c r="O23" s="6">
        <v>97.69</v>
      </c>
      <c r="P23" s="6">
        <v>133.27000000000001</v>
      </c>
      <c r="Q23" s="6">
        <v>189.42</v>
      </c>
      <c r="R23" s="6">
        <v>234.31</v>
      </c>
      <c r="S23" s="6">
        <v>157</v>
      </c>
      <c r="T23" s="6">
        <v>50.81</v>
      </c>
      <c r="U23" s="6">
        <v>16.02</v>
      </c>
    </row>
    <row r="24" spans="1:21" ht="15.75" thickBot="1" x14ac:dyDescent="0.3">
      <c r="A24" s="5" t="s">
        <v>42</v>
      </c>
      <c r="B24" s="6">
        <v>-24.09</v>
      </c>
      <c r="C24" s="6">
        <v>33.28</v>
      </c>
      <c r="D24" s="6">
        <v>22.91</v>
      </c>
      <c r="E24" s="6">
        <v>14.32</v>
      </c>
      <c r="F24" s="6">
        <v>42.77</v>
      </c>
      <c r="G24" s="6">
        <v>12.3</v>
      </c>
      <c r="H24" s="6">
        <v>-26.36</v>
      </c>
      <c r="I24" s="6">
        <v>-18.559999999999999</v>
      </c>
      <c r="J24" s="6">
        <v>-7.31</v>
      </c>
      <c r="K24" s="6">
        <v>-26.94</v>
      </c>
      <c r="L24" s="6">
        <v>8.66</v>
      </c>
      <c r="M24" s="6">
        <v>26.9</v>
      </c>
      <c r="N24" s="6">
        <v>34.770000000000003</v>
      </c>
      <c r="O24" s="6">
        <v>115</v>
      </c>
      <c r="P24" s="6">
        <v>141.93</v>
      </c>
      <c r="Q24" s="6">
        <v>205.33</v>
      </c>
      <c r="R24" s="6">
        <v>254.43</v>
      </c>
      <c r="S24" s="6">
        <v>174.38</v>
      </c>
      <c r="T24" s="6">
        <v>60.15</v>
      </c>
      <c r="U24" s="6">
        <v>17.760000000000002</v>
      </c>
    </row>
    <row r="25" spans="1:21" ht="15.75" thickBot="1" x14ac:dyDescent="0.3">
      <c r="A25" s="5" t="s">
        <v>43</v>
      </c>
      <c r="B25" s="6">
        <v>43.31</v>
      </c>
      <c r="C25" s="6">
        <v>69.81</v>
      </c>
      <c r="D25" s="6">
        <v>59.58</v>
      </c>
      <c r="E25" s="6">
        <v>47.34</v>
      </c>
      <c r="F25" s="6">
        <v>56.51</v>
      </c>
      <c r="G25" s="6">
        <v>45.01</v>
      </c>
      <c r="H25" s="6">
        <v>47.53</v>
      </c>
      <c r="I25" s="6">
        <v>56.04</v>
      </c>
      <c r="J25" s="6">
        <v>49.84</v>
      </c>
      <c r="K25" s="6">
        <v>39.01</v>
      </c>
      <c r="L25" s="6">
        <v>30.13</v>
      </c>
      <c r="M25" s="6">
        <v>26.09</v>
      </c>
      <c r="N25" s="6">
        <v>21.1</v>
      </c>
      <c r="O25" s="6">
        <v>20.55</v>
      </c>
      <c r="P25" s="6">
        <v>29.2</v>
      </c>
      <c r="Q25" s="6">
        <v>29.76</v>
      </c>
      <c r="R25" s="6">
        <v>41.87</v>
      </c>
      <c r="S25" s="6">
        <v>48.67</v>
      </c>
      <c r="T25" s="6">
        <v>35.53</v>
      </c>
      <c r="U25" s="6">
        <v>33.72</v>
      </c>
    </row>
    <row r="26" spans="1:21" ht="15.75" thickBot="1" x14ac:dyDescent="0.3">
      <c r="A26" s="5" t="s">
        <v>44</v>
      </c>
      <c r="B26" s="6">
        <v>-0.84</v>
      </c>
      <c r="C26" s="6">
        <v>69.290000000000006</v>
      </c>
      <c r="D26" s="6">
        <v>123.52</v>
      </c>
      <c r="E26" s="6">
        <v>137.88999999999999</v>
      </c>
      <c r="F26" s="6">
        <v>466.96</v>
      </c>
      <c r="G26" s="6">
        <v>453.52</v>
      </c>
      <c r="H26" s="6">
        <v>532.96</v>
      </c>
      <c r="I26" s="6">
        <v>718.07</v>
      </c>
      <c r="J26" s="6">
        <v>381.44</v>
      </c>
      <c r="K26" s="6">
        <v>179.89</v>
      </c>
      <c r="L26" s="6">
        <v>102.79</v>
      </c>
      <c r="M26" s="6">
        <v>31.46</v>
      </c>
      <c r="N26" s="6">
        <v>0.23</v>
      </c>
      <c r="O26" s="6">
        <v>-1.37</v>
      </c>
      <c r="P26" s="6">
        <v>-24.77</v>
      </c>
      <c r="Q26" s="6">
        <v>-22.5</v>
      </c>
      <c r="R26" s="6">
        <v>-27.42</v>
      </c>
      <c r="S26" s="6">
        <v>-30.93</v>
      </c>
      <c r="T26" s="6">
        <v>-31.11</v>
      </c>
      <c r="U26" s="6">
        <v>-32.06</v>
      </c>
    </row>
    <row r="27" spans="1:21" ht="15.75" thickBot="1" x14ac:dyDescent="0.3">
      <c r="A27" s="5" t="s">
        <v>45</v>
      </c>
      <c r="B27" s="6">
        <v>64.77</v>
      </c>
      <c r="C27" s="6">
        <v>75.03</v>
      </c>
      <c r="D27" s="6">
        <v>54.23</v>
      </c>
      <c r="E27" s="6">
        <v>28.74</v>
      </c>
      <c r="F27" s="6">
        <v>52.19</v>
      </c>
      <c r="G27" s="6">
        <v>70.66</v>
      </c>
      <c r="H27" s="6">
        <v>82.39</v>
      </c>
      <c r="I27" s="6">
        <v>113.58</v>
      </c>
      <c r="J27" s="6">
        <v>91.6</v>
      </c>
      <c r="K27" s="6">
        <v>65.430000000000007</v>
      </c>
      <c r="L27" s="6">
        <v>43.56</v>
      </c>
      <c r="M27" s="6">
        <v>33.479999999999997</v>
      </c>
      <c r="N27" s="6">
        <v>23.18</v>
      </c>
      <c r="O27" s="6">
        <v>21.57</v>
      </c>
      <c r="P27" s="6">
        <v>33.869999999999997</v>
      </c>
      <c r="Q27" s="6">
        <v>27.55</v>
      </c>
      <c r="R27" s="6">
        <v>42.89</v>
      </c>
      <c r="S27" s="6">
        <v>44.54</v>
      </c>
      <c r="T27" s="6">
        <v>20.98</v>
      </c>
      <c r="U27" s="6">
        <v>19.420000000000002</v>
      </c>
    </row>
    <row r="28" spans="1:21" ht="15.75" thickBot="1" x14ac:dyDescent="0.3">
      <c r="A28" s="5" t="s">
        <v>46</v>
      </c>
      <c r="B28" s="6">
        <v>30.89</v>
      </c>
      <c r="C28" s="6">
        <v>66.8</v>
      </c>
      <c r="D28" s="6">
        <v>63.18</v>
      </c>
      <c r="E28" s="6">
        <v>60.85</v>
      </c>
      <c r="F28" s="6">
        <v>59.67</v>
      </c>
      <c r="G28" s="6">
        <v>29.52</v>
      </c>
      <c r="H28" s="6">
        <v>25.35</v>
      </c>
      <c r="I28" s="6">
        <v>22.61</v>
      </c>
      <c r="J28" s="6">
        <v>20.83</v>
      </c>
      <c r="K28" s="6">
        <v>17.97</v>
      </c>
      <c r="L28" s="6">
        <v>17.68</v>
      </c>
      <c r="M28" s="6">
        <v>18.600000000000001</v>
      </c>
      <c r="N28" s="6">
        <v>18.809999999999999</v>
      </c>
      <c r="O28" s="6">
        <v>19.41</v>
      </c>
      <c r="P28" s="6">
        <v>23.92</v>
      </c>
      <c r="Q28" s="6">
        <v>32.28</v>
      </c>
      <c r="R28" s="6">
        <v>40.71</v>
      </c>
      <c r="S28" s="6">
        <v>53.35</v>
      </c>
      <c r="T28" s="6">
        <v>53.29</v>
      </c>
      <c r="U28" s="6">
        <v>49.43</v>
      </c>
    </row>
    <row r="29" spans="1:21" ht="15.75" thickBot="1" x14ac:dyDescent="0.3">
      <c r="A29" s="5" t="s">
        <v>47</v>
      </c>
      <c r="B29" s="6">
        <v>72.489999999999995</v>
      </c>
      <c r="C29" s="6">
        <v>79.989999999999995</v>
      </c>
      <c r="D29" s="6">
        <v>79.989999999999995</v>
      </c>
      <c r="E29" s="6">
        <v>79.989999999999995</v>
      </c>
      <c r="F29" s="6">
        <v>20</v>
      </c>
      <c r="G29" s="6">
        <v>40</v>
      </c>
      <c r="H29" s="6">
        <v>40</v>
      </c>
      <c r="I29" s="6">
        <v>40</v>
      </c>
      <c r="J29" s="6">
        <v>82</v>
      </c>
      <c r="K29" s="6">
        <v>30</v>
      </c>
      <c r="L29" s="6">
        <v>30</v>
      </c>
      <c r="M29" s="6">
        <v>30</v>
      </c>
      <c r="N29" s="6"/>
      <c r="O29" s="6">
        <v>20</v>
      </c>
      <c r="P29" s="6">
        <v>20</v>
      </c>
      <c r="Q29" s="6">
        <v>20</v>
      </c>
      <c r="R29" s="6">
        <v>62</v>
      </c>
      <c r="S29" s="6">
        <v>35</v>
      </c>
      <c r="T29" s="6">
        <v>35</v>
      </c>
      <c r="U29" s="6">
        <v>35</v>
      </c>
    </row>
    <row r="30" spans="1:21" ht="15.75" thickBot="1" x14ac:dyDescent="0.3">
      <c r="A30" s="3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thickBot="1" x14ac:dyDescent="0.3">
      <c r="A31" s="5" t="s">
        <v>49</v>
      </c>
      <c r="B31" s="6">
        <v>0.12</v>
      </c>
      <c r="C31" s="6">
        <v>0.16</v>
      </c>
      <c r="D31" s="6">
        <v>0.23</v>
      </c>
      <c r="E31" s="6">
        <v>0.38</v>
      </c>
      <c r="F31" s="6">
        <v>0.27</v>
      </c>
      <c r="G31" s="6">
        <v>0.19</v>
      </c>
      <c r="H31" s="6">
        <v>0.1</v>
      </c>
      <c r="I31" s="6">
        <v>0.28000000000000003</v>
      </c>
      <c r="J31" s="6">
        <v>0.26</v>
      </c>
      <c r="K31" s="6">
        <v>0.16</v>
      </c>
      <c r="L31" s="6">
        <v>0.17</v>
      </c>
      <c r="M31" s="6">
        <v>0.21</v>
      </c>
      <c r="N31" s="6">
        <v>0.22</v>
      </c>
      <c r="O31" s="6">
        <v>0.16</v>
      </c>
      <c r="P31" s="6">
        <v>0.25</v>
      </c>
      <c r="Q31" s="6">
        <v>0.27</v>
      </c>
      <c r="R31" s="6">
        <v>0.22</v>
      </c>
      <c r="S31" s="6">
        <v>0.19</v>
      </c>
      <c r="T31" s="6">
        <v>0.31</v>
      </c>
      <c r="U31" s="6">
        <v>0.26</v>
      </c>
    </row>
    <row r="32" spans="1:21" ht="15.75" thickBot="1" x14ac:dyDescent="0.3">
      <c r="A32" s="5" t="s">
        <v>50</v>
      </c>
      <c r="B32" s="6">
        <v>0.83</v>
      </c>
      <c r="C32" s="6">
        <v>1.19</v>
      </c>
      <c r="D32" s="6">
        <v>1.1499999999999999</v>
      </c>
      <c r="E32" s="6">
        <v>1.24</v>
      </c>
      <c r="F32" s="6">
        <v>1.04</v>
      </c>
      <c r="G32" s="6">
        <v>0.8</v>
      </c>
      <c r="H32" s="6">
        <v>0.49</v>
      </c>
      <c r="I32" s="6">
        <v>0.7</v>
      </c>
      <c r="J32" s="6">
        <v>0.65</v>
      </c>
      <c r="K32" s="6">
        <v>0.47</v>
      </c>
      <c r="L32" s="6">
        <v>0.41</v>
      </c>
      <c r="M32" s="6">
        <v>0.49</v>
      </c>
      <c r="N32" s="6">
        <v>0.54</v>
      </c>
      <c r="O32" s="6">
        <v>0.62</v>
      </c>
      <c r="P32" s="6">
        <v>0.59</v>
      </c>
      <c r="Q32" s="6">
        <v>0.7</v>
      </c>
      <c r="R32" s="6">
        <v>0.64</v>
      </c>
      <c r="S32" s="6">
        <v>0.69</v>
      </c>
      <c r="T32" s="6">
        <v>0.71</v>
      </c>
      <c r="U32" s="6">
        <v>0.83</v>
      </c>
    </row>
    <row r="33" spans="1:21" ht="15.75" thickBot="1" x14ac:dyDescent="0.3">
      <c r="A33" s="5" t="s">
        <v>51</v>
      </c>
      <c r="B33" s="6">
        <v>0.61</v>
      </c>
      <c r="C33" s="6">
        <v>0.88</v>
      </c>
      <c r="D33" s="6">
        <v>0.77</v>
      </c>
      <c r="E33" s="6">
        <v>0.79</v>
      </c>
      <c r="F33" s="6">
        <v>0.66</v>
      </c>
      <c r="G33" s="6">
        <v>0.46</v>
      </c>
      <c r="H33" s="6">
        <v>0.26</v>
      </c>
      <c r="I33" s="6">
        <v>0.43</v>
      </c>
      <c r="J33" s="6">
        <v>0.38</v>
      </c>
      <c r="K33" s="6">
        <v>0.24</v>
      </c>
      <c r="L33" s="6">
        <v>0.22</v>
      </c>
      <c r="M33" s="6">
        <v>0.26</v>
      </c>
      <c r="N33" s="6">
        <v>0.36</v>
      </c>
      <c r="O33" s="6">
        <v>0.4</v>
      </c>
      <c r="P33" s="6">
        <v>0.42</v>
      </c>
      <c r="Q33" s="6">
        <v>0.48</v>
      </c>
      <c r="R33" s="6">
        <v>0.48</v>
      </c>
      <c r="S33" s="6">
        <v>0.48</v>
      </c>
      <c r="T33" s="6">
        <v>0.55000000000000004</v>
      </c>
      <c r="U33" s="6">
        <v>0.64</v>
      </c>
    </row>
    <row r="34" spans="1:21" ht="15.75" thickBot="1" x14ac:dyDescent="0.3">
      <c r="A34" s="5" t="s">
        <v>52</v>
      </c>
      <c r="B34" s="6">
        <v>1.52</v>
      </c>
      <c r="C34" s="6">
        <v>1.86</v>
      </c>
      <c r="D34" s="6">
        <v>1.79</v>
      </c>
      <c r="E34" s="6">
        <v>1.89</v>
      </c>
      <c r="F34" s="6">
        <v>1.69</v>
      </c>
      <c r="G34" s="6">
        <v>1.48</v>
      </c>
      <c r="H34" s="6">
        <v>1.07</v>
      </c>
      <c r="I34" s="6">
        <v>1.28</v>
      </c>
      <c r="J34" s="6">
        <v>1.34</v>
      </c>
      <c r="K34" s="6">
        <v>1.24</v>
      </c>
      <c r="L34" s="6">
        <v>1.1299999999999999</v>
      </c>
      <c r="M34" s="6">
        <v>1.1499999999999999</v>
      </c>
      <c r="N34" s="6">
        <v>1.1599999999999999</v>
      </c>
      <c r="O34" s="6">
        <v>1.2</v>
      </c>
      <c r="P34" s="6">
        <v>1.0900000000000001</v>
      </c>
      <c r="Q34" s="6">
        <v>1.24</v>
      </c>
      <c r="R34" s="6">
        <v>1.24</v>
      </c>
      <c r="S34" s="6">
        <v>1.33</v>
      </c>
      <c r="T34" s="6">
        <v>1.28</v>
      </c>
      <c r="U34" s="6">
        <v>1.39</v>
      </c>
    </row>
    <row r="35" spans="1:21" ht="15.75" thickBot="1" x14ac:dyDescent="0.3">
      <c r="A35" s="5" t="s">
        <v>53</v>
      </c>
      <c r="B35" s="6">
        <v>14.91</v>
      </c>
      <c r="C35" s="6">
        <v>20</v>
      </c>
      <c r="D35" s="6">
        <v>21.37</v>
      </c>
      <c r="E35" s="6">
        <v>23.1</v>
      </c>
      <c r="F35" s="6">
        <v>20.059999999999999</v>
      </c>
      <c r="G35" s="6">
        <v>21.1</v>
      </c>
      <c r="H35" s="6">
        <v>15.06</v>
      </c>
      <c r="I35" s="6">
        <v>12.72</v>
      </c>
      <c r="J35" s="6">
        <v>12.51</v>
      </c>
      <c r="K35" s="6">
        <v>9.1300000000000008</v>
      </c>
      <c r="L35" s="6">
        <v>9.4600000000000009</v>
      </c>
      <c r="M35" s="6">
        <v>6.52</v>
      </c>
      <c r="N35" s="6">
        <v>6.91</v>
      </c>
      <c r="O35" s="6">
        <v>8.9</v>
      </c>
      <c r="P35" s="6">
        <v>9.0500000000000007</v>
      </c>
      <c r="Q35" s="6">
        <v>13.37</v>
      </c>
      <c r="R35" s="6">
        <v>18.260000000000002</v>
      </c>
      <c r="S35" s="6">
        <v>17.260000000000002</v>
      </c>
      <c r="T35" s="6">
        <v>13.77</v>
      </c>
      <c r="U35" s="6">
        <v>15.95</v>
      </c>
    </row>
    <row r="36" spans="1:21" ht="15.75" thickBot="1" x14ac:dyDescent="0.3">
      <c r="A36" s="3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thickBot="1" x14ac:dyDescent="0.3">
      <c r="A37" s="5" t="s">
        <v>55</v>
      </c>
      <c r="B37" s="6">
        <v>6.36</v>
      </c>
      <c r="C37" s="6">
        <v>7.54</v>
      </c>
      <c r="D37" s="6">
        <v>6.37</v>
      </c>
      <c r="E37" s="6">
        <v>6.56</v>
      </c>
      <c r="F37" s="6">
        <v>7.03</v>
      </c>
      <c r="G37" s="6">
        <v>5.16</v>
      </c>
      <c r="H37" s="6">
        <v>6.3</v>
      </c>
      <c r="I37" s="6">
        <v>5.94</v>
      </c>
      <c r="J37" s="6">
        <v>6.1</v>
      </c>
      <c r="K37" s="6">
        <v>6.13</v>
      </c>
      <c r="L37" s="6">
        <v>6.66</v>
      </c>
      <c r="M37" s="6">
        <v>4.9000000000000004</v>
      </c>
      <c r="N37" s="6">
        <v>5.75</v>
      </c>
      <c r="O37" s="6">
        <v>6.83</v>
      </c>
      <c r="P37" s="6">
        <v>6.44</v>
      </c>
      <c r="Q37" s="6">
        <v>6.46</v>
      </c>
      <c r="R37" s="6">
        <v>6.96</v>
      </c>
      <c r="S37" s="6">
        <v>6.69</v>
      </c>
      <c r="T37" s="6">
        <v>7.36</v>
      </c>
      <c r="U37" s="6">
        <v>8.35</v>
      </c>
    </row>
    <row r="38" spans="1:21" ht="15.75" thickBot="1" x14ac:dyDescent="0.3">
      <c r="A38" s="5" t="s">
        <v>56</v>
      </c>
      <c r="B38" s="6">
        <v>14.3</v>
      </c>
      <c r="C38" s="6">
        <v>12.07</v>
      </c>
      <c r="D38" s="6">
        <v>14.28</v>
      </c>
      <c r="E38" s="6">
        <v>13.88</v>
      </c>
      <c r="F38" s="6">
        <v>12.94</v>
      </c>
      <c r="G38" s="6">
        <v>17.63</v>
      </c>
      <c r="H38" s="6">
        <v>14.43</v>
      </c>
      <c r="I38" s="6">
        <v>15.32</v>
      </c>
      <c r="J38" s="6">
        <v>14.92</v>
      </c>
      <c r="K38" s="6">
        <v>14.85</v>
      </c>
      <c r="L38" s="6">
        <v>13.67</v>
      </c>
      <c r="M38" s="6">
        <v>18.57</v>
      </c>
      <c r="N38" s="6">
        <v>63.47</v>
      </c>
      <c r="O38" s="6">
        <v>53.44</v>
      </c>
      <c r="P38" s="6">
        <v>56.64</v>
      </c>
      <c r="Q38" s="6">
        <v>56.54</v>
      </c>
      <c r="R38" s="6">
        <v>52.48</v>
      </c>
      <c r="S38" s="6">
        <v>54.56</v>
      </c>
      <c r="T38" s="6">
        <v>49.57</v>
      </c>
      <c r="U38" s="6">
        <v>43.7</v>
      </c>
    </row>
    <row r="39" spans="1:21" ht="15.75" thickBot="1" x14ac:dyDescent="0.3">
      <c r="A39" s="5" t="s">
        <v>57</v>
      </c>
      <c r="B39" s="6">
        <v>0.77</v>
      </c>
      <c r="C39" s="6">
        <v>0.87</v>
      </c>
      <c r="D39" s="6">
        <v>0.81</v>
      </c>
      <c r="E39" s="6">
        <v>0.89</v>
      </c>
      <c r="F39" s="6">
        <v>0.88</v>
      </c>
      <c r="G39" s="6">
        <v>0.74</v>
      </c>
      <c r="H39" s="6">
        <v>0.84</v>
      </c>
      <c r="I39" s="6">
        <v>0.98</v>
      </c>
      <c r="J39" s="6">
        <v>0.78</v>
      </c>
      <c r="K39" s="6">
        <v>0.65</v>
      </c>
      <c r="L39" s="6">
        <v>0.78</v>
      </c>
      <c r="M39" s="6">
        <v>0.79</v>
      </c>
      <c r="N39" s="6">
        <v>0.83</v>
      </c>
      <c r="O39" s="6">
        <v>0.94</v>
      </c>
      <c r="P39" s="6">
        <v>0.83</v>
      </c>
      <c r="Q39" s="6">
        <v>0.85</v>
      </c>
      <c r="R39" s="6">
        <v>0.7</v>
      </c>
      <c r="S39" s="6">
        <v>0.62</v>
      </c>
      <c r="T39" s="6">
        <v>0.8</v>
      </c>
      <c r="U39" s="6">
        <v>0.83</v>
      </c>
    </row>
    <row r="40" spans="1:21" ht="15.75" thickBot="1" x14ac:dyDescent="0.3">
      <c r="A40" s="5" t="s">
        <v>58</v>
      </c>
      <c r="B40" s="6">
        <v>118.35</v>
      </c>
      <c r="C40" s="6">
        <v>104.23</v>
      </c>
      <c r="D40" s="6">
        <v>112.09</v>
      </c>
      <c r="E40" s="6">
        <v>102.77</v>
      </c>
      <c r="F40" s="6">
        <v>103.05</v>
      </c>
      <c r="G40" s="6">
        <v>123.03</v>
      </c>
      <c r="H40" s="6">
        <v>108.57</v>
      </c>
      <c r="I40" s="6">
        <v>93.33</v>
      </c>
      <c r="J40" s="6">
        <v>116.03</v>
      </c>
      <c r="K40" s="6">
        <v>139.19999999999999</v>
      </c>
      <c r="L40" s="6">
        <v>116.68</v>
      </c>
      <c r="M40" s="6">
        <v>115.03</v>
      </c>
      <c r="N40" s="6">
        <v>440.16</v>
      </c>
      <c r="O40" s="6">
        <v>390.34</v>
      </c>
      <c r="P40" s="6">
        <v>442.12</v>
      </c>
      <c r="Q40" s="6">
        <v>428.89</v>
      </c>
      <c r="R40" s="6">
        <v>521.49</v>
      </c>
      <c r="S40" s="6">
        <v>584.05999999999995</v>
      </c>
      <c r="T40" s="6">
        <v>457.98</v>
      </c>
      <c r="U40" s="6">
        <v>441.72</v>
      </c>
    </row>
    <row r="41" spans="1:21" ht="15.75" thickBot="1" x14ac:dyDescent="0.3">
      <c r="A41" s="5" t="s">
        <v>59</v>
      </c>
      <c r="B41" s="6">
        <v>2.34</v>
      </c>
      <c r="C41" s="6">
        <v>3.24</v>
      </c>
      <c r="D41" s="6">
        <v>2.2599999999999998</v>
      </c>
      <c r="E41" s="6">
        <v>2.93</v>
      </c>
      <c r="F41" s="6">
        <v>2.6</v>
      </c>
      <c r="G41" s="6">
        <v>1.91</v>
      </c>
      <c r="H41" s="6">
        <v>1.1399999999999999</v>
      </c>
      <c r="I41" s="6">
        <v>1.62</v>
      </c>
      <c r="J41" s="6">
        <v>2.09</v>
      </c>
      <c r="K41" s="6">
        <v>2.73</v>
      </c>
      <c r="L41" s="6">
        <v>2.4500000000000002</v>
      </c>
      <c r="M41" s="6">
        <v>2.52</v>
      </c>
      <c r="N41" s="6">
        <v>2.2599999999999998</v>
      </c>
      <c r="O41" s="6">
        <v>2.2400000000000002</v>
      </c>
      <c r="P41" s="6">
        <v>1.98</v>
      </c>
      <c r="Q41" s="6">
        <v>2.2000000000000002</v>
      </c>
      <c r="R41" s="6">
        <v>1.4</v>
      </c>
      <c r="S41" s="6">
        <v>1.1499999999999999</v>
      </c>
      <c r="T41" s="6">
        <v>1.51</v>
      </c>
      <c r="U41" s="6">
        <v>1.54</v>
      </c>
    </row>
    <row r="42" spans="1:21" ht="15.75" thickBot="1" x14ac:dyDescent="0.3">
      <c r="A42" s="5" t="s">
        <v>60</v>
      </c>
      <c r="B42" s="6">
        <v>38.97</v>
      </c>
      <c r="C42" s="6">
        <v>28.13</v>
      </c>
      <c r="D42" s="6">
        <v>40.25</v>
      </c>
      <c r="E42" s="6">
        <v>31.01</v>
      </c>
      <c r="F42" s="6">
        <v>34.979999999999997</v>
      </c>
      <c r="G42" s="6">
        <v>47.72</v>
      </c>
      <c r="H42" s="6">
        <v>79.64</v>
      </c>
      <c r="I42" s="6">
        <v>56.24</v>
      </c>
      <c r="J42" s="6">
        <v>43.56</v>
      </c>
      <c r="K42" s="6">
        <v>33.33</v>
      </c>
      <c r="L42" s="6">
        <v>37.130000000000003</v>
      </c>
      <c r="M42" s="6">
        <v>36.090000000000003</v>
      </c>
      <c r="N42" s="6">
        <v>161.82</v>
      </c>
      <c r="O42" s="6">
        <v>163.09</v>
      </c>
      <c r="P42" s="6">
        <v>183.98</v>
      </c>
      <c r="Q42" s="6">
        <v>166.03</v>
      </c>
      <c r="R42" s="6">
        <v>260.38</v>
      </c>
      <c r="S42" s="6">
        <v>317.08999999999997</v>
      </c>
      <c r="T42" s="6">
        <v>242.07</v>
      </c>
      <c r="U42" s="6">
        <v>237.53</v>
      </c>
    </row>
    <row r="43" spans="1:21" ht="15.75" thickBot="1" x14ac:dyDescent="0.3">
      <c r="A43" s="5" t="s">
        <v>61</v>
      </c>
      <c r="B43" s="6">
        <v>0.85</v>
      </c>
      <c r="C43" s="6">
        <v>1</v>
      </c>
      <c r="D43" s="6">
        <v>0.97</v>
      </c>
      <c r="E43" s="6">
        <v>0.99</v>
      </c>
      <c r="F43" s="6">
        <v>1.0900000000000001</v>
      </c>
      <c r="G43" s="6">
        <v>1.08</v>
      </c>
      <c r="H43" s="6">
        <v>1.1299999999999999</v>
      </c>
      <c r="I43" s="6">
        <v>1.06</v>
      </c>
      <c r="J43" s="6">
        <v>1.0900000000000001</v>
      </c>
      <c r="K43" s="6">
        <v>1</v>
      </c>
      <c r="L43" s="6">
        <v>0.57999999999999996</v>
      </c>
      <c r="M43" s="6">
        <v>0.42</v>
      </c>
      <c r="N43" s="6">
        <v>0.44</v>
      </c>
      <c r="O43" s="6">
        <v>0.5</v>
      </c>
      <c r="P43" s="6">
        <v>0.44</v>
      </c>
      <c r="Q43" s="6">
        <v>0.47</v>
      </c>
      <c r="R43" s="6">
        <v>0.52</v>
      </c>
      <c r="S43" s="6">
        <v>0.56999999999999995</v>
      </c>
      <c r="T43" s="6">
        <v>0.65</v>
      </c>
      <c r="U43" s="6">
        <v>0.63</v>
      </c>
    </row>
    <row r="44" spans="1:21" ht="15.75" thickBot="1" x14ac:dyDescent="0.3">
      <c r="A44" s="5" t="s">
        <v>62</v>
      </c>
      <c r="B44" s="6">
        <v>0.27</v>
      </c>
      <c r="C44" s="6">
        <v>0.26</v>
      </c>
      <c r="D44" s="6">
        <v>0.24</v>
      </c>
      <c r="E44" s="6">
        <v>0.24</v>
      </c>
      <c r="F44" s="6">
        <v>0.23</v>
      </c>
      <c r="G44" s="6">
        <v>0.2</v>
      </c>
      <c r="H44" s="6">
        <v>0.18</v>
      </c>
      <c r="I44" s="6">
        <v>0.18</v>
      </c>
      <c r="J44" s="6">
        <v>0.16</v>
      </c>
      <c r="K44" s="6">
        <v>0.15</v>
      </c>
      <c r="L44" s="6">
        <v>0.18</v>
      </c>
      <c r="M44" s="6">
        <v>0.18</v>
      </c>
      <c r="N44" s="6">
        <v>0.19</v>
      </c>
      <c r="O44" s="6">
        <v>0.21</v>
      </c>
      <c r="P44" s="6">
        <v>0.21</v>
      </c>
      <c r="Q44" s="6">
        <v>0.23</v>
      </c>
      <c r="R44" s="6">
        <v>0.24</v>
      </c>
      <c r="S44" s="6">
        <v>0.23</v>
      </c>
      <c r="T44" s="6">
        <v>0.25</v>
      </c>
      <c r="U44" s="6">
        <v>0.24</v>
      </c>
    </row>
    <row r="45" spans="1:21" ht="15.75" thickBot="1" x14ac:dyDescent="0.3">
      <c r="A45" s="5" t="s">
        <v>63</v>
      </c>
      <c r="B45" s="6">
        <v>0.46</v>
      </c>
      <c r="C45" s="6">
        <v>0.42</v>
      </c>
      <c r="D45" s="6">
        <v>0.39</v>
      </c>
      <c r="E45" s="6">
        <v>0.38</v>
      </c>
      <c r="F45" s="6">
        <v>0.39</v>
      </c>
      <c r="G45" s="6">
        <v>0.36</v>
      </c>
      <c r="H45" s="6">
        <v>0.35</v>
      </c>
      <c r="I45" s="6">
        <v>0.35</v>
      </c>
      <c r="J45" s="6">
        <v>0.34</v>
      </c>
      <c r="K45" s="6">
        <v>0.33</v>
      </c>
      <c r="L45" s="6">
        <v>0.38</v>
      </c>
      <c r="M45" s="6">
        <v>0.38</v>
      </c>
      <c r="N45" s="6">
        <v>0.4</v>
      </c>
      <c r="O45" s="6">
        <v>0.46</v>
      </c>
      <c r="P45" s="6">
        <v>0.45</v>
      </c>
      <c r="Q45" s="6">
        <v>0.5</v>
      </c>
      <c r="R45" s="6">
        <v>0.5</v>
      </c>
      <c r="S45" s="6">
        <v>0.49</v>
      </c>
      <c r="T45" s="6">
        <v>0.51</v>
      </c>
      <c r="U45" s="6">
        <v>0.46</v>
      </c>
    </row>
    <row r="46" spans="1:21" ht="15.75" thickBot="1" x14ac:dyDescent="0.3">
      <c r="A46" s="3" t="s">
        <v>64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thickBot="1" x14ac:dyDescent="0.3">
      <c r="A47" s="5" t="s">
        <v>65</v>
      </c>
      <c r="B47" s="6">
        <v>94.21</v>
      </c>
      <c r="C47" s="6">
        <v>90.46</v>
      </c>
      <c r="D47" s="6">
        <v>89.8</v>
      </c>
      <c r="E47" s="6">
        <v>87.25</v>
      </c>
      <c r="F47" s="6">
        <v>78.42</v>
      </c>
      <c r="G47" s="6">
        <v>69.069999999999993</v>
      </c>
      <c r="H47" s="6">
        <v>64.599999999999994</v>
      </c>
      <c r="I47" s="6">
        <v>51.18</v>
      </c>
      <c r="J47" s="6">
        <v>45.77</v>
      </c>
      <c r="K47" s="6">
        <v>47.68</v>
      </c>
      <c r="L47" s="6">
        <v>49.99</v>
      </c>
      <c r="M47" s="6">
        <v>51.92</v>
      </c>
      <c r="N47" s="6">
        <v>55.88</v>
      </c>
      <c r="O47" s="6">
        <v>57.55</v>
      </c>
      <c r="P47" s="6">
        <v>71.900000000000006</v>
      </c>
      <c r="Q47" s="6">
        <v>70.790000000000006</v>
      </c>
      <c r="R47" s="6">
        <v>77.59</v>
      </c>
      <c r="S47" s="6">
        <v>79.709999999999994</v>
      </c>
      <c r="T47" s="6">
        <v>84</v>
      </c>
      <c r="U47" s="6">
        <v>83.38</v>
      </c>
    </row>
    <row r="48" spans="1:21" ht="15.75" thickBot="1" x14ac:dyDescent="0.3">
      <c r="A48" s="5" t="s">
        <v>66</v>
      </c>
      <c r="B48" s="6">
        <v>24.98</v>
      </c>
      <c r="C48" s="6">
        <v>23.62</v>
      </c>
      <c r="D48" s="6">
        <v>24.48</v>
      </c>
      <c r="E48" s="6">
        <v>22.72</v>
      </c>
      <c r="F48" s="6">
        <v>26.59</v>
      </c>
      <c r="G48" s="6">
        <v>31.43</v>
      </c>
      <c r="H48" s="6">
        <v>31.07</v>
      </c>
      <c r="I48" s="6">
        <v>35.880000000000003</v>
      </c>
      <c r="J48" s="6">
        <v>36.840000000000003</v>
      </c>
      <c r="K48" s="6">
        <v>39.17</v>
      </c>
      <c r="L48" s="6">
        <v>36.03</v>
      </c>
      <c r="M48" s="6">
        <v>38.6</v>
      </c>
      <c r="N48" s="6">
        <v>37.880000000000003</v>
      </c>
      <c r="O48" s="6">
        <v>38.520000000000003</v>
      </c>
      <c r="P48" s="6">
        <v>41.17</v>
      </c>
      <c r="Q48" s="6">
        <v>39.979999999999997</v>
      </c>
      <c r="R48" s="6">
        <v>35.04</v>
      </c>
      <c r="S48" s="6">
        <v>34.97</v>
      </c>
      <c r="T48" s="6">
        <v>32.1</v>
      </c>
      <c r="U48" s="6">
        <v>32.380000000000003</v>
      </c>
    </row>
    <row r="49" spans="1:21" ht="15.75" thickBot="1" x14ac:dyDescent="0.3">
      <c r="A49" s="5" t="s">
        <v>67</v>
      </c>
      <c r="B49" s="6">
        <v>42.16</v>
      </c>
      <c r="C49" s="6">
        <v>37.659999999999997</v>
      </c>
      <c r="D49" s="6">
        <v>38.9</v>
      </c>
      <c r="E49" s="6">
        <v>36.76</v>
      </c>
      <c r="F49" s="6">
        <v>41</v>
      </c>
      <c r="G49" s="6">
        <v>44.32</v>
      </c>
      <c r="H49" s="6">
        <v>48.09</v>
      </c>
      <c r="I49" s="6">
        <v>50.31</v>
      </c>
      <c r="J49" s="6">
        <v>52.42</v>
      </c>
      <c r="K49" s="6">
        <v>52.74</v>
      </c>
      <c r="L49" s="6">
        <v>53.05</v>
      </c>
      <c r="M49" s="6">
        <v>53.26</v>
      </c>
      <c r="N49" s="6">
        <v>53.32</v>
      </c>
      <c r="O49" s="6">
        <v>53.19</v>
      </c>
      <c r="P49" s="6">
        <v>54.97</v>
      </c>
      <c r="Q49" s="6">
        <v>52.35</v>
      </c>
      <c r="R49" s="6">
        <v>53.7</v>
      </c>
      <c r="S49" s="6">
        <v>51.72</v>
      </c>
      <c r="T49" s="6">
        <v>49.07</v>
      </c>
      <c r="U49" s="6">
        <v>46.75</v>
      </c>
    </row>
    <row r="50" spans="1:21" ht="15.75" thickBot="1" x14ac:dyDescent="0.3">
      <c r="A50" s="5" t="s">
        <v>68</v>
      </c>
      <c r="B50" s="6">
        <v>57.84</v>
      </c>
      <c r="C50" s="6">
        <v>62.34</v>
      </c>
      <c r="D50" s="6">
        <v>61.1</v>
      </c>
      <c r="E50" s="6">
        <v>63.24</v>
      </c>
      <c r="F50" s="6">
        <v>59</v>
      </c>
      <c r="G50" s="6">
        <v>55.68</v>
      </c>
      <c r="H50" s="6">
        <v>51.91</v>
      </c>
      <c r="I50" s="6">
        <v>49.69</v>
      </c>
      <c r="J50" s="6">
        <v>47.58</v>
      </c>
      <c r="K50" s="6">
        <v>47.26</v>
      </c>
      <c r="L50" s="6">
        <v>46.95</v>
      </c>
      <c r="M50" s="6">
        <v>46.74</v>
      </c>
      <c r="N50" s="6">
        <v>46.68</v>
      </c>
      <c r="O50" s="6">
        <v>46.81</v>
      </c>
      <c r="P50" s="6">
        <v>45.03</v>
      </c>
      <c r="Q50" s="6">
        <v>47.65</v>
      </c>
      <c r="R50" s="6">
        <v>46.3</v>
      </c>
      <c r="S50" s="6">
        <v>48.28</v>
      </c>
      <c r="T50" s="6">
        <v>50.93</v>
      </c>
      <c r="U50" s="6">
        <v>53.25</v>
      </c>
    </row>
    <row r="51" spans="1:21" ht="15.75" thickBot="1" x14ac:dyDescent="0.3">
      <c r="A51" s="5" t="s">
        <v>69</v>
      </c>
      <c r="B51" s="6">
        <v>68.680000000000007</v>
      </c>
      <c r="C51" s="6">
        <v>54.65</v>
      </c>
      <c r="D51" s="6">
        <v>57.17</v>
      </c>
      <c r="E51" s="6">
        <v>50.71</v>
      </c>
      <c r="F51" s="6">
        <v>54.49</v>
      </c>
      <c r="G51" s="6">
        <v>54.98</v>
      </c>
      <c r="H51" s="6">
        <v>59.84</v>
      </c>
      <c r="I51" s="6">
        <v>51.82</v>
      </c>
      <c r="J51" s="6">
        <v>50.43</v>
      </c>
      <c r="K51" s="6">
        <v>53.22</v>
      </c>
      <c r="L51" s="6">
        <v>56.49</v>
      </c>
      <c r="M51" s="6">
        <v>59.16</v>
      </c>
      <c r="N51" s="6">
        <v>55.88</v>
      </c>
      <c r="O51" s="6">
        <v>57.55</v>
      </c>
      <c r="P51" s="6">
        <v>71.900000000000006</v>
      </c>
      <c r="Q51" s="6">
        <v>70.790000000000006</v>
      </c>
      <c r="R51" s="6">
        <v>77.59</v>
      </c>
      <c r="S51" s="6">
        <v>79.709999999999994</v>
      </c>
      <c r="T51" s="6">
        <v>84</v>
      </c>
      <c r="U51" s="6">
        <v>83.38</v>
      </c>
    </row>
    <row r="52" spans="1:21" ht="15.75" thickBot="1" x14ac:dyDescent="0.3">
      <c r="A52" s="5" t="s">
        <v>70</v>
      </c>
      <c r="B52" s="6">
        <v>43.19</v>
      </c>
      <c r="C52" s="6">
        <v>37.880000000000003</v>
      </c>
      <c r="D52" s="6">
        <v>40.06</v>
      </c>
      <c r="E52" s="6">
        <v>35.93</v>
      </c>
      <c r="F52" s="6">
        <v>45.06</v>
      </c>
      <c r="G52" s="6">
        <v>56.45</v>
      </c>
      <c r="H52" s="6">
        <v>59.85</v>
      </c>
      <c r="I52" s="6">
        <v>72.209999999999994</v>
      </c>
      <c r="J52" s="6">
        <v>77.430000000000007</v>
      </c>
      <c r="K52" s="6">
        <v>82.89</v>
      </c>
      <c r="L52" s="6">
        <v>76.760000000000005</v>
      </c>
      <c r="M52" s="6">
        <v>82.58</v>
      </c>
      <c r="N52" s="6">
        <v>81.14</v>
      </c>
      <c r="O52" s="6">
        <v>82.29</v>
      </c>
      <c r="P52" s="6">
        <v>91.43</v>
      </c>
      <c r="Q52" s="6">
        <v>83.9</v>
      </c>
      <c r="R52" s="6">
        <v>75.680000000000007</v>
      </c>
      <c r="S52" s="6">
        <v>72.42</v>
      </c>
      <c r="T52" s="6">
        <v>63.02</v>
      </c>
      <c r="U52" s="6">
        <v>60.82</v>
      </c>
    </row>
    <row r="53" spans="1:21" ht="15.75" thickBot="1" x14ac:dyDescent="0.3">
      <c r="A53" s="5" t="s">
        <v>71</v>
      </c>
      <c r="B53" s="6">
        <v>72.900000000000006</v>
      </c>
      <c r="C53" s="6">
        <v>60.41</v>
      </c>
      <c r="D53" s="6">
        <v>63.66</v>
      </c>
      <c r="E53" s="6">
        <v>58.12</v>
      </c>
      <c r="F53" s="6">
        <v>69.489999999999995</v>
      </c>
      <c r="G53" s="6">
        <v>79.599999999999994</v>
      </c>
      <c r="H53" s="6">
        <v>92.63</v>
      </c>
      <c r="I53" s="6">
        <v>101.24</v>
      </c>
      <c r="J53" s="6">
        <v>110.18</v>
      </c>
      <c r="K53" s="6">
        <v>111.62</v>
      </c>
      <c r="L53" s="6">
        <v>113.01</v>
      </c>
      <c r="M53" s="6">
        <v>113.95</v>
      </c>
      <c r="N53" s="6">
        <v>114.23</v>
      </c>
      <c r="O53" s="6">
        <v>113.64</v>
      </c>
      <c r="P53" s="6">
        <v>122.07</v>
      </c>
      <c r="Q53" s="6">
        <v>109.87</v>
      </c>
      <c r="R53" s="6">
        <v>116</v>
      </c>
      <c r="S53" s="6">
        <v>107.11</v>
      </c>
      <c r="T53" s="6">
        <v>96.34</v>
      </c>
      <c r="U53" s="6">
        <v>87.8</v>
      </c>
    </row>
    <row r="54" spans="1:21" ht="15.75" thickBot="1" x14ac:dyDescent="0.3">
      <c r="A54" s="3" t="s">
        <v>72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thickBot="1" x14ac:dyDescent="0.3">
      <c r="A55" s="5" t="s">
        <v>73</v>
      </c>
      <c r="B55" s="6">
        <v>0</v>
      </c>
      <c r="C55" s="6">
        <v>0</v>
      </c>
      <c r="D55" s="6">
        <v>0</v>
      </c>
      <c r="E55" s="6">
        <v>21.19</v>
      </c>
      <c r="F55" s="6">
        <v>0</v>
      </c>
      <c r="G55" s="6">
        <v>0</v>
      </c>
      <c r="H55" s="6">
        <v>0</v>
      </c>
      <c r="I55" s="6">
        <v>14.26</v>
      </c>
      <c r="J55" s="6">
        <v>0</v>
      </c>
      <c r="K55" s="6">
        <v>0</v>
      </c>
      <c r="L55" s="6">
        <v>0</v>
      </c>
      <c r="M55" s="6">
        <v>3.71</v>
      </c>
      <c r="N55" s="6">
        <v>0</v>
      </c>
      <c r="O55" s="6">
        <v>0</v>
      </c>
      <c r="P55" s="6">
        <v>0</v>
      </c>
      <c r="Q55" s="6">
        <v>5.1100000000000003</v>
      </c>
      <c r="R55" s="6"/>
      <c r="S55" s="6"/>
      <c r="T55" s="6"/>
      <c r="U55" s="6">
        <v>19.04</v>
      </c>
    </row>
    <row r="56" spans="1:21" ht="15.75" thickBot="1" x14ac:dyDescent="0.3">
      <c r="A56" s="5" t="s">
        <v>74</v>
      </c>
      <c r="B56" s="6">
        <v>0</v>
      </c>
      <c r="C56" s="6">
        <v>0</v>
      </c>
      <c r="D56" s="6">
        <v>0</v>
      </c>
      <c r="E56" s="6">
        <v>15.78</v>
      </c>
      <c r="F56" s="6">
        <v>0</v>
      </c>
      <c r="G56" s="6">
        <v>0</v>
      </c>
      <c r="H56" s="6">
        <v>0</v>
      </c>
      <c r="I56" s="6">
        <v>9.76</v>
      </c>
      <c r="J56" s="6">
        <v>0</v>
      </c>
      <c r="K56" s="6">
        <v>0</v>
      </c>
      <c r="L56" s="6">
        <v>0</v>
      </c>
      <c r="M56" s="6">
        <v>2.41</v>
      </c>
      <c r="N56" s="6">
        <v>0</v>
      </c>
      <c r="O56" s="6">
        <v>0</v>
      </c>
      <c r="P56" s="6">
        <v>0</v>
      </c>
      <c r="Q56" s="6">
        <v>3.09</v>
      </c>
      <c r="R56" s="6"/>
      <c r="S56" s="6"/>
      <c r="T56" s="6"/>
      <c r="U56" s="6">
        <v>11.58</v>
      </c>
    </row>
    <row r="57" spans="1:21" ht="15.75" thickBot="1" x14ac:dyDescent="0.3">
      <c r="A57" s="5" t="s">
        <v>75</v>
      </c>
      <c r="B57" s="6">
        <v>0</v>
      </c>
      <c r="C57" s="6">
        <v>0</v>
      </c>
      <c r="D57" s="6">
        <v>0</v>
      </c>
      <c r="E57" s="6">
        <v>13.74</v>
      </c>
      <c r="F57" s="6">
        <v>0</v>
      </c>
      <c r="G57" s="6">
        <v>0</v>
      </c>
      <c r="H57" s="6">
        <v>0</v>
      </c>
      <c r="I57" s="6">
        <v>16.440000000000001</v>
      </c>
      <c r="J57" s="6">
        <v>0</v>
      </c>
      <c r="K57" s="6">
        <v>0</v>
      </c>
      <c r="L57" s="6">
        <v>0</v>
      </c>
      <c r="M57" s="6">
        <v>5.44</v>
      </c>
      <c r="N57" s="6">
        <v>0</v>
      </c>
      <c r="O57" s="6">
        <v>0</v>
      </c>
      <c r="P57" s="6">
        <v>0</v>
      </c>
      <c r="Q57" s="6">
        <v>0.62</v>
      </c>
      <c r="R57" s="6"/>
      <c r="S57" s="6"/>
      <c r="T57" s="6"/>
      <c r="U57" s="6">
        <v>-4.71</v>
      </c>
    </row>
    <row r="58" spans="1:21" ht="15.75" thickBot="1" x14ac:dyDescent="0.3">
      <c r="A58" s="5" t="s">
        <v>76</v>
      </c>
      <c r="B58" s="6">
        <v>1.06</v>
      </c>
      <c r="C58" s="6">
        <v>15.23</v>
      </c>
      <c r="D58" s="6">
        <v>14.19</v>
      </c>
      <c r="E58" s="6">
        <v>5.79</v>
      </c>
      <c r="F58" s="6">
        <v>19.21</v>
      </c>
      <c r="G58" s="6">
        <v>24.4</v>
      </c>
      <c r="H58" s="6">
        <v>13.62</v>
      </c>
      <c r="I58" s="6">
        <v>7.68</v>
      </c>
      <c r="J58" s="6">
        <v>9.98</v>
      </c>
      <c r="K58" s="6">
        <v>11.3</v>
      </c>
      <c r="L58" s="6">
        <v>0.16</v>
      </c>
      <c r="M58" s="6">
        <v>6.29</v>
      </c>
      <c r="N58" s="6">
        <v>-0.64</v>
      </c>
      <c r="O58" s="6">
        <v>3.22</v>
      </c>
      <c r="P58" s="6">
        <v>6.45</v>
      </c>
      <c r="Q58" s="6">
        <v>5.75</v>
      </c>
      <c r="R58" s="6"/>
      <c r="S58" s="6"/>
      <c r="T58" s="6"/>
      <c r="U58" s="6"/>
    </row>
    <row r="59" spans="1:21" ht="15.75" thickBot="1" x14ac:dyDescent="0.3">
      <c r="A59" s="5" t="s">
        <v>77</v>
      </c>
      <c r="B59" s="6">
        <v>6.66</v>
      </c>
      <c r="C59" s="6">
        <v>8.51</v>
      </c>
      <c r="D59" s="6">
        <v>8.23</v>
      </c>
      <c r="E59" s="6">
        <v>-3.09</v>
      </c>
      <c r="F59" s="6">
        <v>6.01</v>
      </c>
      <c r="G59" s="6">
        <v>5.26</v>
      </c>
      <c r="H59" s="6">
        <v>3.21</v>
      </c>
      <c r="I59" s="6">
        <v>7.18</v>
      </c>
      <c r="J59" s="6">
        <v>3.05</v>
      </c>
      <c r="K59" s="6">
        <v>2.36</v>
      </c>
      <c r="L59" s="6">
        <v>2.44</v>
      </c>
      <c r="M59" s="6">
        <v>6.37</v>
      </c>
      <c r="N59" s="6">
        <v>3.29</v>
      </c>
      <c r="O59" s="6">
        <v>4.47</v>
      </c>
      <c r="P59" s="6">
        <v>5.23</v>
      </c>
      <c r="Q59" s="6">
        <v>8.94</v>
      </c>
      <c r="R59" s="6"/>
      <c r="S59" s="6"/>
      <c r="T59" s="6"/>
      <c r="U59" s="6"/>
    </row>
    <row r="60" spans="1:21" ht="15.75" thickBot="1" x14ac:dyDescent="0.3">
      <c r="A60" s="5" t="s">
        <v>78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1.1499999999999999</v>
      </c>
      <c r="R60" s="6"/>
      <c r="S60" s="6"/>
      <c r="T60" s="6"/>
      <c r="U60" s="6">
        <v>4.51</v>
      </c>
    </row>
    <row r="61" spans="1:21" ht="15.75" thickBot="1" x14ac:dyDescent="0.3">
      <c r="A61" s="5" t="s">
        <v>79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2.41</v>
      </c>
      <c r="R61" s="6"/>
      <c r="S61" s="6"/>
      <c r="T61" s="6"/>
      <c r="U61" s="6">
        <v>8.48</v>
      </c>
    </row>
    <row r="62" spans="1:21" ht="15.75" thickBot="1" x14ac:dyDescent="0.3">
      <c r="A62" s="5" t="s">
        <v>80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20.74</v>
      </c>
      <c r="R62" s="6"/>
      <c r="S62" s="6"/>
      <c r="T62" s="6"/>
      <c r="U62" s="6">
        <v>93.98</v>
      </c>
    </row>
    <row r="63" spans="1:21" ht="15.75" thickBot="1" x14ac:dyDescent="0.3">
      <c r="A63" s="5" t="s">
        <v>81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2.19</v>
      </c>
      <c r="R63" s="6"/>
      <c r="S63" s="6"/>
      <c r="T63" s="6"/>
      <c r="U63" s="6">
        <v>9.65</v>
      </c>
    </row>
    <row r="64" spans="1:21" ht="15.75" thickBot="1" x14ac:dyDescent="0.3">
      <c r="A64" s="5" t="s">
        <v>82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480.9</v>
      </c>
      <c r="R64" s="6"/>
      <c r="S64" s="6"/>
      <c r="T64" s="6"/>
      <c r="U64" s="18">
        <v>1875.06</v>
      </c>
    </row>
    <row r="65" spans="1:21" ht="15.75" thickBot="1" x14ac:dyDescent="0.3">
      <c r="A65" s="3" t="s">
        <v>83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thickBot="1" x14ac:dyDescent="0.3">
      <c r="A66" s="5" t="s">
        <v>84</v>
      </c>
      <c r="B66" s="6">
        <v>79.37</v>
      </c>
      <c r="C66" s="6">
        <v>77.42</v>
      </c>
      <c r="D66" s="6">
        <v>74.97</v>
      </c>
      <c r="E66" s="6">
        <v>77.19</v>
      </c>
      <c r="F66" s="6">
        <v>79.8</v>
      </c>
      <c r="G66" s="6">
        <v>77</v>
      </c>
      <c r="H66" s="6">
        <v>82.24</v>
      </c>
      <c r="I66" s="6">
        <v>82.48</v>
      </c>
      <c r="J66" s="6">
        <v>79.95</v>
      </c>
      <c r="K66" s="6">
        <v>82.09</v>
      </c>
      <c r="L66" s="6">
        <v>84.22</v>
      </c>
      <c r="M66" s="6">
        <v>80.430000000000007</v>
      </c>
      <c r="N66" s="6">
        <v>81.86</v>
      </c>
      <c r="O66" s="6">
        <v>79.06</v>
      </c>
      <c r="P66" s="6">
        <v>75.69</v>
      </c>
      <c r="Q66" s="6">
        <v>73.75</v>
      </c>
      <c r="R66" s="6">
        <v>67.319999999999993</v>
      </c>
      <c r="S66" s="6">
        <v>69.33</v>
      </c>
      <c r="T66" s="6">
        <v>78.56</v>
      </c>
      <c r="U66" s="6">
        <v>77.06</v>
      </c>
    </row>
    <row r="67" spans="1:21" ht="15.75" thickBot="1" x14ac:dyDescent="0.3">
      <c r="A67" s="5" t="s">
        <v>85</v>
      </c>
      <c r="B67" s="6">
        <v>2.0499999999999998</v>
      </c>
      <c r="C67" s="6">
        <v>1.0900000000000001</v>
      </c>
      <c r="D67" s="6">
        <v>1.37</v>
      </c>
      <c r="E67" s="6">
        <v>1.1100000000000001</v>
      </c>
      <c r="F67" s="6">
        <v>1.08</v>
      </c>
      <c r="G67" s="6">
        <v>1.33</v>
      </c>
      <c r="H67" s="6">
        <v>1.29</v>
      </c>
      <c r="I67" s="6">
        <v>1.29</v>
      </c>
      <c r="J67" s="6">
        <v>1.78</v>
      </c>
      <c r="K67" s="6">
        <v>1.5</v>
      </c>
      <c r="L67" s="6">
        <v>1.03</v>
      </c>
      <c r="M67" s="6">
        <v>1.34</v>
      </c>
      <c r="N67" s="6">
        <v>1.27</v>
      </c>
      <c r="O67" s="6">
        <v>1.19</v>
      </c>
      <c r="P67" s="6">
        <v>1.1000000000000001</v>
      </c>
      <c r="Q67" s="6">
        <v>1.33</v>
      </c>
      <c r="R67" s="6">
        <v>1.17</v>
      </c>
      <c r="S67" s="6">
        <v>1.51</v>
      </c>
      <c r="T67" s="6">
        <v>1.59</v>
      </c>
      <c r="U67" s="6">
        <v>1.31</v>
      </c>
    </row>
    <row r="68" spans="1:21" ht="15.75" thickBot="1" x14ac:dyDescent="0.3">
      <c r="A68" s="5" t="s">
        <v>86</v>
      </c>
      <c r="B68" s="6">
        <v>0.56000000000000005</v>
      </c>
      <c r="C68" s="6">
        <v>0.8</v>
      </c>
      <c r="D68" s="6">
        <v>1.39</v>
      </c>
      <c r="E68" s="6">
        <v>0.88</v>
      </c>
      <c r="F68" s="6">
        <v>0.46</v>
      </c>
      <c r="G68" s="6">
        <v>0.36</v>
      </c>
      <c r="H68" s="6">
        <v>1.46</v>
      </c>
      <c r="I68" s="6">
        <v>0.81</v>
      </c>
      <c r="J68" s="6">
        <v>0.7</v>
      </c>
      <c r="K68" s="6">
        <v>1</v>
      </c>
      <c r="L68" s="6">
        <v>1.06</v>
      </c>
      <c r="M68" s="6">
        <v>0.8</v>
      </c>
      <c r="N68" s="6">
        <v>0.76</v>
      </c>
      <c r="O68" s="6">
        <v>0.68</v>
      </c>
      <c r="P68" s="6">
        <v>0.83</v>
      </c>
      <c r="Q68" s="6">
        <v>0.66</v>
      </c>
      <c r="R68" s="6">
        <v>1.06</v>
      </c>
      <c r="S68" s="6">
        <v>0.61</v>
      </c>
      <c r="T68" s="6">
        <v>1.1399999999999999</v>
      </c>
      <c r="U68" s="6">
        <v>0.6</v>
      </c>
    </row>
    <row r="69" spans="1:21" ht="15.75" thickBot="1" x14ac:dyDescent="0.3">
      <c r="A69" s="5" t="s">
        <v>87</v>
      </c>
      <c r="B69" s="6">
        <v>1.23</v>
      </c>
      <c r="C69" s="6">
        <v>1.04</v>
      </c>
      <c r="D69" s="6">
        <v>1.06</v>
      </c>
      <c r="E69" s="6">
        <v>0.91</v>
      </c>
      <c r="F69" s="6">
        <v>0.95</v>
      </c>
      <c r="G69" s="6">
        <v>1</v>
      </c>
      <c r="H69" s="6">
        <v>1.01</v>
      </c>
      <c r="I69" s="6">
        <v>1.24</v>
      </c>
      <c r="J69" s="6">
        <v>1.43</v>
      </c>
      <c r="K69" s="6">
        <v>1.76</v>
      </c>
      <c r="L69" s="6">
        <v>1.5</v>
      </c>
      <c r="M69" s="6">
        <v>2.5</v>
      </c>
      <c r="N69" s="6">
        <v>2.56</v>
      </c>
      <c r="O69" s="6">
        <v>2.19</v>
      </c>
      <c r="P69" s="6">
        <v>2.57</v>
      </c>
      <c r="Q69" s="6">
        <v>1.99</v>
      </c>
      <c r="R69" s="6">
        <v>1.71</v>
      </c>
      <c r="S69" s="6">
        <v>1.75</v>
      </c>
      <c r="T69" s="6">
        <v>1.41</v>
      </c>
      <c r="U69" s="6">
        <v>1.35</v>
      </c>
    </row>
    <row r="70" spans="1:21" ht="15.75" thickBot="1" x14ac:dyDescent="0.3">
      <c r="A70" s="3" t="s">
        <v>88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thickBot="1" x14ac:dyDescent="0.3">
      <c r="A71" s="5" t="s">
        <v>89</v>
      </c>
      <c r="B71" s="6">
        <v>60.47</v>
      </c>
      <c r="C71" s="6">
        <v>63.39</v>
      </c>
      <c r="D71" s="6">
        <v>62.38</v>
      </c>
      <c r="E71" s="6">
        <v>60.53</v>
      </c>
      <c r="F71" s="6">
        <v>54.31</v>
      </c>
      <c r="G71" s="6">
        <v>45.41</v>
      </c>
      <c r="H71" s="6">
        <v>33.25</v>
      </c>
      <c r="I71" s="6">
        <v>33.03</v>
      </c>
      <c r="J71" s="6">
        <v>32.229999999999997</v>
      </c>
      <c r="K71" s="6">
        <v>31.29</v>
      </c>
      <c r="L71" s="6">
        <v>29.94</v>
      </c>
      <c r="M71" s="6">
        <v>31.87</v>
      </c>
      <c r="N71" s="6">
        <v>34.64</v>
      </c>
      <c r="O71" s="6">
        <v>36.880000000000003</v>
      </c>
      <c r="P71" s="6">
        <v>43.19</v>
      </c>
      <c r="Q71" s="6">
        <v>46.01</v>
      </c>
      <c r="R71" s="6">
        <v>51.58</v>
      </c>
      <c r="S71" s="6">
        <v>54.95</v>
      </c>
      <c r="T71" s="6">
        <v>52.83</v>
      </c>
      <c r="U71" s="6">
        <v>54.04</v>
      </c>
    </row>
    <row r="72" spans="1:21" ht="15.75" thickBot="1" x14ac:dyDescent="0.3">
      <c r="A72" s="5" t="s">
        <v>90</v>
      </c>
      <c r="B72" s="6">
        <v>7.56</v>
      </c>
      <c r="C72" s="6">
        <v>8.4600000000000009</v>
      </c>
      <c r="D72" s="6">
        <v>12.89</v>
      </c>
      <c r="E72" s="6">
        <v>20.22</v>
      </c>
      <c r="F72" s="6">
        <v>15.78</v>
      </c>
      <c r="G72" s="6">
        <v>12.49</v>
      </c>
      <c r="H72" s="6">
        <v>9.67</v>
      </c>
      <c r="I72" s="6">
        <v>21.78</v>
      </c>
      <c r="J72" s="6">
        <v>19.68</v>
      </c>
      <c r="K72" s="6">
        <v>13.03</v>
      </c>
      <c r="L72" s="6">
        <v>14.98</v>
      </c>
      <c r="M72" s="6">
        <v>18.04</v>
      </c>
      <c r="N72" s="6">
        <v>19.170000000000002</v>
      </c>
      <c r="O72" s="6">
        <v>12.99</v>
      </c>
      <c r="P72" s="6">
        <v>22.89</v>
      </c>
      <c r="Q72" s="6">
        <v>21.92</v>
      </c>
      <c r="R72" s="6">
        <v>17.77</v>
      </c>
      <c r="S72" s="6">
        <v>13.94</v>
      </c>
      <c r="T72" s="6">
        <v>23.87</v>
      </c>
      <c r="U72" s="6">
        <v>18.98</v>
      </c>
    </row>
    <row r="73" spans="1:21" ht="15.75" thickBot="1" x14ac:dyDescent="0.3">
      <c r="A73" s="5" t="s">
        <v>91</v>
      </c>
      <c r="B73" s="6">
        <v>32.58</v>
      </c>
      <c r="C73" s="6">
        <v>38.89</v>
      </c>
      <c r="D73" s="6">
        <v>30.04</v>
      </c>
      <c r="E73" s="6">
        <v>21.54</v>
      </c>
      <c r="F73" s="6">
        <v>23</v>
      </c>
      <c r="G73" s="6">
        <v>18.54</v>
      </c>
      <c r="H73" s="6">
        <v>14.32</v>
      </c>
      <c r="I73" s="6">
        <v>11.48</v>
      </c>
      <c r="J73" s="6">
        <v>8.6999999999999993</v>
      </c>
      <c r="K73" s="6">
        <v>6.04</v>
      </c>
      <c r="L73" s="6">
        <v>4.51</v>
      </c>
      <c r="M73" s="6">
        <v>4.74</v>
      </c>
      <c r="N73" s="6">
        <v>11.96</v>
      </c>
      <c r="O73" s="6">
        <v>20.29</v>
      </c>
      <c r="P73" s="6">
        <v>15.53</v>
      </c>
      <c r="Q73" s="6">
        <v>16.899999999999999</v>
      </c>
      <c r="R73" s="6">
        <v>20.85</v>
      </c>
      <c r="S73" s="6">
        <v>22.34</v>
      </c>
      <c r="T73" s="6">
        <v>19.37</v>
      </c>
      <c r="U73" s="6">
        <v>27.13</v>
      </c>
    </row>
    <row r="74" spans="1:21" ht="15.75" thickBot="1" x14ac:dyDescent="0.3">
      <c r="A74" s="5" t="s">
        <v>92</v>
      </c>
      <c r="B74" s="6">
        <v>12.46</v>
      </c>
      <c r="C74" s="6">
        <v>15.02</v>
      </c>
      <c r="D74" s="6">
        <v>19.82</v>
      </c>
      <c r="E74" s="6">
        <v>21.79</v>
      </c>
      <c r="F74" s="6">
        <v>19.510000000000002</v>
      </c>
      <c r="G74" s="6">
        <v>17.72</v>
      </c>
      <c r="H74" s="6">
        <v>15.05</v>
      </c>
      <c r="I74" s="6">
        <v>17.78</v>
      </c>
      <c r="J74" s="6">
        <v>16.170000000000002</v>
      </c>
      <c r="K74" s="6">
        <v>12.64</v>
      </c>
      <c r="L74" s="6">
        <v>11.73</v>
      </c>
      <c r="M74" s="6">
        <v>14.69</v>
      </c>
      <c r="N74" s="6">
        <v>10.82</v>
      </c>
      <c r="O74" s="6">
        <v>13.46</v>
      </c>
      <c r="P74" s="6">
        <v>10.78</v>
      </c>
      <c r="Q74" s="6">
        <v>13.58</v>
      </c>
      <c r="R74" s="6">
        <v>9.64</v>
      </c>
      <c r="S74" s="6">
        <v>11.31</v>
      </c>
      <c r="T74" s="6">
        <v>8.14</v>
      </c>
      <c r="U74" s="6">
        <v>12.08</v>
      </c>
    </row>
    <row r="75" spans="1:21" ht="15.75" thickBot="1" x14ac:dyDescent="0.3">
      <c r="A75" s="5" t="s">
        <v>93</v>
      </c>
      <c r="B75" s="6">
        <v>45.68</v>
      </c>
      <c r="C75" s="6">
        <v>36.29</v>
      </c>
      <c r="D75" s="6">
        <v>35.58</v>
      </c>
      <c r="E75" s="6">
        <v>34.39</v>
      </c>
      <c r="F75" s="6">
        <v>38.229999999999997</v>
      </c>
      <c r="G75" s="6">
        <v>46.4</v>
      </c>
      <c r="H75" s="6">
        <v>54.26</v>
      </c>
      <c r="I75" s="6">
        <v>45.12</v>
      </c>
      <c r="J75" s="6">
        <v>51.34</v>
      </c>
      <c r="K75" s="6">
        <v>62.13</v>
      </c>
      <c r="L75" s="6">
        <v>63.71</v>
      </c>
      <c r="M75" s="6">
        <v>57.29</v>
      </c>
      <c r="N75" s="6">
        <v>53.21</v>
      </c>
      <c r="O75" s="6">
        <v>48.43</v>
      </c>
      <c r="P75" s="6">
        <v>46.28</v>
      </c>
      <c r="Q75" s="6">
        <v>43.4</v>
      </c>
      <c r="R75" s="6">
        <v>48.29</v>
      </c>
      <c r="S75" s="6">
        <v>47.94</v>
      </c>
      <c r="T75" s="6">
        <v>44.75</v>
      </c>
      <c r="U75" s="6">
        <v>39.86</v>
      </c>
    </row>
    <row r="76" spans="1:21" ht="15.75" thickBot="1" x14ac:dyDescent="0.3">
      <c r="A76" s="5" t="s">
        <v>94</v>
      </c>
      <c r="B76" s="6">
        <v>1.71</v>
      </c>
      <c r="C76" s="6">
        <v>1.34</v>
      </c>
      <c r="D76" s="6">
        <v>1.67</v>
      </c>
      <c r="E76" s="6">
        <v>2.06</v>
      </c>
      <c r="F76" s="6">
        <v>3.49</v>
      </c>
      <c r="G76" s="6">
        <v>4.8600000000000003</v>
      </c>
      <c r="H76" s="6">
        <v>6.7</v>
      </c>
      <c r="I76" s="6">
        <v>3.84</v>
      </c>
      <c r="J76" s="6">
        <v>4.12</v>
      </c>
      <c r="K76" s="6">
        <v>6.17</v>
      </c>
      <c r="L76" s="6">
        <v>5.07</v>
      </c>
      <c r="M76" s="6">
        <v>5.25</v>
      </c>
      <c r="N76" s="6">
        <v>4.84</v>
      </c>
      <c r="O76" s="6">
        <v>4.83</v>
      </c>
      <c r="P76" s="6">
        <v>4.5199999999999996</v>
      </c>
      <c r="Q76" s="6">
        <v>4.2</v>
      </c>
      <c r="R76" s="6">
        <v>3.46</v>
      </c>
      <c r="S76" s="6">
        <v>4.46</v>
      </c>
      <c r="T76" s="6">
        <v>3.88</v>
      </c>
      <c r="U76" s="6">
        <v>1.96</v>
      </c>
    </row>
    <row r="77" spans="1:21" ht="15.75" thickBot="1" x14ac:dyDescent="0.3">
      <c r="A77" s="3" t="s">
        <v>95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thickBot="1" x14ac:dyDescent="0.3">
      <c r="A78" s="5" t="s">
        <v>96</v>
      </c>
      <c r="B78" s="6">
        <v>39.53</v>
      </c>
      <c r="C78" s="6">
        <v>36.61</v>
      </c>
      <c r="D78" s="6">
        <v>37.619999999999997</v>
      </c>
      <c r="E78" s="6">
        <v>39.47</v>
      </c>
      <c r="F78" s="6">
        <v>45.69</v>
      </c>
      <c r="G78" s="6">
        <v>54.59</v>
      </c>
      <c r="H78" s="6">
        <v>66.75</v>
      </c>
      <c r="I78" s="6">
        <v>66.97</v>
      </c>
      <c r="J78" s="6">
        <v>67.77</v>
      </c>
      <c r="K78" s="6">
        <v>68.709999999999994</v>
      </c>
      <c r="L78" s="6">
        <v>70.06</v>
      </c>
      <c r="M78" s="6">
        <v>68.13</v>
      </c>
      <c r="N78" s="6">
        <v>65.36</v>
      </c>
      <c r="O78" s="6">
        <v>63.12</v>
      </c>
      <c r="P78" s="6">
        <v>56.81</v>
      </c>
      <c r="Q78" s="6">
        <v>53.99</v>
      </c>
      <c r="R78" s="6">
        <v>48.42</v>
      </c>
      <c r="S78" s="6">
        <v>45.05</v>
      </c>
      <c r="T78" s="6">
        <v>47.17</v>
      </c>
      <c r="U78" s="6">
        <v>45.96</v>
      </c>
    </row>
    <row r="79" spans="1:21" ht="15.75" thickBot="1" x14ac:dyDescent="0.3">
      <c r="A79" s="5" t="s">
        <v>97</v>
      </c>
      <c r="B79" s="6">
        <v>31.58</v>
      </c>
      <c r="C79" s="6">
        <v>25.95</v>
      </c>
      <c r="D79" s="6">
        <v>24.84</v>
      </c>
      <c r="E79" s="6">
        <v>24.02</v>
      </c>
      <c r="F79" s="6">
        <v>21.06</v>
      </c>
      <c r="G79" s="6">
        <v>18.670000000000002</v>
      </c>
      <c r="H79" s="6">
        <v>16.34</v>
      </c>
      <c r="I79" s="6">
        <v>16.64</v>
      </c>
      <c r="J79" s="6">
        <v>14.86</v>
      </c>
      <c r="K79" s="6">
        <v>15.48</v>
      </c>
      <c r="L79" s="6">
        <v>30.69</v>
      </c>
      <c r="M79" s="6">
        <v>42.95</v>
      </c>
      <c r="N79" s="6">
        <v>41.01</v>
      </c>
      <c r="O79" s="6">
        <v>44.61</v>
      </c>
      <c r="P79" s="6">
        <v>49.85</v>
      </c>
      <c r="Q79" s="6">
        <v>48.63</v>
      </c>
      <c r="R79" s="6">
        <v>42.35</v>
      </c>
      <c r="S79" s="6">
        <v>39.03</v>
      </c>
      <c r="T79" s="6">
        <v>38.869999999999997</v>
      </c>
      <c r="U79" s="6">
        <v>37.78</v>
      </c>
    </row>
    <row r="80" spans="1:21" ht="15.75" thickBot="1" x14ac:dyDescent="0.3">
      <c r="A80" s="5" t="s">
        <v>98</v>
      </c>
      <c r="B80" s="6">
        <v>98.53</v>
      </c>
      <c r="C80" s="6">
        <v>98.52</v>
      </c>
      <c r="D80" s="6">
        <v>98.59</v>
      </c>
      <c r="E80" s="6">
        <v>98.5</v>
      </c>
      <c r="F80" s="6">
        <v>98.43</v>
      </c>
      <c r="G80" s="6">
        <v>98.44</v>
      </c>
      <c r="H80" s="6">
        <v>98.3</v>
      </c>
      <c r="I80" s="6">
        <v>98.48</v>
      </c>
      <c r="J80" s="6">
        <v>98.46</v>
      </c>
      <c r="K80" s="6">
        <v>98.42</v>
      </c>
      <c r="L80" s="6">
        <v>99.14</v>
      </c>
      <c r="M80" s="6">
        <v>99.42</v>
      </c>
      <c r="N80" s="6">
        <v>99.44</v>
      </c>
      <c r="O80" s="6">
        <v>99.51</v>
      </c>
      <c r="P80" s="6">
        <v>99.61</v>
      </c>
      <c r="Q80" s="6">
        <v>99.72</v>
      </c>
      <c r="R80" s="6">
        <v>99.4</v>
      </c>
      <c r="S80" s="6">
        <v>99.41</v>
      </c>
      <c r="T80" s="6">
        <v>99.23</v>
      </c>
      <c r="U80" s="6">
        <v>99.22</v>
      </c>
    </row>
    <row r="81" spans="1:21" ht="15.75" thickBot="1" x14ac:dyDescent="0.3">
      <c r="A81" s="5" t="s">
        <v>99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/>
      <c r="S81" s="6"/>
      <c r="T81" s="6"/>
      <c r="U81" s="6"/>
    </row>
    <row r="82" spans="1:21" ht="15.75" thickBot="1" x14ac:dyDescent="0.3">
      <c r="A82" s="5" t="s">
        <v>100</v>
      </c>
      <c r="B82" s="6">
        <v>1.47</v>
      </c>
      <c r="C82" s="6">
        <v>1.48</v>
      </c>
      <c r="D82" s="6">
        <v>1.41</v>
      </c>
      <c r="E82" s="6">
        <v>1.5</v>
      </c>
      <c r="F82" s="6">
        <v>1.57</v>
      </c>
      <c r="G82" s="6">
        <v>1.56</v>
      </c>
      <c r="H82" s="6">
        <v>1.7</v>
      </c>
      <c r="I82" s="6">
        <v>1.52</v>
      </c>
      <c r="J82" s="6">
        <v>1.54</v>
      </c>
      <c r="K82" s="6">
        <v>1.58</v>
      </c>
      <c r="L82" s="6">
        <v>0.86</v>
      </c>
      <c r="M82" s="6">
        <v>0.57999999999999996</v>
      </c>
      <c r="N82" s="6">
        <v>0.56000000000000005</v>
      </c>
      <c r="O82" s="6">
        <v>0.49</v>
      </c>
      <c r="P82" s="6">
        <v>0.39</v>
      </c>
      <c r="Q82" s="6">
        <v>0.28000000000000003</v>
      </c>
      <c r="R82" s="6">
        <v>0.6</v>
      </c>
      <c r="S82" s="6">
        <v>0.59</v>
      </c>
      <c r="T82" s="6">
        <v>0.77</v>
      </c>
      <c r="U82" s="6">
        <v>0.78</v>
      </c>
    </row>
    <row r="83" spans="1:21" x14ac:dyDescent="0.25">
      <c r="A83" s="5" t="s">
        <v>101</v>
      </c>
      <c r="B83" s="6">
        <v>15.48</v>
      </c>
      <c r="C83" s="6">
        <v>26.04</v>
      </c>
      <c r="D83" s="6">
        <v>36.07</v>
      </c>
      <c r="E83" s="6">
        <v>45.88</v>
      </c>
      <c r="F83" s="6">
        <v>99.67</v>
      </c>
      <c r="G83" s="6">
        <v>175.1</v>
      </c>
      <c r="H83" s="6">
        <v>291.01</v>
      </c>
      <c r="I83" s="6">
        <v>286.91000000000003</v>
      </c>
      <c r="J83" s="6">
        <v>340.46</v>
      </c>
      <c r="K83" s="6">
        <v>324.64999999999998</v>
      </c>
      <c r="L83" s="6">
        <v>117.43</v>
      </c>
      <c r="M83" s="6">
        <v>51.76</v>
      </c>
      <c r="N83" s="6">
        <v>51.39</v>
      </c>
      <c r="O83" s="6">
        <v>34.79</v>
      </c>
      <c r="P83" s="6">
        <v>8.1300000000000008</v>
      </c>
      <c r="Q83" s="6">
        <v>5.0199999999999996</v>
      </c>
      <c r="R83" s="6">
        <v>7.43</v>
      </c>
      <c r="S83" s="6">
        <v>7.94</v>
      </c>
      <c r="T83" s="6">
        <v>12.43</v>
      </c>
      <c r="U83" s="6">
        <v>11.43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6EC-3ECE-4152-ADB7-B844CC3DA593}">
  <dimension ref="A1:I124"/>
  <sheetViews>
    <sheetView showGridLines="0" workbookViewId="0">
      <selection activeCell="F11" sqref="F11"/>
    </sheetView>
  </sheetViews>
  <sheetFormatPr defaultRowHeight="15" x14ac:dyDescent="0.25"/>
  <cols>
    <col min="1" max="1" width="53.42578125" bestFit="1" customWidth="1"/>
    <col min="2" max="6" width="15.5703125" customWidth="1"/>
    <col min="7" max="9" width="10.140625" bestFit="1" customWidth="1"/>
  </cols>
  <sheetData>
    <row r="1" spans="1:8" ht="15.75" thickBot="1" x14ac:dyDescent="0.3">
      <c r="A1" s="1" t="s">
        <v>356</v>
      </c>
      <c r="B1" s="7">
        <v>2017</v>
      </c>
      <c r="C1" s="7">
        <v>2018</v>
      </c>
      <c r="D1" s="7">
        <v>2019</v>
      </c>
      <c r="E1" s="7">
        <v>2020</v>
      </c>
      <c r="F1" s="7">
        <v>2021</v>
      </c>
    </row>
    <row r="2" spans="1:8" ht="16.5" thickTop="1" thickBot="1" x14ac:dyDescent="0.3">
      <c r="A2" s="8" t="s">
        <v>102</v>
      </c>
      <c r="B2" s="9"/>
      <c r="C2" s="9"/>
      <c r="D2" s="9"/>
      <c r="E2" s="9"/>
      <c r="F2" s="9"/>
    </row>
    <row r="3" spans="1:8" ht="15.75" thickBot="1" x14ac:dyDescent="0.3">
      <c r="A3" s="8" t="s">
        <v>103</v>
      </c>
      <c r="B3" s="17">
        <v>33068060</v>
      </c>
      <c r="C3" s="17">
        <v>25308725</v>
      </c>
      <c r="D3" s="17">
        <v>30436937</v>
      </c>
      <c r="E3" s="17">
        <v>56747258</v>
      </c>
      <c r="F3" s="17">
        <v>94154860</v>
      </c>
    </row>
    <row r="4" spans="1:8" ht="15.75" thickBot="1" x14ac:dyDescent="0.3">
      <c r="A4" s="10" t="s">
        <v>104</v>
      </c>
      <c r="B4" s="15">
        <v>4264642</v>
      </c>
      <c r="C4" s="15">
        <v>2515617</v>
      </c>
      <c r="D4" s="15">
        <v>4544900</v>
      </c>
      <c r="E4" s="15">
        <v>13696099</v>
      </c>
      <c r="F4" s="15">
        <v>22471376</v>
      </c>
    </row>
    <row r="5" spans="1:8" ht="15.75" thickBot="1" x14ac:dyDescent="0.3">
      <c r="A5" s="5" t="s">
        <v>127</v>
      </c>
      <c r="B5" s="16">
        <v>764397</v>
      </c>
      <c r="C5" s="16">
        <v>1822302</v>
      </c>
      <c r="D5" s="16">
        <v>1678314</v>
      </c>
      <c r="E5" s="16">
        <v>2094314</v>
      </c>
      <c r="F5" s="16">
        <v>6316300</v>
      </c>
    </row>
    <row r="6" spans="1:8" ht="15.75" thickBot="1" x14ac:dyDescent="0.3">
      <c r="A6" s="5" t="s">
        <v>128</v>
      </c>
      <c r="B6" s="16">
        <v>3500245</v>
      </c>
      <c r="C6" s="16">
        <v>693315</v>
      </c>
      <c r="D6" s="16">
        <v>2866586</v>
      </c>
      <c r="E6" s="16">
        <v>11601785</v>
      </c>
      <c r="F6" s="16">
        <v>16155076</v>
      </c>
    </row>
    <row r="7" spans="1:8" ht="15.75" thickBot="1" x14ac:dyDescent="0.3">
      <c r="A7" s="10" t="s">
        <v>105</v>
      </c>
      <c r="B7" s="15">
        <v>9936707</v>
      </c>
      <c r="C7" s="15">
        <v>3724563</v>
      </c>
      <c r="D7" s="15">
        <v>1374340</v>
      </c>
      <c r="E7" s="15">
        <v>8126993</v>
      </c>
      <c r="F7" s="15">
        <v>18236153</v>
      </c>
    </row>
    <row r="8" spans="1:8" ht="15.75" thickBot="1" x14ac:dyDescent="0.3">
      <c r="A8" s="5" t="s">
        <v>129</v>
      </c>
      <c r="B8" s="6"/>
      <c r="C8" s="6"/>
      <c r="D8" s="6"/>
      <c r="E8" s="6"/>
      <c r="F8" s="6"/>
    </row>
    <row r="9" spans="1:8" ht="15.75" thickBot="1" x14ac:dyDescent="0.3">
      <c r="A9" s="5" t="s">
        <v>130</v>
      </c>
      <c r="B9" s="6"/>
      <c r="C9" s="6"/>
      <c r="D9" s="6"/>
      <c r="E9" s="6"/>
      <c r="F9" s="6"/>
    </row>
    <row r="10" spans="1:8" ht="15.75" thickBot="1" x14ac:dyDescent="0.3">
      <c r="A10" s="5" t="s">
        <v>131</v>
      </c>
      <c r="B10" s="16">
        <v>9936707</v>
      </c>
      <c r="C10" s="16">
        <v>3724563</v>
      </c>
      <c r="D10" s="16">
        <v>1374340</v>
      </c>
      <c r="E10" s="16">
        <v>8126993</v>
      </c>
      <c r="F10" s="16">
        <v>18236153</v>
      </c>
    </row>
    <row r="11" spans="1:8" ht="15.75" thickBot="1" x14ac:dyDescent="0.3">
      <c r="A11" s="10" t="s">
        <v>106</v>
      </c>
      <c r="B11" s="15">
        <v>6555419</v>
      </c>
      <c r="C11" s="15">
        <v>3210279</v>
      </c>
      <c r="D11" s="15">
        <v>3561397</v>
      </c>
      <c r="E11" s="15">
        <v>6124790</v>
      </c>
      <c r="F11" s="15">
        <v>7662681</v>
      </c>
      <c r="G11" s="49">
        <f>E11+E20-H70</f>
        <v>17783440</v>
      </c>
      <c r="H11" s="49">
        <f>F11+F20-I70</f>
        <v>20881524</v>
      </c>
    </row>
    <row r="12" spans="1:8" ht="15.75" thickBot="1" x14ac:dyDescent="0.3">
      <c r="A12" s="5" t="s">
        <v>132</v>
      </c>
      <c r="B12" s="16">
        <v>1999844</v>
      </c>
      <c r="C12" s="16">
        <v>2281761</v>
      </c>
      <c r="D12" s="16">
        <v>2699937</v>
      </c>
      <c r="E12" s="16">
        <v>3949487</v>
      </c>
      <c r="F12" s="16">
        <v>4973096</v>
      </c>
    </row>
    <row r="13" spans="1:8" ht="15.75" thickBot="1" x14ac:dyDescent="0.3">
      <c r="A13" s="5" t="s">
        <v>133</v>
      </c>
      <c r="B13" s="16">
        <v>4007003</v>
      </c>
      <c r="C13" s="16">
        <v>810319</v>
      </c>
      <c r="D13" s="16">
        <v>757833</v>
      </c>
      <c r="E13" s="16">
        <v>1303038</v>
      </c>
      <c r="F13" s="16">
        <v>1722372</v>
      </c>
    </row>
    <row r="14" spans="1:8" ht="15.75" thickBot="1" x14ac:dyDescent="0.3">
      <c r="A14" s="5" t="s">
        <v>134</v>
      </c>
      <c r="B14" s="6"/>
      <c r="C14" s="6"/>
      <c r="D14" s="6"/>
      <c r="E14" s="6"/>
      <c r="F14" s="6"/>
    </row>
    <row r="15" spans="1:8" ht="15.75" thickBot="1" x14ac:dyDescent="0.3">
      <c r="A15" s="5" t="s">
        <v>135</v>
      </c>
      <c r="B15" s="6"/>
      <c r="C15" s="6"/>
      <c r="D15" s="6"/>
      <c r="E15" s="6"/>
      <c r="F15" s="6"/>
    </row>
    <row r="16" spans="1:8" ht="15.75" thickBot="1" x14ac:dyDescent="0.3">
      <c r="A16" s="5" t="s">
        <v>136</v>
      </c>
      <c r="B16" s="6"/>
      <c r="C16" s="6"/>
      <c r="D16" s="6"/>
      <c r="E16" s="6"/>
      <c r="F16" s="16">
        <v>23522</v>
      </c>
    </row>
    <row r="17" spans="1:8" ht="15.75" thickBot="1" x14ac:dyDescent="0.3">
      <c r="A17" s="5" t="s">
        <v>137</v>
      </c>
      <c r="B17" s="16">
        <v>583181</v>
      </c>
      <c r="C17" s="16">
        <v>150952</v>
      </c>
      <c r="D17" s="16">
        <v>139273</v>
      </c>
      <c r="E17" s="16">
        <v>910366</v>
      </c>
      <c r="F17" s="16">
        <v>981799</v>
      </c>
    </row>
    <row r="18" spans="1:8" ht="15.75" thickBot="1" x14ac:dyDescent="0.3">
      <c r="A18" s="5" t="s">
        <v>138</v>
      </c>
      <c r="B18" s="16">
        <v>-35985</v>
      </c>
      <c r="C18" s="16">
        <v>-37694</v>
      </c>
      <c r="D18" s="16">
        <v>-37146</v>
      </c>
      <c r="E18" s="16">
        <v>-39336</v>
      </c>
      <c r="F18" s="16">
        <v>-39275</v>
      </c>
    </row>
    <row r="19" spans="1:8" ht="15.75" thickBot="1" x14ac:dyDescent="0.3">
      <c r="A19" s="5" t="s">
        <v>139</v>
      </c>
      <c r="B19" s="16">
        <v>1376</v>
      </c>
      <c r="C19" s="16">
        <v>4940</v>
      </c>
      <c r="D19" s="16">
        <v>1500</v>
      </c>
      <c r="E19" s="16">
        <v>1236</v>
      </c>
      <c r="F19" s="16">
        <v>1168</v>
      </c>
    </row>
    <row r="20" spans="1:8" ht="15.75" thickBot="1" x14ac:dyDescent="0.3">
      <c r="A20" s="10" t="s">
        <v>107</v>
      </c>
      <c r="B20" s="15">
        <v>11748873</v>
      </c>
      <c r="C20" s="15">
        <v>14115139</v>
      </c>
      <c r="D20" s="15">
        <v>19411923</v>
      </c>
      <c r="E20" s="15">
        <v>26286822</v>
      </c>
      <c r="F20" s="15">
        <v>42134494</v>
      </c>
      <c r="H20" s="49"/>
    </row>
    <row r="21" spans="1:8" ht="15.75" thickBot="1" x14ac:dyDescent="0.3">
      <c r="A21" s="5" t="s">
        <v>140</v>
      </c>
      <c r="B21" s="16">
        <v>11893184</v>
      </c>
      <c r="C21" s="16">
        <v>14188336</v>
      </c>
      <c r="D21" s="16">
        <v>19480667</v>
      </c>
      <c r="E21" s="16">
        <v>26373361</v>
      </c>
      <c r="F21" s="16">
        <v>42370012</v>
      </c>
      <c r="H21" s="49"/>
    </row>
    <row r="22" spans="1:8" ht="15.75" thickBot="1" x14ac:dyDescent="0.3">
      <c r="A22" s="5" t="s">
        <v>141</v>
      </c>
      <c r="B22" s="16">
        <v>-144311</v>
      </c>
      <c r="C22" s="16">
        <v>-73197</v>
      </c>
      <c r="D22" s="16">
        <v>-68744</v>
      </c>
      <c r="E22" s="16">
        <v>-86539</v>
      </c>
      <c r="F22" s="16">
        <v>-235518</v>
      </c>
    </row>
    <row r="23" spans="1:8" ht="15.75" thickBot="1" x14ac:dyDescent="0.3">
      <c r="A23" s="10" t="s">
        <v>108</v>
      </c>
      <c r="B23" s="15">
        <v>562419</v>
      </c>
      <c r="C23" s="15">
        <v>1743128</v>
      </c>
      <c r="D23" s="15">
        <v>1544376</v>
      </c>
      <c r="E23" s="15">
        <v>2512554</v>
      </c>
      <c r="F23" s="15">
        <v>3650157</v>
      </c>
    </row>
    <row r="24" spans="1:8" ht="15.75" thickBot="1" x14ac:dyDescent="0.3">
      <c r="A24" s="5" t="s">
        <v>142</v>
      </c>
      <c r="B24" s="16">
        <v>118434</v>
      </c>
      <c r="C24" s="16">
        <v>122420</v>
      </c>
      <c r="D24" s="16">
        <v>118551</v>
      </c>
      <c r="E24" s="16">
        <v>141398</v>
      </c>
      <c r="F24" s="16">
        <v>296697</v>
      </c>
    </row>
    <row r="25" spans="1:8" ht="15.75" thickBot="1" x14ac:dyDescent="0.3">
      <c r="A25" s="5" t="s">
        <v>143</v>
      </c>
      <c r="B25" s="16">
        <v>421916</v>
      </c>
      <c r="C25" s="16">
        <v>1601957</v>
      </c>
      <c r="D25" s="16">
        <v>1400160</v>
      </c>
      <c r="E25" s="16">
        <v>2357339</v>
      </c>
      <c r="F25" s="16">
        <v>3335690</v>
      </c>
    </row>
    <row r="26" spans="1:8" ht="15.75" thickBot="1" x14ac:dyDescent="0.3">
      <c r="A26" s="5" t="s">
        <v>144</v>
      </c>
      <c r="B26" s="16">
        <v>22068</v>
      </c>
      <c r="C26" s="16">
        <v>18750</v>
      </c>
      <c r="D26" s="16">
        <v>25665</v>
      </c>
      <c r="E26" s="16">
        <v>13817</v>
      </c>
      <c r="F26" s="16">
        <v>17769</v>
      </c>
    </row>
    <row r="27" spans="1:8" ht="15.75" thickBot="1" x14ac:dyDescent="0.3">
      <c r="A27" s="5" t="s">
        <v>145</v>
      </c>
      <c r="B27" s="6"/>
      <c r="C27" s="6"/>
      <c r="D27" s="6"/>
      <c r="E27" s="6"/>
      <c r="F27" s="6"/>
    </row>
    <row r="28" spans="1:8" ht="15.75" thickBot="1" x14ac:dyDescent="0.3">
      <c r="A28" s="5" t="s">
        <v>146</v>
      </c>
      <c r="B28" s="6"/>
      <c r="C28" s="6"/>
      <c r="D28" s="6"/>
      <c r="E28" s="6"/>
      <c r="F28" s="6"/>
    </row>
    <row r="29" spans="1:8" ht="15.75" thickBot="1" x14ac:dyDescent="0.3">
      <c r="A29" s="8" t="s">
        <v>109</v>
      </c>
      <c r="B29" s="17">
        <v>19954124</v>
      </c>
      <c r="C29" s="17">
        <v>52914282</v>
      </c>
      <c r="D29" s="17">
        <v>71339093</v>
      </c>
      <c r="E29" s="17">
        <v>74764176</v>
      </c>
      <c r="F29" s="17">
        <v>84081563</v>
      </c>
    </row>
    <row r="30" spans="1:8" ht="15.75" thickBot="1" x14ac:dyDescent="0.3">
      <c r="A30" s="10" t="s">
        <v>110</v>
      </c>
      <c r="B30" s="15">
        <v>21811</v>
      </c>
      <c r="C30" s="15">
        <v>22302</v>
      </c>
      <c r="D30" s="15">
        <v>27718</v>
      </c>
      <c r="E30" s="15">
        <v>305166</v>
      </c>
      <c r="F30" s="15">
        <v>809235</v>
      </c>
    </row>
    <row r="31" spans="1:8" ht="15.75" thickBot="1" x14ac:dyDescent="0.3">
      <c r="A31" s="5" t="s">
        <v>147</v>
      </c>
      <c r="B31" s="6"/>
      <c r="C31" s="6"/>
      <c r="D31" s="6"/>
      <c r="E31" s="6"/>
      <c r="F31" s="6"/>
    </row>
    <row r="32" spans="1:8" ht="15.75" thickBot="1" x14ac:dyDescent="0.3">
      <c r="A32" s="5" t="s">
        <v>148</v>
      </c>
      <c r="B32" s="6"/>
      <c r="C32" s="6"/>
      <c r="D32" s="6"/>
      <c r="E32" s="6"/>
      <c r="F32" s="6"/>
    </row>
    <row r="33" spans="1:9" ht="15.75" thickBot="1" x14ac:dyDescent="0.3">
      <c r="A33" s="5" t="s">
        <v>149</v>
      </c>
      <c r="B33" s="6"/>
      <c r="C33" s="6"/>
      <c r="D33" s="6"/>
      <c r="E33" s="6"/>
      <c r="F33" s="6"/>
    </row>
    <row r="34" spans="1:9" ht="15.75" thickBot="1" x14ac:dyDescent="0.3">
      <c r="A34" s="5" t="s">
        <v>150</v>
      </c>
      <c r="B34" s="6"/>
      <c r="C34" s="6"/>
      <c r="D34" s="6"/>
      <c r="E34" s="6"/>
      <c r="F34" s="6"/>
    </row>
    <row r="35" spans="1:9" ht="15.75" thickBot="1" x14ac:dyDescent="0.3">
      <c r="A35" s="5" t="s">
        <v>151</v>
      </c>
      <c r="B35" s="6"/>
      <c r="C35" s="6"/>
      <c r="D35" s="16">
        <v>4910</v>
      </c>
      <c r="E35" s="16">
        <v>96007</v>
      </c>
      <c r="F35" s="16">
        <v>118401</v>
      </c>
    </row>
    <row r="36" spans="1:9" ht="15.75" thickBot="1" x14ac:dyDescent="0.3">
      <c r="A36" s="5" t="s">
        <v>152</v>
      </c>
      <c r="B36" s="16">
        <v>21811</v>
      </c>
      <c r="C36" s="16">
        <v>22302</v>
      </c>
      <c r="D36" s="16">
        <v>22807</v>
      </c>
      <c r="E36" s="16">
        <v>209158</v>
      </c>
      <c r="F36" s="16">
        <v>690834</v>
      </c>
    </row>
    <row r="37" spans="1:9" ht="15.75" thickBot="1" x14ac:dyDescent="0.3">
      <c r="A37" s="5" t="s">
        <v>153</v>
      </c>
      <c r="B37" s="6"/>
      <c r="C37" s="6"/>
      <c r="D37" s="6"/>
      <c r="E37" s="6"/>
      <c r="F37" s="6"/>
    </row>
    <row r="38" spans="1:9" ht="15.75" thickBot="1" x14ac:dyDescent="0.3">
      <c r="A38" s="10" t="s">
        <v>111</v>
      </c>
      <c r="B38" s="15">
        <v>13197797</v>
      </c>
      <c r="C38" s="15">
        <v>12782561</v>
      </c>
      <c r="D38" s="15">
        <v>31249494</v>
      </c>
      <c r="E38" s="15">
        <v>65561657</v>
      </c>
      <c r="F38" s="15">
        <v>69280842</v>
      </c>
    </row>
    <row r="39" spans="1:9" ht="15.75" thickBot="1" x14ac:dyDescent="0.3">
      <c r="A39" s="5" t="s">
        <v>154</v>
      </c>
      <c r="B39" s="16">
        <v>13012259</v>
      </c>
      <c r="C39" s="16">
        <v>12565364</v>
      </c>
      <c r="D39" s="16">
        <v>30980122</v>
      </c>
      <c r="E39" s="16">
        <v>65307820</v>
      </c>
      <c r="F39" s="16">
        <v>68744126</v>
      </c>
    </row>
    <row r="40" spans="1:9" ht="15.75" thickBot="1" x14ac:dyDescent="0.3">
      <c r="A40" s="5" t="s">
        <v>303</v>
      </c>
      <c r="B40" s="16">
        <v>21244527</v>
      </c>
      <c r="C40" s="16">
        <v>22992664</v>
      </c>
      <c r="D40" s="16">
        <v>43804940</v>
      </c>
      <c r="E40" s="16">
        <v>82616601</v>
      </c>
      <c r="F40" s="16">
        <v>91026106</v>
      </c>
    </row>
    <row r="41" spans="1:9" ht="15.75" thickBot="1" x14ac:dyDescent="0.3">
      <c r="A41" s="5" t="s">
        <v>304</v>
      </c>
      <c r="B41" s="16">
        <v>-8232268</v>
      </c>
      <c r="C41" s="16">
        <v>-10427300</v>
      </c>
      <c r="D41" s="16">
        <v>-12824818</v>
      </c>
      <c r="E41" s="16">
        <v>-17308781</v>
      </c>
      <c r="F41" s="16">
        <v>-22281980</v>
      </c>
      <c r="H41" s="49"/>
      <c r="I41" s="49"/>
    </row>
    <row r="42" spans="1:9" ht="15.75" thickBot="1" x14ac:dyDescent="0.3">
      <c r="A42" s="5" t="s">
        <v>155</v>
      </c>
      <c r="B42" s="6"/>
      <c r="C42" s="6"/>
      <c r="D42" s="6"/>
      <c r="E42" s="6"/>
      <c r="F42" s="6"/>
    </row>
    <row r="43" spans="1:9" ht="15.75" thickBot="1" x14ac:dyDescent="0.3">
      <c r="A43" s="5" t="s">
        <v>303</v>
      </c>
      <c r="B43" s="6"/>
      <c r="C43" s="6"/>
      <c r="D43" s="6"/>
      <c r="E43" s="6"/>
      <c r="F43" s="6"/>
    </row>
    <row r="44" spans="1:9" ht="15.75" thickBot="1" x14ac:dyDescent="0.3">
      <c r="A44" s="5" t="s">
        <v>304</v>
      </c>
      <c r="B44" s="6"/>
      <c r="C44" s="6"/>
      <c r="D44" s="6"/>
      <c r="E44" s="6"/>
      <c r="F44" s="6"/>
    </row>
    <row r="45" spans="1:9" ht="15.75" thickBot="1" x14ac:dyDescent="0.3">
      <c r="A45" s="5" t="s">
        <v>156</v>
      </c>
      <c r="B45" s="16">
        <v>185538</v>
      </c>
      <c r="C45" s="16">
        <v>217197</v>
      </c>
      <c r="D45" s="16">
        <v>269371</v>
      </c>
      <c r="E45" s="16">
        <v>253837</v>
      </c>
      <c r="F45" s="16">
        <v>536716</v>
      </c>
    </row>
    <row r="46" spans="1:9" ht="15.75" thickBot="1" x14ac:dyDescent="0.3">
      <c r="A46" s="5" t="s">
        <v>303</v>
      </c>
      <c r="B46" s="16">
        <v>225393</v>
      </c>
      <c r="C46" s="16">
        <v>268392</v>
      </c>
      <c r="D46" s="16">
        <v>339571</v>
      </c>
      <c r="E46" s="16">
        <v>342995</v>
      </c>
      <c r="F46" s="16">
        <v>618322</v>
      </c>
    </row>
    <row r="47" spans="1:9" ht="15.75" thickBot="1" x14ac:dyDescent="0.3">
      <c r="A47" s="5" t="s">
        <v>304</v>
      </c>
      <c r="B47" s="16">
        <v>-39856</v>
      </c>
      <c r="C47" s="16">
        <v>-51195</v>
      </c>
      <c r="D47" s="16">
        <v>-70199</v>
      </c>
      <c r="E47" s="16">
        <v>-89158</v>
      </c>
      <c r="F47" s="16">
        <v>-81606</v>
      </c>
      <c r="H47" s="49"/>
      <c r="I47" s="49"/>
    </row>
    <row r="48" spans="1:9" ht="15.75" thickBot="1" x14ac:dyDescent="0.3">
      <c r="A48" s="10" t="s">
        <v>112</v>
      </c>
      <c r="B48" s="15">
        <v>191191</v>
      </c>
      <c r="C48" s="15">
        <v>179741</v>
      </c>
      <c r="D48" s="15">
        <v>576617</v>
      </c>
      <c r="E48" s="15">
        <v>564297</v>
      </c>
      <c r="F48" s="15">
        <v>548211</v>
      </c>
    </row>
    <row r="49" spans="1:6" ht="15.75" thickBot="1" x14ac:dyDescent="0.3">
      <c r="A49" s="5" t="s">
        <v>157</v>
      </c>
      <c r="B49" s="16">
        <v>246142</v>
      </c>
      <c r="C49" s="16">
        <v>246767</v>
      </c>
      <c r="D49" s="16">
        <v>663240</v>
      </c>
      <c r="E49" s="16">
        <v>681932</v>
      </c>
      <c r="F49" s="16">
        <v>698820</v>
      </c>
    </row>
    <row r="50" spans="1:6" ht="15.75" thickBot="1" x14ac:dyDescent="0.3">
      <c r="A50" s="5" t="s">
        <v>158</v>
      </c>
      <c r="B50" s="16">
        <v>-54950</v>
      </c>
      <c r="C50" s="16">
        <v>-67027</v>
      </c>
      <c r="D50" s="16">
        <v>-86623</v>
      </c>
      <c r="E50" s="16">
        <v>-117635</v>
      </c>
      <c r="F50" s="16">
        <v>-150609</v>
      </c>
    </row>
    <row r="51" spans="1:6" ht="15.75" thickBot="1" x14ac:dyDescent="0.3">
      <c r="A51" s="10" t="s">
        <v>113</v>
      </c>
      <c r="B51" s="15">
        <v>5468751</v>
      </c>
      <c r="C51" s="15">
        <v>38107321</v>
      </c>
      <c r="D51" s="15">
        <v>37435320</v>
      </c>
      <c r="E51" s="15">
        <v>6247214</v>
      </c>
      <c r="F51" s="15">
        <v>9698699</v>
      </c>
    </row>
    <row r="52" spans="1:6" ht="15.75" thickBot="1" x14ac:dyDescent="0.3">
      <c r="A52" s="5" t="s">
        <v>159</v>
      </c>
      <c r="B52" s="16">
        <v>742674</v>
      </c>
      <c r="C52" s="16">
        <v>910420</v>
      </c>
      <c r="D52" s="16">
        <v>750146</v>
      </c>
      <c r="E52" s="16">
        <v>918471</v>
      </c>
      <c r="F52" s="16">
        <v>1409414</v>
      </c>
    </row>
    <row r="53" spans="1:6" ht="15.75" thickBot="1" x14ac:dyDescent="0.3">
      <c r="A53" s="5" t="s">
        <v>160</v>
      </c>
      <c r="B53" s="16">
        <v>4726078</v>
      </c>
      <c r="C53" s="16">
        <v>37196900</v>
      </c>
      <c r="D53" s="16">
        <v>36685174</v>
      </c>
      <c r="E53" s="16">
        <v>5328743</v>
      </c>
      <c r="F53" s="16">
        <v>8289285</v>
      </c>
    </row>
    <row r="54" spans="1:6" ht="15.75" thickBot="1" x14ac:dyDescent="0.3">
      <c r="A54" s="10" t="s">
        <v>114</v>
      </c>
      <c r="B54" s="15">
        <v>16952</v>
      </c>
      <c r="C54" s="15">
        <v>66585</v>
      </c>
      <c r="D54" s="15">
        <v>45794</v>
      </c>
      <c r="E54" s="15">
        <v>171085</v>
      </c>
      <c r="F54" s="15">
        <v>6716</v>
      </c>
    </row>
    <row r="55" spans="1:6" ht="15.75" thickBot="1" x14ac:dyDescent="0.3">
      <c r="A55" s="5" t="s">
        <v>161</v>
      </c>
      <c r="B55" s="6"/>
      <c r="C55" s="6"/>
      <c r="D55" s="6"/>
      <c r="E55" s="6"/>
      <c r="F55" s="6"/>
    </row>
    <row r="56" spans="1:6" ht="15.75" thickBot="1" x14ac:dyDescent="0.3">
      <c r="A56" s="5" t="s">
        <v>162</v>
      </c>
      <c r="B56" s="6"/>
      <c r="C56" s="6"/>
      <c r="D56" s="16">
        <v>-1431</v>
      </c>
      <c r="E56" s="6">
        <v>385</v>
      </c>
      <c r="F56" s="16">
        <v>6016</v>
      </c>
    </row>
    <row r="57" spans="1:6" ht="15.75" thickBot="1" x14ac:dyDescent="0.3">
      <c r="A57" s="5" t="s">
        <v>163</v>
      </c>
      <c r="B57" s="16">
        <v>15700</v>
      </c>
      <c r="C57" s="6">
        <v>700</v>
      </c>
      <c r="D57" s="6">
        <v>700</v>
      </c>
      <c r="E57" s="6">
        <v>700</v>
      </c>
      <c r="F57" s="6">
        <v>700</v>
      </c>
    </row>
    <row r="58" spans="1:6" ht="15.75" thickBot="1" x14ac:dyDescent="0.3">
      <c r="A58" s="5" t="s">
        <v>164</v>
      </c>
      <c r="B58" s="6"/>
      <c r="C58" s="6"/>
      <c r="D58" s="6"/>
      <c r="E58" s="6"/>
      <c r="F58" s="6"/>
    </row>
    <row r="59" spans="1:6" ht="15.75" thickBot="1" x14ac:dyDescent="0.3">
      <c r="A59" s="5" t="s">
        <v>165</v>
      </c>
      <c r="B59" s="16">
        <v>1252</v>
      </c>
      <c r="C59" s="16">
        <v>65885</v>
      </c>
      <c r="D59" s="16">
        <v>46526</v>
      </c>
      <c r="E59" s="16">
        <v>170000</v>
      </c>
      <c r="F59" s="6"/>
    </row>
    <row r="60" spans="1:6" ht="15.75" thickBot="1" x14ac:dyDescent="0.3">
      <c r="A60" s="5" t="s">
        <v>166</v>
      </c>
      <c r="B60" s="6"/>
      <c r="C60" s="6"/>
      <c r="D60" s="6"/>
      <c r="E60" s="6"/>
      <c r="F60" s="6"/>
    </row>
    <row r="61" spans="1:6" ht="15.75" thickBot="1" x14ac:dyDescent="0.3">
      <c r="A61" s="10" t="s">
        <v>115</v>
      </c>
      <c r="B61" s="15">
        <v>1003217</v>
      </c>
      <c r="C61" s="15">
        <v>1667540</v>
      </c>
      <c r="D61" s="15">
        <v>1942965</v>
      </c>
      <c r="E61" s="15">
        <v>1871648</v>
      </c>
      <c r="F61" s="15">
        <v>3700738</v>
      </c>
    </row>
    <row r="62" spans="1:6" ht="15.75" thickBot="1" x14ac:dyDescent="0.3">
      <c r="A62" s="5" t="s">
        <v>167</v>
      </c>
      <c r="B62" s="16">
        <v>832464</v>
      </c>
      <c r="C62" s="16">
        <v>1461312</v>
      </c>
      <c r="D62" s="16">
        <v>1650739</v>
      </c>
      <c r="E62" s="16">
        <v>1646095</v>
      </c>
      <c r="F62" s="16">
        <v>3171382</v>
      </c>
    </row>
    <row r="63" spans="1:6" ht="15.75" thickBot="1" x14ac:dyDescent="0.3">
      <c r="A63" s="5" t="s">
        <v>168</v>
      </c>
      <c r="B63" s="16">
        <v>170753</v>
      </c>
      <c r="C63" s="16">
        <v>206228</v>
      </c>
      <c r="D63" s="16">
        <v>292227</v>
      </c>
      <c r="E63" s="16">
        <v>225553</v>
      </c>
      <c r="F63" s="16">
        <v>529356</v>
      </c>
    </row>
    <row r="64" spans="1:6" ht="15.75" thickBot="1" x14ac:dyDescent="0.3">
      <c r="A64" s="5" t="s">
        <v>169</v>
      </c>
      <c r="B64" s="6"/>
      <c r="C64" s="6"/>
      <c r="D64" s="6"/>
      <c r="E64" s="6"/>
      <c r="F64" s="6"/>
    </row>
    <row r="65" spans="1:9" ht="15.75" thickBot="1" x14ac:dyDescent="0.3">
      <c r="A65" s="5" t="s">
        <v>170</v>
      </c>
      <c r="B65" s="6"/>
      <c r="C65" s="6"/>
      <c r="D65" s="6"/>
      <c r="E65" s="6"/>
      <c r="F65" s="6"/>
    </row>
    <row r="66" spans="1:9" ht="15.75" thickBot="1" x14ac:dyDescent="0.3">
      <c r="A66" s="10" t="s">
        <v>116</v>
      </c>
      <c r="B66" s="15">
        <v>54405</v>
      </c>
      <c r="C66" s="15">
        <v>88234</v>
      </c>
      <c r="D66" s="15">
        <v>61185</v>
      </c>
      <c r="E66" s="15">
        <v>43110</v>
      </c>
      <c r="F66" s="15">
        <v>37122</v>
      </c>
    </row>
    <row r="67" spans="1:9" ht="15.75" thickBot="1" x14ac:dyDescent="0.3">
      <c r="A67" s="8" t="s">
        <v>117</v>
      </c>
      <c r="B67" s="17">
        <v>53022185</v>
      </c>
      <c r="C67" s="17">
        <v>78223008</v>
      </c>
      <c r="D67" s="17">
        <v>101776030</v>
      </c>
      <c r="E67" s="17">
        <v>131511434</v>
      </c>
      <c r="F67" s="17">
        <v>178236422</v>
      </c>
    </row>
    <row r="68" spans="1:9" ht="15.75" thickBot="1" x14ac:dyDescent="0.3">
      <c r="A68" s="8" t="s">
        <v>118</v>
      </c>
      <c r="B68" s="9"/>
      <c r="C68" s="9"/>
      <c r="D68" s="9"/>
      <c r="E68" s="9"/>
      <c r="F68" s="9"/>
    </row>
    <row r="69" spans="1:9" ht="15.75" thickBot="1" x14ac:dyDescent="0.3">
      <c r="A69" s="8" t="s">
        <v>119</v>
      </c>
      <c r="B69" s="17">
        <v>20624605</v>
      </c>
      <c r="C69" s="17">
        <v>37600058</v>
      </c>
      <c r="D69" s="17">
        <v>53989394</v>
      </c>
      <c r="E69" s="17">
        <v>72291648</v>
      </c>
      <c r="F69" s="17">
        <v>87455797</v>
      </c>
    </row>
    <row r="70" spans="1:9" ht="15.75" thickBot="1" x14ac:dyDescent="0.3">
      <c r="A70" s="10" t="s">
        <v>120</v>
      </c>
      <c r="B70" s="15">
        <v>18519723</v>
      </c>
      <c r="C70" s="15">
        <v>22636149</v>
      </c>
      <c r="D70" s="15">
        <v>26984198</v>
      </c>
      <c r="E70" s="15">
        <v>51975217</v>
      </c>
      <c r="F70" s="15">
        <v>73459316</v>
      </c>
      <c r="H70" s="49">
        <f>E70-E73-E80</f>
        <v>14628172</v>
      </c>
      <c r="I70" s="49">
        <f>F70-F73-F80</f>
        <v>28915651</v>
      </c>
    </row>
    <row r="71" spans="1:9" ht="15.75" thickBot="1" x14ac:dyDescent="0.3">
      <c r="A71" s="5" t="s">
        <v>171</v>
      </c>
      <c r="B71" s="16">
        <v>4226438</v>
      </c>
      <c r="C71" s="16">
        <v>8706913</v>
      </c>
      <c r="D71" s="16">
        <v>7507199</v>
      </c>
      <c r="E71" s="16">
        <v>10915753</v>
      </c>
      <c r="F71" s="16">
        <v>23729143</v>
      </c>
    </row>
    <row r="72" spans="1:9" ht="15.75" thickBot="1" x14ac:dyDescent="0.3">
      <c r="A72" s="5" t="s">
        <v>172</v>
      </c>
      <c r="B72" s="16">
        <v>824276</v>
      </c>
      <c r="C72" s="16">
        <v>361444</v>
      </c>
      <c r="D72" s="16">
        <v>408692</v>
      </c>
      <c r="E72" s="16">
        <v>1257273</v>
      </c>
      <c r="F72" s="16">
        <v>788003</v>
      </c>
    </row>
    <row r="73" spans="1:9" ht="15.75" thickBot="1" x14ac:dyDescent="0.3">
      <c r="A73" s="5" t="s">
        <v>173</v>
      </c>
      <c r="B73" s="16">
        <v>378252</v>
      </c>
      <c r="C73" s="16">
        <v>481510</v>
      </c>
      <c r="D73" s="16">
        <v>478426</v>
      </c>
      <c r="E73" s="16">
        <v>548579</v>
      </c>
      <c r="F73" s="16">
        <v>796022</v>
      </c>
    </row>
    <row r="74" spans="1:9" ht="15.75" thickBot="1" x14ac:dyDescent="0.3">
      <c r="A74" s="5" t="s">
        <v>174</v>
      </c>
      <c r="B74" s="16">
        <v>294643</v>
      </c>
      <c r="C74" s="16">
        <v>252288</v>
      </c>
      <c r="D74" s="16">
        <v>247937</v>
      </c>
      <c r="E74" s="16">
        <v>313100</v>
      </c>
      <c r="F74" s="16">
        <v>816457</v>
      </c>
    </row>
    <row r="75" spans="1:9" ht="15.75" thickBot="1" x14ac:dyDescent="0.3">
      <c r="A75" s="5" t="s">
        <v>175</v>
      </c>
      <c r="B75" s="16">
        <v>308755</v>
      </c>
      <c r="C75" s="16">
        <v>261634</v>
      </c>
      <c r="D75" s="16">
        <v>429777</v>
      </c>
      <c r="E75" s="16">
        <v>640130</v>
      </c>
      <c r="F75" s="16">
        <v>772615</v>
      </c>
    </row>
    <row r="76" spans="1:9" ht="15.75" thickBot="1" x14ac:dyDescent="0.3">
      <c r="A76" s="5" t="s">
        <v>176</v>
      </c>
      <c r="B76" s="6"/>
      <c r="C76" s="6"/>
      <c r="D76" s="6"/>
      <c r="E76" s="6"/>
      <c r="F76" s="6"/>
    </row>
    <row r="77" spans="1:9" ht="15.75" thickBot="1" x14ac:dyDescent="0.3">
      <c r="A77" s="5" t="s">
        <v>177</v>
      </c>
      <c r="B77" s="6"/>
      <c r="C77" s="6"/>
      <c r="D77" s="6"/>
      <c r="E77" s="6"/>
      <c r="F77" s="6"/>
    </row>
    <row r="78" spans="1:9" ht="15.75" thickBot="1" x14ac:dyDescent="0.3">
      <c r="A78" s="5" t="s">
        <v>178</v>
      </c>
      <c r="B78" s="16">
        <v>2863</v>
      </c>
      <c r="C78" s="16">
        <v>9930</v>
      </c>
      <c r="D78" s="16">
        <v>27406</v>
      </c>
      <c r="E78" s="16">
        <v>34564</v>
      </c>
      <c r="F78" s="16">
        <v>16952</v>
      </c>
    </row>
    <row r="79" spans="1:9" ht="15.75" thickBot="1" x14ac:dyDescent="0.3">
      <c r="A79" s="5" t="s">
        <v>179</v>
      </c>
      <c r="B79" s="16">
        <v>442135</v>
      </c>
      <c r="C79" s="16">
        <v>300070</v>
      </c>
      <c r="D79" s="16">
        <v>237392</v>
      </c>
      <c r="E79" s="16">
        <v>328061</v>
      </c>
      <c r="F79" s="16">
        <v>1047159</v>
      </c>
    </row>
    <row r="80" spans="1:9" ht="15.75" thickBot="1" x14ac:dyDescent="0.3">
      <c r="A80" s="5" t="s">
        <v>180</v>
      </c>
      <c r="B80" s="16">
        <v>11328519</v>
      </c>
      <c r="C80" s="16">
        <v>11494717</v>
      </c>
      <c r="D80" s="16">
        <v>16837653</v>
      </c>
      <c r="E80" s="16">
        <v>36798466</v>
      </c>
      <c r="F80" s="16">
        <v>43747643</v>
      </c>
    </row>
    <row r="81" spans="1:6" ht="15.75" thickBot="1" x14ac:dyDescent="0.3">
      <c r="A81" s="5" t="s">
        <v>181</v>
      </c>
      <c r="B81" s="16">
        <v>8151</v>
      </c>
      <c r="C81" s="16">
        <v>6239</v>
      </c>
      <c r="D81" s="16">
        <v>3111</v>
      </c>
      <c r="E81" s="16">
        <v>5847</v>
      </c>
      <c r="F81" s="16">
        <v>4756</v>
      </c>
    </row>
    <row r="82" spans="1:6" ht="15.75" thickBot="1" x14ac:dyDescent="0.3">
      <c r="A82" s="5" t="s">
        <v>182</v>
      </c>
      <c r="B82" s="16">
        <v>705691</v>
      </c>
      <c r="C82" s="16">
        <v>761404</v>
      </c>
      <c r="D82" s="16">
        <v>806604</v>
      </c>
      <c r="E82" s="16">
        <v>1133445</v>
      </c>
      <c r="F82" s="16">
        <v>1740567</v>
      </c>
    </row>
    <row r="83" spans="1:6" ht="15.75" thickBot="1" x14ac:dyDescent="0.3">
      <c r="A83" s="5" t="s">
        <v>183</v>
      </c>
      <c r="B83" s="6"/>
      <c r="C83" s="6"/>
      <c r="D83" s="6"/>
      <c r="E83" s="6"/>
      <c r="F83" s="6"/>
    </row>
    <row r="84" spans="1:6" ht="15.75" thickBot="1" x14ac:dyDescent="0.3">
      <c r="A84" s="5" t="s">
        <v>184</v>
      </c>
      <c r="B84" s="6"/>
      <c r="C84" s="6"/>
      <c r="D84" s="6"/>
      <c r="E84" s="6"/>
      <c r="F84" s="6"/>
    </row>
    <row r="85" spans="1:6" ht="15.75" thickBot="1" x14ac:dyDescent="0.3">
      <c r="A85" s="10" t="s">
        <v>121</v>
      </c>
      <c r="B85" s="15">
        <v>2104882</v>
      </c>
      <c r="C85" s="15">
        <v>14963908</v>
      </c>
      <c r="D85" s="15">
        <v>27005196</v>
      </c>
      <c r="E85" s="15">
        <v>20316431</v>
      </c>
      <c r="F85" s="15">
        <v>13996481</v>
      </c>
    </row>
    <row r="86" spans="1:6" ht="15.75" thickBot="1" x14ac:dyDescent="0.3">
      <c r="A86" s="5" t="s">
        <v>185</v>
      </c>
      <c r="B86" s="6"/>
      <c r="C86" s="16">
        <v>1647092</v>
      </c>
      <c r="D86" s="16">
        <v>6652492</v>
      </c>
      <c r="E86" s="16">
        <v>2637988</v>
      </c>
      <c r="F86" s="6"/>
    </row>
    <row r="87" spans="1:6" ht="15.75" thickBot="1" x14ac:dyDescent="0.3">
      <c r="A87" s="5" t="s">
        <v>186</v>
      </c>
      <c r="B87" s="6"/>
      <c r="C87" s="6"/>
      <c r="D87" s="6"/>
      <c r="E87" s="6"/>
      <c r="F87" s="6"/>
    </row>
    <row r="88" spans="1:6" ht="15.75" thickBot="1" x14ac:dyDescent="0.3">
      <c r="A88" s="5" t="s">
        <v>187</v>
      </c>
      <c r="B88" s="16">
        <v>386454</v>
      </c>
      <c r="C88" s="16">
        <v>451101</v>
      </c>
      <c r="D88" s="16">
        <v>427329</v>
      </c>
      <c r="E88" s="16">
        <v>223664</v>
      </c>
      <c r="F88" s="16">
        <v>410408</v>
      </c>
    </row>
    <row r="89" spans="1:6" ht="15.75" thickBot="1" x14ac:dyDescent="0.3">
      <c r="A89" s="5" t="s">
        <v>188</v>
      </c>
      <c r="B89" s="6"/>
      <c r="C89" s="6"/>
      <c r="D89" s="6"/>
      <c r="E89" s="6"/>
      <c r="F89" s="6"/>
    </row>
    <row r="90" spans="1:6" ht="15.75" thickBot="1" x14ac:dyDescent="0.3">
      <c r="A90" s="5" t="s">
        <v>189</v>
      </c>
      <c r="B90" s="6"/>
      <c r="C90" s="6"/>
      <c r="D90" s="6"/>
      <c r="E90" s="6"/>
      <c r="F90" s="6"/>
    </row>
    <row r="91" spans="1:6" ht="15.75" thickBot="1" x14ac:dyDescent="0.3">
      <c r="A91" s="5" t="s">
        <v>190</v>
      </c>
      <c r="B91" s="6"/>
      <c r="C91" s="6"/>
      <c r="D91" s="16">
        <v>3370</v>
      </c>
      <c r="E91" s="16">
        <v>16128</v>
      </c>
      <c r="F91" s="16">
        <v>8803</v>
      </c>
    </row>
    <row r="92" spans="1:6" ht="15.75" thickBot="1" x14ac:dyDescent="0.3">
      <c r="A92" s="5" t="s">
        <v>191</v>
      </c>
      <c r="B92" s="16">
        <v>46660</v>
      </c>
      <c r="C92" s="16">
        <v>36481</v>
      </c>
      <c r="D92" s="16">
        <v>58387</v>
      </c>
      <c r="E92" s="16">
        <v>68736</v>
      </c>
      <c r="F92" s="16">
        <v>63027</v>
      </c>
    </row>
    <row r="93" spans="1:6" ht="15.75" thickBot="1" x14ac:dyDescent="0.3">
      <c r="A93" s="5" t="s">
        <v>192</v>
      </c>
      <c r="B93" s="16">
        <v>1651495</v>
      </c>
      <c r="C93" s="16">
        <v>12810997</v>
      </c>
      <c r="D93" s="16">
        <v>19842099</v>
      </c>
      <c r="E93" s="16">
        <v>17343248</v>
      </c>
      <c r="F93" s="16">
        <v>13464932</v>
      </c>
    </row>
    <row r="94" spans="1:6" ht="15.75" thickBot="1" x14ac:dyDescent="0.3">
      <c r="A94" s="5" t="s">
        <v>193</v>
      </c>
      <c r="B94" s="6"/>
      <c r="C94" s="6"/>
      <c r="D94" s="6"/>
      <c r="E94" s="6"/>
      <c r="F94" s="6"/>
    </row>
    <row r="95" spans="1:6" ht="15.75" thickBot="1" x14ac:dyDescent="0.3">
      <c r="A95" s="5" t="s">
        <v>194</v>
      </c>
      <c r="B95" s="6"/>
      <c r="C95" s="6"/>
      <c r="D95" s="6"/>
      <c r="E95" s="6"/>
      <c r="F95" s="6"/>
    </row>
    <row r="96" spans="1:6" ht="15.75" thickBot="1" x14ac:dyDescent="0.3">
      <c r="A96" s="5" t="s">
        <v>195</v>
      </c>
      <c r="B96" s="6">
        <v>323</v>
      </c>
      <c r="C96" s="6"/>
      <c r="D96" s="16">
        <v>1105</v>
      </c>
      <c r="E96" s="6">
        <v>666</v>
      </c>
      <c r="F96" s="6"/>
    </row>
    <row r="97" spans="1:6" ht="15.75" thickBot="1" x14ac:dyDescent="0.3">
      <c r="A97" s="5" t="s">
        <v>196</v>
      </c>
      <c r="B97" s="16">
        <v>19950</v>
      </c>
      <c r="C97" s="16">
        <v>18238</v>
      </c>
      <c r="D97" s="16">
        <v>20414</v>
      </c>
      <c r="E97" s="16">
        <v>26001</v>
      </c>
      <c r="F97" s="16">
        <v>49311</v>
      </c>
    </row>
    <row r="98" spans="1:6" ht="15.75" thickBot="1" x14ac:dyDescent="0.3">
      <c r="A98" s="5" t="s">
        <v>197</v>
      </c>
      <c r="B98" s="6"/>
      <c r="C98" s="6"/>
      <c r="D98" s="6"/>
      <c r="E98" s="6"/>
      <c r="F98" s="6"/>
    </row>
    <row r="99" spans="1:6" ht="15.75" thickBot="1" x14ac:dyDescent="0.3">
      <c r="A99" s="5" t="s">
        <v>198</v>
      </c>
      <c r="B99" s="6"/>
      <c r="C99" s="6"/>
      <c r="D99" s="6"/>
      <c r="E99" s="6"/>
      <c r="F99" s="6"/>
    </row>
    <row r="100" spans="1:6" ht="15.75" thickBot="1" x14ac:dyDescent="0.3">
      <c r="A100" s="8" t="s">
        <v>122</v>
      </c>
      <c r="B100" s="17">
        <v>32397580</v>
      </c>
      <c r="C100" s="17">
        <v>40622950</v>
      </c>
      <c r="D100" s="17">
        <v>47786636</v>
      </c>
      <c r="E100" s="17">
        <v>59219786</v>
      </c>
      <c r="F100" s="17">
        <v>90780626</v>
      </c>
    </row>
    <row r="101" spans="1:6" ht="15.75" thickBot="1" x14ac:dyDescent="0.3">
      <c r="A101" s="10" t="s">
        <v>123</v>
      </c>
      <c r="B101" s="15">
        <v>32397580</v>
      </c>
      <c r="C101" s="15">
        <v>40622950</v>
      </c>
      <c r="D101" s="15">
        <v>47786636</v>
      </c>
      <c r="E101" s="15">
        <v>59219786</v>
      </c>
      <c r="F101" s="15">
        <v>90780626</v>
      </c>
    </row>
    <row r="102" spans="1:6" ht="15.75" thickBot="1" x14ac:dyDescent="0.3">
      <c r="A102" s="5" t="s">
        <v>199</v>
      </c>
      <c r="B102" s="16">
        <v>15170790</v>
      </c>
      <c r="C102" s="16">
        <v>21239072</v>
      </c>
      <c r="D102" s="16">
        <v>27610741</v>
      </c>
      <c r="E102" s="16">
        <v>33132827</v>
      </c>
      <c r="F102" s="16">
        <v>44729227</v>
      </c>
    </row>
    <row r="103" spans="1:6" ht="15.75" thickBot="1" x14ac:dyDescent="0.3">
      <c r="A103" s="5" t="s">
        <v>305</v>
      </c>
      <c r="B103" s="16">
        <v>15170790</v>
      </c>
      <c r="C103" s="16">
        <v>21239072</v>
      </c>
      <c r="D103" s="16">
        <v>27610741</v>
      </c>
      <c r="E103" s="16">
        <v>33132827</v>
      </c>
      <c r="F103" s="16">
        <v>44729227</v>
      </c>
    </row>
    <row r="104" spans="1:6" ht="15.75" thickBot="1" x14ac:dyDescent="0.3">
      <c r="A104" s="5" t="s">
        <v>306</v>
      </c>
      <c r="B104" s="6"/>
      <c r="C104" s="6"/>
      <c r="D104" s="6"/>
      <c r="E104" s="6"/>
      <c r="F104" s="6"/>
    </row>
    <row r="105" spans="1:6" ht="15.75" thickBot="1" x14ac:dyDescent="0.3">
      <c r="A105" s="5" t="s">
        <v>200</v>
      </c>
      <c r="B105" s="16">
        <v>3202199</v>
      </c>
      <c r="C105" s="16">
        <v>3211560</v>
      </c>
      <c r="D105" s="16">
        <v>3211560</v>
      </c>
      <c r="E105" s="16">
        <v>3211560</v>
      </c>
      <c r="F105" s="16">
        <v>3211560</v>
      </c>
    </row>
    <row r="106" spans="1:6" ht="15.75" thickBot="1" x14ac:dyDescent="0.3">
      <c r="A106" s="5" t="s">
        <v>201</v>
      </c>
      <c r="B106" s="6"/>
      <c r="C106" s="6"/>
      <c r="D106" s="6"/>
      <c r="E106" s="6"/>
      <c r="F106" s="6"/>
    </row>
    <row r="107" spans="1:6" ht="15.75" thickBot="1" x14ac:dyDescent="0.3">
      <c r="A107" s="5" t="s">
        <v>202</v>
      </c>
      <c r="B107" s="6"/>
      <c r="C107" s="6"/>
      <c r="D107" s="6"/>
      <c r="E107" s="6"/>
      <c r="F107" s="6"/>
    </row>
    <row r="108" spans="1:6" ht="15.75" thickBot="1" x14ac:dyDescent="0.3">
      <c r="A108" s="5" t="s">
        <v>203</v>
      </c>
      <c r="B108" s="16">
        <v>-1693</v>
      </c>
      <c r="C108" s="6"/>
      <c r="D108" s="6"/>
      <c r="E108" s="6"/>
      <c r="F108" s="6"/>
    </row>
    <row r="109" spans="1:6" ht="15.75" thickBot="1" x14ac:dyDescent="0.3">
      <c r="A109" s="5" t="s">
        <v>204</v>
      </c>
      <c r="B109" s="6"/>
      <c r="C109" s="6"/>
      <c r="D109" s="6"/>
      <c r="E109" s="6"/>
      <c r="F109" s="6"/>
    </row>
    <row r="110" spans="1:6" ht="15.75" thickBot="1" x14ac:dyDescent="0.3">
      <c r="A110" s="5" t="s">
        <v>205</v>
      </c>
      <c r="B110" s="6"/>
      <c r="C110" s="6">
        <v>277</v>
      </c>
      <c r="D110" s="6">
        <v>566</v>
      </c>
      <c r="E110" s="16">
        <v>5568</v>
      </c>
      <c r="F110" s="16">
        <v>-1926</v>
      </c>
    </row>
    <row r="111" spans="1:6" ht="15.75" thickBot="1" x14ac:dyDescent="0.3">
      <c r="A111" s="5" t="s">
        <v>206</v>
      </c>
      <c r="B111" s="16">
        <v>518642</v>
      </c>
      <c r="C111" s="16">
        <v>918642</v>
      </c>
      <c r="D111" s="16">
        <v>923642</v>
      </c>
      <c r="E111" s="16">
        <v>928642</v>
      </c>
      <c r="F111" s="16">
        <v>923549</v>
      </c>
    </row>
    <row r="112" spans="1:6" ht="15.75" thickBot="1" x14ac:dyDescent="0.3">
      <c r="A112" s="5" t="s">
        <v>207</v>
      </c>
      <c r="B112" s="6"/>
      <c r="C112" s="6"/>
      <c r="D112" s="6"/>
      <c r="E112" s="6"/>
      <c r="F112" s="6"/>
    </row>
    <row r="113" spans="1:6" ht="15.75" thickBot="1" x14ac:dyDescent="0.3">
      <c r="A113" s="5" t="s">
        <v>208</v>
      </c>
      <c r="B113" s="6"/>
      <c r="C113" s="6"/>
      <c r="D113" s="6"/>
      <c r="E113" s="6"/>
      <c r="F113" s="6"/>
    </row>
    <row r="114" spans="1:6" ht="15.75" thickBot="1" x14ac:dyDescent="0.3">
      <c r="A114" s="5" t="s">
        <v>209</v>
      </c>
      <c r="B114" s="16">
        <v>13397029</v>
      </c>
      <c r="C114" s="16">
        <v>15126438</v>
      </c>
      <c r="D114" s="16">
        <v>15876914</v>
      </c>
      <c r="E114" s="16">
        <v>21792443</v>
      </c>
      <c r="F114" s="16">
        <v>41763426</v>
      </c>
    </row>
    <row r="115" spans="1:6" ht="15.75" thickBot="1" x14ac:dyDescent="0.3">
      <c r="A115" s="5" t="s">
        <v>210</v>
      </c>
      <c r="B115" s="6"/>
      <c r="C115" s="6"/>
      <c r="D115" s="6"/>
      <c r="E115" s="6"/>
      <c r="F115" s="6"/>
    </row>
    <row r="116" spans="1:6" ht="15.75" thickBot="1" x14ac:dyDescent="0.3">
      <c r="A116" s="5" t="s">
        <v>211</v>
      </c>
      <c r="B116" s="16">
        <v>110614</v>
      </c>
      <c r="C116" s="16">
        <v>126961</v>
      </c>
      <c r="D116" s="16">
        <v>163214</v>
      </c>
      <c r="E116" s="16">
        <v>148747</v>
      </c>
      <c r="F116" s="16">
        <v>154789</v>
      </c>
    </row>
    <row r="117" spans="1:6" ht="15.75" thickBot="1" x14ac:dyDescent="0.3">
      <c r="A117" s="5" t="s">
        <v>212</v>
      </c>
      <c r="B117" s="6"/>
      <c r="C117" s="6"/>
      <c r="D117" s="6"/>
      <c r="E117" s="6"/>
      <c r="F117" s="6"/>
    </row>
    <row r="118" spans="1:6" ht="15.75" thickBot="1" x14ac:dyDescent="0.3">
      <c r="A118" s="10" t="s">
        <v>124</v>
      </c>
      <c r="B118" s="11"/>
      <c r="C118" s="11"/>
      <c r="D118" s="11"/>
      <c r="E118" s="11"/>
      <c r="F118" s="11"/>
    </row>
    <row r="119" spans="1:6" ht="15.75" thickBot="1" x14ac:dyDescent="0.3">
      <c r="A119" s="5" t="s">
        <v>213</v>
      </c>
      <c r="B119" s="6"/>
      <c r="C119" s="6"/>
      <c r="D119" s="6"/>
      <c r="E119" s="6"/>
      <c r="F119" s="6"/>
    </row>
    <row r="120" spans="1:6" ht="15.75" thickBot="1" x14ac:dyDescent="0.3">
      <c r="A120" s="5" t="s">
        <v>214</v>
      </c>
      <c r="B120" s="6"/>
      <c r="C120" s="6"/>
      <c r="D120" s="6"/>
      <c r="E120" s="6"/>
      <c r="F120" s="6"/>
    </row>
    <row r="121" spans="1:6" ht="15.75" thickBot="1" x14ac:dyDescent="0.3">
      <c r="A121" s="8" t="s">
        <v>125</v>
      </c>
      <c r="B121" s="9"/>
      <c r="C121" s="9"/>
      <c r="D121" s="9"/>
      <c r="E121" s="9"/>
      <c r="F121" s="9"/>
    </row>
    <row r="122" spans="1:6" ht="15.75" thickBot="1" x14ac:dyDescent="0.3">
      <c r="A122" s="8" t="s">
        <v>126</v>
      </c>
      <c r="B122" s="17">
        <v>53022185</v>
      </c>
      <c r="C122" s="17">
        <v>78223008</v>
      </c>
      <c r="D122" s="17">
        <v>101776030</v>
      </c>
      <c r="E122" s="17">
        <v>131511434</v>
      </c>
      <c r="F122" s="17">
        <v>178236422</v>
      </c>
    </row>
    <row r="123" spans="1:6" ht="15.75" thickBot="1" x14ac:dyDescent="0.3">
      <c r="A123" s="8" t="s">
        <v>125</v>
      </c>
      <c r="B123" s="9"/>
      <c r="C123" s="9"/>
      <c r="D123" s="9"/>
      <c r="E123" s="9"/>
      <c r="F123" s="9"/>
    </row>
    <row r="124" spans="1:6" x14ac:dyDescent="0.25">
      <c r="A124" s="8" t="s">
        <v>126</v>
      </c>
      <c r="B124" s="17">
        <v>34667319</v>
      </c>
      <c r="C124" s="17">
        <v>37366109</v>
      </c>
      <c r="D124" s="17">
        <v>44699873</v>
      </c>
      <c r="E124" s="17">
        <v>48432481</v>
      </c>
      <c r="F124" s="17">
        <v>53332403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69A-1B25-428D-B5C9-116EDA00095A}">
  <dimension ref="A1:F51"/>
  <sheetViews>
    <sheetView showGridLines="0" workbookViewId="0">
      <selection activeCell="E15" sqref="E15"/>
    </sheetView>
  </sheetViews>
  <sheetFormatPr defaultRowHeight="15" x14ac:dyDescent="0.25"/>
  <cols>
    <col min="1" max="1" width="89.42578125" bestFit="1" customWidth="1"/>
    <col min="2" max="6" width="18.42578125" customWidth="1"/>
  </cols>
  <sheetData>
    <row r="1" spans="1:6" ht="15.75" thickBot="1" x14ac:dyDescent="0.3">
      <c r="A1" s="1" t="s">
        <v>239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240</v>
      </c>
      <c r="B2" s="11"/>
      <c r="C2" s="11"/>
      <c r="D2" s="11"/>
      <c r="E2" s="11"/>
      <c r="F2" s="11"/>
    </row>
    <row r="3" spans="1:6" ht="15.75" thickBot="1" x14ac:dyDescent="0.3">
      <c r="A3" s="10" t="s">
        <v>241</v>
      </c>
      <c r="B3" s="15">
        <v>9288370</v>
      </c>
      <c r="C3" s="15">
        <v>10071073</v>
      </c>
      <c r="D3" s="15">
        <v>9096662</v>
      </c>
      <c r="E3" s="15">
        <v>15356967</v>
      </c>
      <c r="F3" s="15">
        <v>37056778</v>
      </c>
    </row>
    <row r="4" spans="1:6" ht="15.75" thickBot="1" x14ac:dyDescent="0.3">
      <c r="A4" s="10" t="s">
        <v>242</v>
      </c>
      <c r="B4" s="11"/>
      <c r="C4" s="11"/>
      <c r="D4" s="11"/>
      <c r="E4" s="11"/>
      <c r="F4" s="11"/>
    </row>
    <row r="5" spans="1:6" ht="15.75" thickBot="1" x14ac:dyDescent="0.3">
      <c r="A5" s="5" t="s">
        <v>243</v>
      </c>
      <c r="B5" s="16">
        <v>2004657</v>
      </c>
      <c r="C5" s="16">
        <v>2285645</v>
      </c>
      <c r="D5" s="16">
        <v>2593233</v>
      </c>
      <c r="E5" s="16">
        <v>4775782</v>
      </c>
      <c r="F5" s="16">
        <v>6082504</v>
      </c>
    </row>
    <row r="6" spans="1:6" ht="15.75" thickBot="1" x14ac:dyDescent="0.3">
      <c r="A6" s="5" t="s">
        <v>244</v>
      </c>
      <c r="B6" s="16">
        <v>-10871</v>
      </c>
      <c r="C6" s="16">
        <v>-72990</v>
      </c>
      <c r="D6" s="16">
        <v>-5773</v>
      </c>
      <c r="E6" s="16">
        <v>28314</v>
      </c>
      <c r="F6" s="16">
        <v>163178</v>
      </c>
    </row>
    <row r="7" spans="1:6" ht="15.75" thickBot="1" x14ac:dyDescent="0.3">
      <c r="A7" s="5" t="s">
        <v>245</v>
      </c>
      <c r="B7" s="16">
        <v>-4721</v>
      </c>
      <c r="C7" s="16">
        <v>29911</v>
      </c>
      <c r="D7" s="16">
        <v>24184</v>
      </c>
      <c r="E7" s="16">
        <v>52079</v>
      </c>
      <c r="F7" s="16">
        <v>41939</v>
      </c>
    </row>
    <row r="8" spans="1:6" ht="15.75" thickBot="1" x14ac:dyDescent="0.3">
      <c r="A8" s="5" t="s">
        <v>246</v>
      </c>
      <c r="B8" s="16">
        <v>-100141</v>
      </c>
      <c r="C8" s="16">
        <v>-112986</v>
      </c>
      <c r="D8" s="16">
        <v>-286185</v>
      </c>
      <c r="E8" s="16">
        <v>-490560</v>
      </c>
      <c r="F8" s="16">
        <v>-1661083</v>
      </c>
    </row>
    <row r="9" spans="1:6" ht="15.75" thickBot="1" x14ac:dyDescent="0.3">
      <c r="A9" s="5" t="s">
        <v>247</v>
      </c>
      <c r="B9" s="16">
        <v>479708</v>
      </c>
      <c r="C9" s="16">
        <v>539861</v>
      </c>
      <c r="D9" s="16">
        <v>936710</v>
      </c>
      <c r="E9" s="16">
        <v>2191681</v>
      </c>
      <c r="F9" s="16">
        <v>2525823</v>
      </c>
    </row>
    <row r="10" spans="1:6" ht="15.75" thickBot="1" x14ac:dyDescent="0.3">
      <c r="A10" s="5" t="s">
        <v>248</v>
      </c>
      <c r="B10" s="6"/>
      <c r="C10" s="6"/>
      <c r="D10" s="6"/>
      <c r="E10" s="6"/>
      <c r="F10" s="6"/>
    </row>
    <row r="11" spans="1:6" ht="15.75" thickBot="1" x14ac:dyDescent="0.3">
      <c r="A11" s="5" t="s">
        <v>249</v>
      </c>
      <c r="B11" s="6"/>
      <c r="C11" s="6"/>
      <c r="D11" s="6"/>
      <c r="E11" s="6"/>
      <c r="F11" s="6"/>
    </row>
    <row r="12" spans="1:6" ht="15.75" thickBot="1" x14ac:dyDescent="0.3">
      <c r="A12" s="5" t="s">
        <v>250</v>
      </c>
      <c r="B12" s="6"/>
      <c r="C12" s="6"/>
      <c r="D12" s="6"/>
      <c r="E12" s="16">
        <v>18075</v>
      </c>
      <c r="F12" s="6"/>
    </row>
    <row r="13" spans="1:6" ht="15.75" thickBot="1" x14ac:dyDescent="0.3">
      <c r="A13" s="5" t="s">
        <v>251</v>
      </c>
      <c r="B13" s="6"/>
      <c r="C13" s="6"/>
      <c r="D13" s="6"/>
      <c r="E13" s="6"/>
      <c r="F13" s="6"/>
    </row>
    <row r="14" spans="1:6" ht="15.75" thickBot="1" x14ac:dyDescent="0.3">
      <c r="A14" s="10" t="s">
        <v>252</v>
      </c>
      <c r="B14" s="15">
        <v>11657001</v>
      </c>
      <c r="C14" s="15">
        <v>12740514</v>
      </c>
      <c r="D14" s="15">
        <v>12358831</v>
      </c>
      <c r="E14" s="15">
        <v>21932338</v>
      </c>
      <c r="F14" s="15">
        <v>44209139</v>
      </c>
    </row>
    <row r="15" spans="1:6" ht="15.75" thickBot="1" x14ac:dyDescent="0.3">
      <c r="A15" s="5" t="s">
        <v>253</v>
      </c>
      <c r="B15" s="16">
        <v>-462713</v>
      </c>
      <c r="C15" s="16">
        <v>-1423157</v>
      </c>
      <c r="D15" s="16">
        <v>-288520</v>
      </c>
      <c r="E15" s="16">
        <v>-3374026</v>
      </c>
      <c r="F15" s="16">
        <v>-3039386</v>
      </c>
    </row>
    <row r="16" spans="1:6" ht="15.75" thickBot="1" x14ac:dyDescent="0.3">
      <c r="A16" s="5" t="s">
        <v>254</v>
      </c>
      <c r="B16" s="16">
        <v>-2201681</v>
      </c>
      <c r="C16" s="16">
        <v>-2301594</v>
      </c>
      <c r="D16" s="16">
        <v>-5132237</v>
      </c>
      <c r="E16" s="16">
        <v>-7061025</v>
      </c>
      <c r="F16" s="16">
        <v>-16949193</v>
      </c>
    </row>
    <row r="17" spans="1:6" ht="15.75" thickBot="1" x14ac:dyDescent="0.3">
      <c r="A17" s="5" t="s">
        <v>255</v>
      </c>
      <c r="B17" s="16">
        <v>-427138</v>
      </c>
      <c r="C17" s="16">
        <v>1459709</v>
      </c>
      <c r="D17" s="16">
        <v>3557798</v>
      </c>
      <c r="E17" s="16">
        <v>4251742</v>
      </c>
      <c r="F17" s="16">
        <v>9250111</v>
      </c>
    </row>
    <row r="18" spans="1:6" ht="15.75" thickBot="1" x14ac:dyDescent="0.3">
      <c r="A18" s="5" t="s">
        <v>256</v>
      </c>
      <c r="B18" s="16">
        <v>-57138</v>
      </c>
      <c r="C18" s="16">
        <v>-500921</v>
      </c>
      <c r="D18" s="16">
        <v>-8477</v>
      </c>
      <c r="E18" s="16">
        <v>-89041</v>
      </c>
      <c r="F18" s="16">
        <v>-813988</v>
      </c>
    </row>
    <row r="19" spans="1:6" ht="15.75" thickBot="1" x14ac:dyDescent="0.3">
      <c r="A19" s="5" t="s">
        <v>257</v>
      </c>
      <c r="B19" s="6"/>
      <c r="C19" s="6"/>
      <c r="D19" s="6"/>
      <c r="E19" s="6"/>
      <c r="F19" s="6"/>
    </row>
    <row r="20" spans="1:6" ht="15.75" thickBot="1" x14ac:dyDescent="0.3">
      <c r="A20" s="5" t="s">
        <v>258</v>
      </c>
      <c r="B20" s="16">
        <v>-476521</v>
      </c>
      <c r="C20" s="16">
        <v>-611768</v>
      </c>
      <c r="D20" s="16">
        <v>-867276</v>
      </c>
      <c r="E20" s="16">
        <v>-2027572</v>
      </c>
      <c r="F20" s="16">
        <v>-2567276</v>
      </c>
    </row>
    <row r="21" spans="1:6" ht="15.75" thickBot="1" x14ac:dyDescent="0.3">
      <c r="A21" s="5" t="s">
        <v>259</v>
      </c>
      <c r="B21" s="16">
        <v>-1723779</v>
      </c>
      <c r="C21" s="16">
        <v>-1416438</v>
      </c>
      <c r="D21" s="16">
        <v>-1552893</v>
      </c>
      <c r="E21" s="16">
        <v>-1716803</v>
      </c>
      <c r="F21" s="16">
        <v>-2743084</v>
      </c>
    </row>
    <row r="22" spans="1:6" ht="15.75" thickBot="1" x14ac:dyDescent="0.3">
      <c r="A22" s="5" t="s">
        <v>260</v>
      </c>
      <c r="B22" s="6"/>
      <c r="C22" s="6"/>
      <c r="D22" s="6"/>
      <c r="E22" s="6"/>
      <c r="F22" s="6"/>
    </row>
    <row r="23" spans="1:6" ht="15.75" thickBot="1" x14ac:dyDescent="0.3">
      <c r="A23" s="5" t="s">
        <v>261</v>
      </c>
      <c r="B23" s="16">
        <v>-249708</v>
      </c>
      <c r="C23" s="16">
        <v>-304001</v>
      </c>
      <c r="D23" s="16">
        <v>-352058</v>
      </c>
      <c r="E23" s="16">
        <v>-328363</v>
      </c>
      <c r="F23" s="16">
        <v>-625409</v>
      </c>
    </row>
    <row r="24" spans="1:6" ht="15.75" thickBot="1" x14ac:dyDescent="0.3">
      <c r="A24" s="5" t="s">
        <v>262</v>
      </c>
      <c r="B24" s="16">
        <v>6058322</v>
      </c>
      <c r="C24" s="16">
        <v>7642344</v>
      </c>
      <c r="D24" s="16">
        <v>7715169</v>
      </c>
      <c r="E24" s="16">
        <v>11587250</v>
      </c>
      <c r="F24" s="16">
        <v>26720913</v>
      </c>
    </row>
    <row r="25" spans="1:6" ht="15.75" thickBot="1" x14ac:dyDescent="0.3">
      <c r="A25" s="10" t="s">
        <v>263</v>
      </c>
      <c r="B25" s="11"/>
      <c r="C25" s="11"/>
      <c r="D25" s="11"/>
      <c r="E25" s="11"/>
      <c r="F25" s="11"/>
    </row>
    <row r="26" spans="1:6" ht="15.75" thickBot="1" x14ac:dyDescent="0.3">
      <c r="A26" s="5" t="s">
        <v>264</v>
      </c>
      <c r="B26" s="16">
        <v>-8875038</v>
      </c>
      <c r="C26" s="16">
        <v>-27594118</v>
      </c>
      <c r="D26" s="16">
        <v>-20825372</v>
      </c>
      <c r="E26" s="16">
        <v>-11915646</v>
      </c>
      <c r="F26" s="16">
        <v>-11621470</v>
      </c>
    </row>
    <row r="27" spans="1:6" ht="15.75" thickBot="1" x14ac:dyDescent="0.3">
      <c r="A27" s="5" t="s">
        <v>265</v>
      </c>
      <c r="B27" s="16">
        <v>6994</v>
      </c>
      <c r="C27" s="16">
        <v>64822</v>
      </c>
      <c r="D27" s="16">
        <v>26938</v>
      </c>
      <c r="E27" s="16">
        <v>34418</v>
      </c>
      <c r="F27" s="16">
        <v>49349</v>
      </c>
    </row>
    <row r="28" spans="1:6" ht="15.75" thickBot="1" x14ac:dyDescent="0.3">
      <c r="A28" s="5" t="s">
        <v>266</v>
      </c>
      <c r="B28" s="16">
        <v>-13644058</v>
      </c>
      <c r="C28" s="16">
        <v>-11295502</v>
      </c>
      <c r="D28" s="16">
        <v>-4467553</v>
      </c>
      <c r="E28" s="16">
        <v>-11971173</v>
      </c>
      <c r="F28" s="16">
        <v>-41061488</v>
      </c>
    </row>
    <row r="29" spans="1:6" ht="15.75" thickBot="1" x14ac:dyDescent="0.3">
      <c r="A29" s="5" t="s">
        <v>267</v>
      </c>
      <c r="B29" s="16">
        <v>4461988</v>
      </c>
      <c r="C29" s="16">
        <v>17443013</v>
      </c>
      <c r="D29" s="16">
        <v>6832224</v>
      </c>
      <c r="E29" s="16">
        <v>5003441</v>
      </c>
      <c r="F29" s="16">
        <v>31076413</v>
      </c>
    </row>
    <row r="30" spans="1:6" ht="15.75" thickBot="1" x14ac:dyDescent="0.3">
      <c r="A30" s="5" t="s">
        <v>268</v>
      </c>
      <c r="B30" s="16">
        <v>-40833</v>
      </c>
      <c r="C30" s="16">
        <v>-115948</v>
      </c>
      <c r="D30" s="6"/>
      <c r="E30" s="6"/>
      <c r="F30" s="6"/>
    </row>
    <row r="31" spans="1:6" ht="15.75" thickBot="1" x14ac:dyDescent="0.3">
      <c r="A31" s="5" t="s">
        <v>269</v>
      </c>
      <c r="B31" s="6">
        <v>651</v>
      </c>
      <c r="C31" s="16">
        <v>17600</v>
      </c>
      <c r="D31" s="6"/>
      <c r="E31" s="6"/>
      <c r="F31" s="16">
        <v>833829</v>
      </c>
    </row>
    <row r="32" spans="1:6" ht="15.75" thickBot="1" x14ac:dyDescent="0.3">
      <c r="A32" s="5" t="s">
        <v>270</v>
      </c>
      <c r="B32" s="16">
        <v>164530</v>
      </c>
      <c r="C32" s="16">
        <v>946999</v>
      </c>
      <c r="D32" s="16">
        <v>369547</v>
      </c>
      <c r="E32" s="16">
        <v>353561</v>
      </c>
      <c r="F32" s="16">
        <v>1053916</v>
      </c>
    </row>
    <row r="33" spans="1:6" ht="15.75" thickBot="1" x14ac:dyDescent="0.3">
      <c r="A33" s="5" t="s">
        <v>271</v>
      </c>
      <c r="B33" s="6"/>
      <c r="C33" s="6"/>
      <c r="D33" s="6"/>
      <c r="E33" s="6"/>
      <c r="F33" s="6"/>
    </row>
    <row r="34" spans="1:6" ht="15.75" thickBot="1" x14ac:dyDescent="0.3">
      <c r="A34" s="5" t="s">
        <v>272</v>
      </c>
      <c r="B34" s="6"/>
      <c r="C34" s="6"/>
      <c r="D34" s="6"/>
      <c r="E34" s="6"/>
      <c r="F34" s="6"/>
    </row>
    <row r="35" spans="1:6" ht="15.75" thickBot="1" x14ac:dyDescent="0.3">
      <c r="A35" s="5" t="s">
        <v>273</v>
      </c>
      <c r="B35" s="6"/>
      <c r="C35" s="6"/>
      <c r="D35" s="6"/>
      <c r="E35" s="6"/>
      <c r="F35" s="6"/>
    </row>
    <row r="36" spans="1:6" ht="15.75" thickBot="1" x14ac:dyDescent="0.3">
      <c r="A36" s="5" t="s">
        <v>274</v>
      </c>
      <c r="B36" s="6"/>
      <c r="C36" s="6"/>
      <c r="D36" s="6"/>
      <c r="E36" s="6"/>
      <c r="F36" s="6"/>
    </row>
    <row r="37" spans="1:6" ht="15.75" thickBot="1" x14ac:dyDescent="0.3">
      <c r="A37" s="5" t="s">
        <v>275</v>
      </c>
      <c r="B37" s="16">
        <v>-17925765</v>
      </c>
      <c r="C37" s="16">
        <v>-20533134</v>
      </c>
      <c r="D37" s="16">
        <v>-18064216</v>
      </c>
      <c r="E37" s="16">
        <v>-18495398</v>
      </c>
      <c r="F37" s="16">
        <v>-19669453</v>
      </c>
    </row>
    <row r="38" spans="1:6" ht="15.75" thickBot="1" x14ac:dyDescent="0.3">
      <c r="A38" s="10" t="s">
        <v>276</v>
      </c>
      <c r="B38" s="11"/>
      <c r="C38" s="11"/>
      <c r="D38" s="11"/>
      <c r="E38" s="11"/>
      <c r="F38" s="11"/>
    </row>
    <row r="39" spans="1:6" ht="15.75" thickBot="1" x14ac:dyDescent="0.3">
      <c r="A39" s="5" t="s">
        <v>277</v>
      </c>
      <c r="B39" s="16">
        <v>5057285</v>
      </c>
      <c r="C39" s="16">
        <v>11425</v>
      </c>
      <c r="D39" s="6">
        <v>85</v>
      </c>
      <c r="E39" s="16">
        <v>2700</v>
      </c>
      <c r="F39" s="16">
        <v>10630</v>
      </c>
    </row>
    <row r="40" spans="1:6" ht="15.75" thickBot="1" x14ac:dyDescent="0.3">
      <c r="A40" s="5" t="s">
        <v>278</v>
      </c>
      <c r="B40" s="6"/>
      <c r="C40" s="6"/>
      <c r="D40" s="6"/>
      <c r="E40" s="6"/>
      <c r="F40" s="6"/>
    </row>
    <row r="41" spans="1:6" ht="15.75" thickBot="1" x14ac:dyDescent="0.3">
      <c r="A41" s="5" t="s">
        <v>279</v>
      </c>
      <c r="B41" s="16">
        <v>37194697</v>
      </c>
      <c r="C41" s="16">
        <v>53472014</v>
      </c>
      <c r="D41" s="16">
        <v>69584171</v>
      </c>
      <c r="E41" s="16">
        <v>83074115</v>
      </c>
      <c r="F41" s="16">
        <v>125075421</v>
      </c>
    </row>
    <row r="42" spans="1:6" ht="15.75" thickBot="1" x14ac:dyDescent="0.3">
      <c r="A42" s="5" t="s">
        <v>280</v>
      </c>
      <c r="B42" s="16">
        <v>-30674534</v>
      </c>
      <c r="C42" s="16">
        <v>-42335009</v>
      </c>
      <c r="D42" s="16">
        <v>-57193668</v>
      </c>
      <c r="E42" s="16">
        <v>-65603640</v>
      </c>
      <c r="F42" s="16">
        <v>-121652859</v>
      </c>
    </row>
    <row r="43" spans="1:6" ht="15.75" thickBot="1" x14ac:dyDescent="0.3">
      <c r="A43" s="5" t="s">
        <v>281</v>
      </c>
      <c r="B43" s="6"/>
      <c r="C43" s="6"/>
      <c r="D43" s="6"/>
      <c r="E43" s="6"/>
      <c r="F43" s="6"/>
    </row>
    <row r="44" spans="1:6" ht="15.75" thickBot="1" x14ac:dyDescent="0.3">
      <c r="A44" s="5" t="s">
        <v>282</v>
      </c>
      <c r="B44" s="16">
        <v>-3755</v>
      </c>
      <c r="C44" s="16">
        <v>-5918</v>
      </c>
      <c r="D44" s="16">
        <v>-12647</v>
      </c>
      <c r="E44" s="16">
        <v>-1419474</v>
      </c>
      <c r="F44" s="16">
        <v>-1693087</v>
      </c>
    </row>
    <row r="45" spans="1:6" ht="15.75" thickBot="1" x14ac:dyDescent="0.3">
      <c r="A45" s="5" t="s">
        <v>283</v>
      </c>
      <c r="B45" s="6"/>
      <c r="C45" s="6"/>
      <c r="D45" s="6"/>
      <c r="E45" s="6"/>
      <c r="F45" s="6"/>
    </row>
    <row r="46" spans="1:6" ht="15.75" thickBot="1" x14ac:dyDescent="0.3">
      <c r="A46" s="5" t="s">
        <v>284</v>
      </c>
      <c r="B46" s="6"/>
      <c r="C46" s="6"/>
      <c r="D46" s="6"/>
      <c r="E46" s="6"/>
      <c r="F46" s="6"/>
    </row>
    <row r="47" spans="1:6" ht="15.75" thickBot="1" x14ac:dyDescent="0.3">
      <c r="A47" s="5" t="s">
        <v>285</v>
      </c>
      <c r="B47" s="16">
        <v>11573693</v>
      </c>
      <c r="C47" s="16">
        <v>11142512</v>
      </c>
      <c r="D47" s="16">
        <v>12377941</v>
      </c>
      <c r="E47" s="16">
        <v>16053702</v>
      </c>
      <c r="F47" s="16">
        <v>1740105</v>
      </c>
    </row>
    <row r="48" spans="1:6" ht="15.75" thickBot="1" x14ac:dyDescent="0.3">
      <c r="A48" s="10" t="s">
        <v>286</v>
      </c>
      <c r="B48" s="15">
        <v>-293750</v>
      </c>
      <c r="C48" s="15">
        <v>-1748278</v>
      </c>
      <c r="D48" s="15">
        <v>2028894</v>
      </c>
      <c r="E48" s="15">
        <v>9145553</v>
      </c>
      <c r="F48" s="15">
        <v>8791566</v>
      </c>
    </row>
    <row r="49" spans="1:6" ht="15.75" thickBot="1" x14ac:dyDescent="0.3">
      <c r="A49" s="10" t="s">
        <v>287</v>
      </c>
      <c r="B49" s="15">
        <v>4558661</v>
      </c>
      <c r="C49" s="15">
        <v>4264642</v>
      </c>
      <c r="D49" s="15">
        <v>2515617</v>
      </c>
      <c r="E49" s="15">
        <v>4544900</v>
      </c>
      <c r="F49" s="15">
        <v>13696099</v>
      </c>
    </row>
    <row r="50" spans="1:6" ht="15.75" thickBot="1" x14ac:dyDescent="0.3">
      <c r="A50" s="5" t="s">
        <v>288</v>
      </c>
      <c r="B50" s="6">
        <v>-269</v>
      </c>
      <c r="C50" s="6">
        <v>-747</v>
      </c>
      <c r="D50" s="6">
        <v>390</v>
      </c>
      <c r="E50" s="16">
        <v>5646</v>
      </c>
      <c r="F50" s="16">
        <v>-16289</v>
      </c>
    </row>
    <row r="51" spans="1:6" x14ac:dyDescent="0.25">
      <c r="A51" s="10" t="s">
        <v>289</v>
      </c>
      <c r="B51" s="15">
        <v>4264642</v>
      </c>
      <c r="C51" s="15">
        <v>2515617</v>
      </c>
      <c r="D51" s="15">
        <v>4544900</v>
      </c>
      <c r="E51" s="15">
        <v>13696099</v>
      </c>
      <c r="F51" s="15">
        <v>22471376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028-2A3B-4391-BA15-4FFE7C701624}">
  <dimension ref="A1:F25"/>
  <sheetViews>
    <sheetView showGridLines="0" workbookViewId="0">
      <selection activeCell="H9" sqref="H9"/>
    </sheetView>
  </sheetViews>
  <sheetFormatPr defaultRowHeight="15" x14ac:dyDescent="0.25"/>
  <cols>
    <col min="1" max="1" width="55.28515625" bestFit="1" customWidth="1"/>
    <col min="2" max="6" width="13.42578125" customWidth="1"/>
  </cols>
  <sheetData>
    <row r="1" spans="1:6" ht="15.75" thickBot="1" x14ac:dyDescent="0.3">
      <c r="A1" s="1" t="s">
        <v>356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 x14ac:dyDescent="0.3">
      <c r="A2" s="10" t="s">
        <v>215</v>
      </c>
      <c r="B2" s="15">
        <v>46854826</v>
      </c>
      <c r="C2" s="15">
        <v>56580424</v>
      </c>
      <c r="D2" s="15">
        <v>64677907</v>
      </c>
      <c r="E2" s="15">
        <v>91279042</v>
      </c>
      <c r="F2" s="15">
        <v>150865360</v>
      </c>
    </row>
    <row r="3" spans="1:6" ht="15.75" thickBot="1" x14ac:dyDescent="0.3">
      <c r="A3" s="5" t="s">
        <v>216</v>
      </c>
      <c r="B3" s="16">
        <v>693134</v>
      </c>
      <c r="C3" s="16">
        <v>743965</v>
      </c>
      <c r="D3" s="16">
        <v>1019714</v>
      </c>
      <c r="E3" s="16">
        <v>1160538</v>
      </c>
      <c r="F3" s="16">
        <v>1185570</v>
      </c>
    </row>
    <row r="4" spans="1:6" ht="15.75" thickBot="1" x14ac:dyDescent="0.3">
      <c r="A4" s="10" t="s">
        <v>217</v>
      </c>
      <c r="B4" s="15">
        <v>46161692</v>
      </c>
      <c r="C4" s="15">
        <v>55836458</v>
      </c>
      <c r="D4" s="15">
        <v>63658193</v>
      </c>
      <c r="E4" s="15">
        <v>90118503</v>
      </c>
      <c r="F4" s="15">
        <v>149679790</v>
      </c>
    </row>
    <row r="5" spans="1:6" ht="15.75" thickBot="1" x14ac:dyDescent="0.3">
      <c r="A5" s="5" t="s">
        <v>218</v>
      </c>
      <c r="B5" s="16">
        <v>35536121</v>
      </c>
      <c r="C5" s="16">
        <v>44165626</v>
      </c>
      <c r="D5" s="16">
        <v>52472820</v>
      </c>
      <c r="E5" s="16">
        <v>71214454</v>
      </c>
      <c r="F5" s="16">
        <v>108571380</v>
      </c>
    </row>
    <row r="6" spans="1:6" ht="15.75" thickBot="1" x14ac:dyDescent="0.3">
      <c r="A6" s="10" t="s">
        <v>219</v>
      </c>
      <c r="B6" s="15">
        <v>10625571</v>
      </c>
      <c r="C6" s="15">
        <v>11670832</v>
      </c>
      <c r="D6" s="15">
        <v>11185372</v>
      </c>
      <c r="E6" s="15">
        <v>18904050</v>
      </c>
      <c r="F6" s="15">
        <v>41108410</v>
      </c>
    </row>
    <row r="7" spans="1:6" ht="15.75" thickBot="1" x14ac:dyDescent="0.3">
      <c r="A7" s="5" t="s">
        <v>220</v>
      </c>
      <c r="B7" s="16">
        <v>186215</v>
      </c>
      <c r="C7" s="16">
        <v>294408</v>
      </c>
      <c r="D7" s="16">
        <v>471054</v>
      </c>
      <c r="E7" s="16">
        <v>1004790</v>
      </c>
      <c r="F7" s="16">
        <v>3071441</v>
      </c>
    </row>
    <row r="8" spans="1:6" ht="15.75" thickBot="1" x14ac:dyDescent="0.3">
      <c r="A8" s="5" t="s">
        <v>221</v>
      </c>
      <c r="B8" s="16">
        <v>555757</v>
      </c>
      <c r="C8" s="16">
        <v>772317</v>
      </c>
      <c r="D8" s="16">
        <v>1181676</v>
      </c>
      <c r="E8" s="16">
        <v>2837406</v>
      </c>
      <c r="F8" s="16">
        <v>3731542</v>
      </c>
    </row>
    <row r="9" spans="1:6" ht="15.75" thickBot="1" x14ac:dyDescent="0.3">
      <c r="A9" s="5" t="s">
        <v>222</v>
      </c>
      <c r="B9" s="16">
        <v>479708</v>
      </c>
      <c r="C9" s="16">
        <v>539861</v>
      </c>
      <c r="D9" s="16">
        <v>936710</v>
      </c>
      <c r="E9" s="16">
        <v>2191681</v>
      </c>
      <c r="F9" s="16">
        <v>2525823</v>
      </c>
    </row>
    <row r="10" spans="1:6" ht="15.75" thickBot="1" x14ac:dyDescent="0.3">
      <c r="A10" s="5" t="s">
        <v>223</v>
      </c>
      <c r="B10" s="6">
        <v>-160</v>
      </c>
      <c r="C10" s="6"/>
      <c r="D10" s="16">
        <v>-1431</v>
      </c>
      <c r="E10" s="16">
        <v>1965</v>
      </c>
      <c r="F10" s="16">
        <v>4465</v>
      </c>
    </row>
    <row r="11" spans="1:6" ht="15.75" thickBot="1" x14ac:dyDescent="0.3">
      <c r="A11" s="5" t="s">
        <v>224</v>
      </c>
      <c r="B11" s="16">
        <v>594708</v>
      </c>
      <c r="C11" s="16">
        <v>676809</v>
      </c>
      <c r="D11" s="16">
        <v>873334</v>
      </c>
      <c r="E11" s="16">
        <v>1090796</v>
      </c>
      <c r="F11" s="16">
        <v>2120068</v>
      </c>
    </row>
    <row r="12" spans="1:6" ht="15.75" thickBot="1" x14ac:dyDescent="0.3">
      <c r="A12" s="5" t="s">
        <v>225</v>
      </c>
      <c r="B12" s="16">
        <v>409038</v>
      </c>
      <c r="C12" s="16">
        <v>444025</v>
      </c>
      <c r="D12" s="16">
        <v>569006</v>
      </c>
      <c r="E12" s="16">
        <v>690299</v>
      </c>
      <c r="F12" s="16">
        <v>1324262</v>
      </c>
    </row>
    <row r="13" spans="1:6" ht="15.75" thickBot="1" x14ac:dyDescent="0.3">
      <c r="A13" s="10" t="s">
        <v>226</v>
      </c>
      <c r="B13" s="15">
        <v>9252124</v>
      </c>
      <c r="C13" s="15">
        <v>10072089</v>
      </c>
      <c r="D13" s="15">
        <v>9030980</v>
      </c>
      <c r="E13" s="15">
        <v>15292304</v>
      </c>
      <c r="F13" s="15">
        <v>37008443</v>
      </c>
    </row>
    <row r="14" spans="1:6" ht="15.75" thickBot="1" x14ac:dyDescent="0.3">
      <c r="A14" s="5" t="s">
        <v>227</v>
      </c>
      <c r="B14" s="16">
        <v>432792</v>
      </c>
      <c r="C14" s="16">
        <v>488857</v>
      </c>
      <c r="D14" s="16">
        <v>657681</v>
      </c>
      <c r="E14" s="16">
        <v>654081</v>
      </c>
      <c r="F14" s="16">
        <v>796666</v>
      </c>
    </row>
    <row r="15" spans="1:6" ht="15.75" thickBot="1" x14ac:dyDescent="0.3">
      <c r="A15" s="5" t="s">
        <v>228</v>
      </c>
      <c r="B15" s="16">
        <v>396546</v>
      </c>
      <c r="C15" s="16">
        <v>489873</v>
      </c>
      <c r="D15" s="16">
        <v>591998</v>
      </c>
      <c r="E15" s="16">
        <v>589418</v>
      </c>
      <c r="F15" s="16">
        <v>748332</v>
      </c>
    </row>
    <row r="16" spans="1:6" ht="15.75" thickBot="1" x14ac:dyDescent="0.3">
      <c r="A16" s="10" t="s">
        <v>229</v>
      </c>
      <c r="B16" s="15">
        <v>36245</v>
      </c>
      <c r="C16" s="15">
        <v>-1016</v>
      </c>
      <c r="D16" s="15">
        <v>65682</v>
      </c>
      <c r="E16" s="15">
        <v>64663</v>
      </c>
      <c r="F16" s="15">
        <v>48334</v>
      </c>
    </row>
    <row r="17" spans="1:6" ht="15.75" thickBot="1" x14ac:dyDescent="0.3">
      <c r="A17" s="10" t="s">
        <v>230</v>
      </c>
      <c r="B17" s="11"/>
      <c r="C17" s="11"/>
      <c r="D17" s="11"/>
      <c r="E17" s="11"/>
      <c r="F17" s="11"/>
    </row>
    <row r="18" spans="1:6" ht="15.75" thickBot="1" x14ac:dyDescent="0.3">
      <c r="A18" s="10" t="s">
        <v>231</v>
      </c>
      <c r="B18" s="15">
        <v>9288370</v>
      </c>
      <c r="C18" s="15">
        <v>10071073</v>
      </c>
      <c r="D18" s="15">
        <v>9096662</v>
      </c>
      <c r="E18" s="15">
        <v>15356967</v>
      </c>
      <c r="F18" s="15">
        <v>37056778</v>
      </c>
    </row>
    <row r="19" spans="1:6" ht="15.75" thickBot="1" x14ac:dyDescent="0.3">
      <c r="A19" s="5" t="s">
        <v>232</v>
      </c>
      <c r="B19" s="16">
        <v>1317629</v>
      </c>
      <c r="C19" s="16">
        <v>1506320</v>
      </c>
      <c r="D19" s="16">
        <v>1603308</v>
      </c>
      <c r="E19" s="16">
        <v>1784568</v>
      </c>
      <c r="F19" s="16">
        <v>2855306</v>
      </c>
    </row>
    <row r="20" spans="1:6" ht="15.75" thickBot="1" x14ac:dyDescent="0.3">
      <c r="A20" s="5" t="s">
        <v>233</v>
      </c>
      <c r="B20" s="16">
        <v>-44016</v>
      </c>
      <c r="C20" s="16">
        <v>-35798</v>
      </c>
      <c r="D20" s="16">
        <v>-84894</v>
      </c>
      <c r="E20" s="16">
        <v>66235</v>
      </c>
      <c r="F20" s="16">
        <v>-319484</v>
      </c>
    </row>
    <row r="21" spans="1:6" ht="15.75" thickBot="1" x14ac:dyDescent="0.3">
      <c r="A21" s="10" t="s">
        <v>234</v>
      </c>
      <c r="B21" s="15">
        <v>8014757</v>
      </c>
      <c r="C21" s="15">
        <v>8600551</v>
      </c>
      <c r="D21" s="15">
        <v>7578248</v>
      </c>
      <c r="E21" s="15">
        <v>13506164</v>
      </c>
      <c r="F21" s="15">
        <v>34520955</v>
      </c>
    </row>
    <row r="22" spans="1:6" ht="15.75" thickBot="1" x14ac:dyDescent="0.3">
      <c r="A22" s="5" t="s">
        <v>235</v>
      </c>
      <c r="B22" s="16">
        <v>8084</v>
      </c>
      <c r="C22" s="16">
        <v>27536</v>
      </c>
      <c r="D22" s="16">
        <v>50805</v>
      </c>
      <c r="E22" s="16">
        <v>55864</v>
      </c>
      <c r="F22" s="16">
        <v>42812</v>
      </c>
    </row>
    <row r="23" spans="1:6" ht="15.75" thickBot="1" x14ac:dyDescent="0.3">
      <c r="A23" s="5" t="s">
        <v>236</v>
      </c>
      <c r="B23" s="16">
        <v>8006672</v>
      </c>
      <c r="C23" s="16">
        <v>8573014</v>
      </c>
      <c r="D23" s="16">
        <v>7527443</v>
      </c>
      <c r="E23" s="16">
        <v>13450300</v>
      </c>
      <c r="F23" s="16">
        <v>34478143</v>
      </c>
    </row>
    <row r="24" spans="1:6" ht="15.75" thickBot="1" x14ac:dyDescent="0.3">
      <c r="A24" s="5" t="s">
        <v>237</v>
      </c>
      <c r="B24" s="16">
        <v>5895</v>
      </c>
      <c r="C24" s="16">
        <v>4037</v>
      </c>
      <c r="D24" s="16">
        <v>2726</v>
      </c>
      <c r="E24" s="16">
        <v>3846</v>
      </c>
      <c r="F24" s="16">
        <v>7166</v>
      </c>
    </row>
    <row r="25" spans="1:6" x14ac:dyDescent="0.25">
      <c r="A25" s="5" t="s">
        <v>238</v>
      </c>
      <c r="B25" s="6"/>
      <c r="C25" s="6"/>
      <c r="D25" s="6"/>
      <c r="E25" s="6"/>
      <c r="F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BA-8EF5-4E4A-9B9F-B43DC6A1706B}">
  <dimension ref="A2:O94"/>
  <sheetViews>
    <sheetView showGridLines="0" tabSelected="1" topLeftCell="A79" zoomScale="115" zoomScaleNormal="115" workbookViewId="0">
      <selection activeCell="K95" sqref="K95"/>
    </sheetView>
  </sheetViews>
  <sheetFormatPr defaultRowHeight="14.25" outlineLevelRow="1" x14ac:dyDescent="0.2"/>
  <cols>
    <col min="1" max="1" width="4.7109375" style="12" customWidth="1"/>
    <col min="2" max="2" width="9.140625" style="12"/>
    <col min="3" max="3" width="11.85546875" style="12" bestFit="1" customWidth="1"/>
    <col min="4" max="4" width="10.7109375" style="12" customWidth="1"/>
    <col min="5" max="15" width="14.140625" style="12" customWidth="1"/>
    <col min="16" max="16384" width="9.140625" style="12"/>
  </cols>
  <sheetData>
    <row r="2" spans="1:15" ht="23.25" x14ac:dyDescent="0.35">
      <c r="B2" s="45" t="s">
        <v>357</v>
      </c>
    </row>
    <row r="4" spans="1:15" x14ac:dyDescent="0.2">
      <c r="A4" s="12" t="s">
        <v>292</v>
      </c>
      <c r="B4" s="12" t="s">
        <v>290</v>
      </c>
      <c r="C4" s="19" t="s">
        <v>356</v>
      </c>
      <c r="F4" s="12" t="s">
        <v>342</v>
      </c>
      <c r="H4" s="20">
        <f ca="1">O84</f>
        <v>49.007516778451752</v>
      </c>
    </row>
    <row r="5" spans="1:15" x14ac:dyDescent="0.2">
      <c r="B5" s="12" t="s">
        <v>291</v>
      </c>
      <c r="C5" s="21">
        <v>44742</v>
      </c>
      <c r="F5" s="12" t="s">
        <v>343</v>
      </c>
      <c r="H5" s="20">
        <v>21.85</v>
      </c>
    </row>
    <row r="7" spans="1:15" ht="15" x14ac:dyDescent="0.25">
      <c r="A7" s="12" t="s">
        <v>292</v>
      </c>
      <c r="B7" s="22" t="s">
        <v>293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5" x14ac:dyDescent="0.25">
      <c r="B8" s="13" t="s">
        <v>322</v>
      </c>
      <c r="F8" s="13" t="s">
        <v>318</v>
      </c>
      <c r="I8" s="13" t="s">
        <v>319</v>
      </c>
      <c r="L8" s="13" t="s">
        <v>320</v>
      </c>
    </row>
    <row r="9" spans="1:15" x14ac:dyDescent="0.2">
      <c r="B9" s="12" t="s">
        <v>323</v>
      </c>
      <c r="D9" s="19">
        <v>2</v>
      </c>
      <c r="F9" s="12" t="s">
        <v>329</v>
      </c>
      <c r="G9" s="59">
        <f>J9-1%</f>
        <v>9.0000000000000011E-2</v>
      </c>
      <c r="I9" s="12" t="s">
        <v>329</v>
      </c>
      <c r="J9" s="59">
        <v>0.1</v>
      </c>
      <c r="L9" s="12" t="s">
        <v>329</v>
      </c>
      <c r="M9" s="59">
        <f>J9+1%</f>
        <v>0.11</v>
      </c>
    </row>
    <row r="10" spans="1:15" x14ac:dyDescent="0.2">
      <c r="B10" s="12" t="s">
        <v>324</v>
      </c>
      <c r="D10" s="19">
        <v>2</v>
      </c>
      <c r="F10" s="12" t="s">
        <v>328</v>
      </c>
      <c r="G10" s="59">
        <f>J10-1%</f>
        <v>6.0000000000000005E-2</v>
      </c>
      <c r="I10" s="12" t="s">
        <v>328</v>
      </c>
      <c r="J10" s="59">
        <v>7.0000000000000007E-2</v>
      </c>
      <c r="L10" s="12" t="s">
        <v>328</v>
      </c>
      <c r="M10" s="59">
        <f>J10+1%</f>
        <v>0.08</v>
      </c>
    </row>
    <row r="11" spans="1:15" x14ac:dyDescent="0.2">
      <c r="B11" s="12" t="s">
        <v>310</v>
      </c>
      <c r="D11" s="19">
        <v>2</v>
      </c>
      <c r="F11" s="12" t="s">
        <v>330</v>
      </c>
      <c r="G11" s="60">
        <f>J11-2%</f>
        <v>0.23</v>
      </c>
      <c r="I11" s="12" t="s">
        <v>330</v>
      </c>
      <c r="J11" s="59">
        <v>0.25</v>
      </c>
      <c r="L11" s="12" t="s">
        <v>330</v>
      </c>
      <c r="M11" s="59">
        <f>J11+2%</f>
        <v>0.27</v>
      </c>
    </row>
    <row r="12" spans="1:15" x14ac:dyDescent="0.2">
      <c r="F12" s="12" t="s">
        <v>331</v>
      </c>
      <c r="G12" s="60">
        <f>J12-1%</f>
        <v>0.15</v>
      </c>
      <c r="I12" s="12" t="s">
        <v>331</v>
      </c>
      <c r="J12" s="59">
        <v>0.16</v>
      </c>
      <c r="L12" s="12" t="s">
        <v>331</v>
      </c>
      <c r="M12" s="59">
        <f>J12+1%</f>
        <v>0.17</v>
      </c>
    </row>
    <row r="13" spans="1:15" x14ac:dyDescent="0.2">
      <c r="B13" s="12" t="s">
        <v>325</v>
      </c>
      <c r="D13" s="19">
        <v>2</v>
      </c>
      <c r="G13" s="46"/>
      <c r="I13" s="12" t="s">
        <v>301</v>
      </c>
      <c r="J13" s="59">
        <v>0.15</v>
      </c>
      <c r="M13" s="46"/>
    </row>
    <row r="14" spans="1:15" x14ac:dyDescent="0.2">
      <c r="B14" s="12" t="s">
        <v>326</v>
      </c>
      <c r="D14" s="19">
        <v>2</v>
      </c>
      <c r="G14" s="46"/>
      <c r="I14" s="12" t="s">
        <v>307</v>
      </c>
      <c r="J14" s="59">
        <f>AVERAGE(E62:I62)</f>
        <v>4.3182702282659427E-2</v>
      </c>
      <c r="M14" s="46"/>
    </row>
    <row r="15" spans="1:15" x14ac:dyDescent="0.2">
      <c r="F15" s="12" t="s">
        <v>358</v>
      </c>
      <c r="G15" s="59">
        <f>J15+1%</f>
        <v>0.16</v>
      </c>
      <c r="I15" s="12" t="s">
        <v>358</v>
      </c>
      <c r="J15" s="59">
        <v>0.15</v>
      </c>
      <c r="L15" s="12" t="s">
        <v>358</v>
      </c>
      <c r="M15" s="59">
        <f>J15-1%</f>
        <v>0.13999999999999999</v>
      </c>
    </row>
    <row r="16" spans="1:15" x14ac:dyDescent="0.2">
      <c r="B16" s="12" t="s">
        <v>327</v>
      </c>
      <c r="F16" s="12" t="s">
        <v>333</v>
      </c>
      <c r="G16" s="59">
        <f>J16+1%</f>
        <v>0.11</v>
      </c>
      <c r="I16" s="12" t="s">
        <v>333</v>
      </c>
      <c r="J16" s="59">
        <v>0.1</v>
      </c>
      <c r="L16" s="12" t="s">
        <v>333</v>
      </c>
      <c r="M16" s="59">
        <f>J16-1%</f>
        <v>9.0000000000000011E-2</v>
      </c>
    </row>
    <row r="17" spans="1:15" x14ac:dyDescent="0.2">
      <c r="B17" s="12" t="s">
        <v>325</v>
      </c>
      <c r="D17" s="47">
        <f>CHOOSE(D13,G18,J18,M18)</f>
        <v>8.7290668474853256E-2</v>
      </c>
      <c r="G17" s="46"/>
      <c r="I17" s="12" t="s">
        <v>332</v>
      </c>
      <c r="J17" s="59">
        <v>-0.02</v>
      </c>
      <c r="M17" s="46"/>
    </row>
    <row r="18" spans="1:15" x14ac:dyDescent="0.2">
      <c r="B18" s="12" t="s">
        <v>326</v>
      </c>
      <c r="D18" s="47">
        <f>CHOOSE(D14,G19,J19,M19)</f>
        <v>0.02</v>
      </c>
      <c r="F18" s="12" t="s">
        <v>325</v>
      </c>
      <c r="G18" s="59">
        <f>J18+0.5%</f>
        <v>9.229066847485326E-2</v>
      </c>
      <c r="I18" s="12" t="s">
        <v>325</v>
      </c>
      <c r="J18" s="59">
        <f>WACC!B13</f>
        <v>8.7290668474853256E-2</v>
      </c>
      <c r="L18" s="12" t="s">
        <v>325</v>
      </c>
      <c r="M18" s="59">
        <f>J18-0.5%</f>
        <v>8.2290668474853251E-2</v>
      </c>
    </row>
    <row r="19" spans="1:15" x14ac:dyDescent="0.2">
      <c r="F19" s="12" t="s">
        <v>326</v>
      </c>
      <c r="G19" s="59">
        <f>J19-0.5%</f>
        <v>1.4999999999999999E-2</v>
      </c>
      <c r="I19" s="12" t="s">
        <v>326</v>
      </c>
      <c r="J19" s="59">
        <v>0.02</v>
      </c>
      <c r="L19" s="12" t="s">
        <v>326</v>
      </c>
      <c r="M19" s="59">
        <f>J19+0.5%</f>
        <v>2.5000000000000001E-2</v>
      </c>
    </row>
    <row r="21" spans="1:15" ht="15" x14ac:dyDescent="0.25">
      <c r="A21" s="12" t="s">
        <v>292</v>
      </c>
      <c r="B21" s="22" t="s">
        <v>294</v>
      </c>
      <c r="C21" s="22"/>
      <c r="D21" s="22"/>
      <c r="E21" s="22">
        <v>2017</v>
      </c>
      <c r="F21" s="22">
        <f>E21+1</f>
        <v>2018</v>
      </c>
      <c r="G21" s="22">
        <f t="shared" ref="G21:O43" si="0">F21+1</f>
        <v>2019</v>
      </c>
      <c r="H21" s="22">
        <f t="shared" si="0"/>
        <v>2020</v>
      </c>
      <c r="I21" s="22">
        <f t="shared" si="0"/>
        <v>2021</v>
      </c>
      <c r="J21" s="22">
        <f t="shared" si="0"/>
        <v>2022</v>
      </c>
      <c r="K21" s="22">
        <f t="shared" si="0"/>
        <v>2023</v>
      </c>
      <c r="L21" s="22">
        <f t="shared" si="0"/>
        <v>2024</v>
      </c>
      <c r="M21" s="22">
        <f t="shared" si="0"/>
        <v>2025</v>
      </c>
      <c r="N21" s="22">
        <f>M21+1</f>
        <v>2026</v>
      </c>
      <c r="O21" s="22">
        <f t="shared" si="0"/>
        <v>2027</v>
      </c>
    </row>
    <row r="22" spans="1:15" outlineLevel="1" x14ac:dyDescent="0.2">
      <c r="B22" s="12" t="s">
        <v>297</v>
      </c>
      <c r="E22" s="23">
        <f>KQKD!B2</f>
        <v>46854826</v>
      </c>
      <c r="F22" s="23">
        <f>KQKD!C2</f>
        <v>56580424</v>
      </c>
      <c r="G22" s="23">
        <f>KQKD!D2</f>
        <v>64677907</v>
      </c>
      <c r="H22" s="23">
        <f>KQKD!E2</f>
        <v>91279042</v>
      </c>
      <c r="I22" s="23">
        <f>KQKD!F2</f>
        <v>150865360</v>
      </c>
      <c r="J22" s="24">
        <f t="shared" ref="J22:O22" si="1">I22*(1+J23)</f>
        <v>204225026.34133825</v>
      </c>
      <c r="K22" s="24">
        <f t="shared" si="1"/>
        <v>276457507.43656665</v>
      </c>
      <c r="L22" s="24">
        <f t="shared" si="1"/>
        <v>374237941.29078764</v>
      </c>
      <c r="M22" s="24">
        <f t="shared" si="1"/>
        <v>506602399.76916701</v>
      </c>
      <c r="N22" s="24">
        <f t="shared" si="1"/>
        <v>685782928.81442964</v>
      </c>
      <c r="O22" s="24">
        <f t="shared" si="1"/>
        <v>928337934.57667804</v>
      </c>
    </row>
    <row r="23" spans="1:15" outlineLevel="1" x14ac:dyDescent="0.2">
      <c r="B23" s="12" t="s">
        <v>298</v>
      </c>
      <c r="F23" s="25">
        <f>F22/E22-1</f>
        <v>0.20756875716495027</v>
      </c>
      <c r="G23" s="25">
        <f>G22/F22-1</f>
        <v>0.14311456909548781</v>
      </c>
      <c r="H23" s="25">
        <f>H22/G22-1</f>
        <v>0.41128626812243629</v>
      </c>
      <c r="I23" s="25">
        <f>I22/H22-1</f>
        <v>0.6527929817668332</v>
      </c>
      <c r="J23" s="26">
        <f>AVERAGE(F23:I23)</f>
        <v>0.35369064403742689</v>
      </c>
      <c r="K23" s="26">
        <f>$J$23</f>
        <v>0.35369064403742689</v>
      </c>
      <c r="L23" s="26">
        <f>$J$23</f>
        <v>0.35369064403742689</v>
      </c>
      <c r="M23" s="26">
        <f>$J$23</f>
        <v>0.35369064403742689</v>
      </c>
      <c r="N23" s="26">
        <f>$J$23</f>
        <v>0.35369064403742689</v>
      </c>
      <c r="O23" s="26">
        <f>$J$23</f>
        <v>0.35369064403742689</v>
      </c>
    </row>
    <row r="24" spans="1:15" outlineLevel="1" x14ac:dyDescent="0.2"/>
    <row r="25" spans="1:15" outlineLevel="1" x14ac:dyDescent="0.2">
      <c r="B25" s="12" t="s">
        <v>299</v>
      </c>
      <c r="E25" s="27">
        <f>KQKD!B18+KQKD!B9</f>
        <v>9768078</v>
      </c>
      <c r="F25" s="27">
        <f>KQKD!C18+KQKD!C9</f>
        <v>10610934</v>
      </c>
      <c r="G25" s="27">
        <f>KQKD!D18+KQKD!D9</f>
        <v>10033372</v>
      </c>
      <c r="H25" s="27">
        <f>KQKD!E18+KQKD!E9</f>
        <v>17548648</v>
      </c>
      <c r="I25" s="27">
        <f>KQKD!F18+KQKD!F9</f>
        <v>39582601</v>
      </c>
      <c r="J25" s="24">
        <f>J22*J26</f>
        <v>40706571.579077482</v>
      </c>
      <c r="K25" s="24">
        <f t="shared" ref="K25:M25" si="2">K22*K26</f>
        <v>55104105.097437009</v>
      </c>
      <c r="L25" s="24">
        <f t="shared" si="2"/>
        <v>74593911.518455565</v>
      </c>
      <c r="M25" s="24">
        <f t="shared" si="2"/>
        <v>100977080.12468894</v>
      </c>
      <c r="N25" s="24">
        <f>N22*N26</f>
        <v>136691728.627009</v>
      </c>
      <c r="O25" s="24">
        <f>O22*O26</f>
        <v>185038314.15968499</v>
      </c>
    </row>
    <row r="26" spans="1:15" outlineLevel="1" x14ac:dyDescent="0.2">
      <c r="B26" s="12" t="s">
        <v>300</v>
      </c>
      <c r="E26" s="25">
        <f>E25/E22</f>
        <v>0.20847538735924448</v>
      </c>
      <c r="F26" s="25">
        <f>F25/F22</f>
        <v>0.18753719484321998</v>
      </c>
      <c r="G26" s="25">
        <f t="shared" ref="G26:I26" si="3">G25/G22</f>
        <v>0.15512827278099769</v>
      </c>
      <c r="H26" s="25">
        <f t="shared" si="3"/>
        <v>0.1922527626878468</v>
      </c>
      <c r="I26" s="25">
        <f t="shared" si="3"/>
        <v>0.26237037448490497</v>
      </c>
      <c r="J26" s="26">
        <f>AVERAGE(F26:I26)</f>
        <v>0.19932215119924238</v>
      </c>
      <c r="K26" s="26">
        <f>$J$26</f>
        <v>0.19932215119924238</v>
      </c>
      <c r="L26" s="26">
        <f>$J$26</f>
        <v>0.19932215119924238</v>
      </c>
      <c r="M26" s="26">
        <f>$J$26</f>
        <v>0.19932215119924238</v>
      </c>
      <c r="N26" s="26">
        <f>$J$26</f>
        <v>0.19932215119924238</v>
      </c>
      <c r="O26" s="26">
        <f>$J$26</f>
        <v>0.19932215119924238</v>
      </c>
    </row>
    <row r="27" spans="1:15" outlineLevel="1" x14ac:dyDescent="0.2"/>
    <row r="28" spans="1:15" outlineLevel="1" x14ac:dyDescent="0.2">
      <c r="B28" s="12" t="s">
        <v>301</v>
      </c>
      <c r="E28" s="27">
        <f>KQKD!B19</f>
        <v>1317629</v>
      </c>
      <c r="F28" s="27">
        <f>KQKD!C19</f>
        <v>1506320</v>
      </c>
      <c r="G28" s="27">
        <f>KQKD!D19</f>
        <v>1603308</v>
      </c>
      <c r="H28" s="27">
        <f>KQKD!E19</f>
        <v>1784568</v>
      </c>
      <c r="I28" s="27">
        <f>KQKD!F19</f>
        <v>2855306</v>
      </c>
      <c r="J28" s="28">
        <f>J25*J29</f>
        <v>4839856.1986734122</v>
      </c>
      <c r="K28" s="28">
        <f t="shared" ref="K28:O28" si="4">K25*K29</f>
        <v>6551668.0546307433</v>
      </c>
      <c r="L28" s="28">
        <f t="shared" si="4"/>
        <v>8868931.7483925261</v>
      </c>
      <c r="M28" s="28">
        <f t="shared" si="4"/>
        <v>12005789.93040546</v>
      </c>
      <c r="N28" s="28">
        <f t="shared" si="4"/>
        <v>16252125.50306862</v>
      </c>
      <c r="O28" s="28">
        <f t="shared" si="4"/>
        <v>22000350.239226047</v>
      </c>
    </row>
    <row r="29" spans="1:15" outlineLevel="1" x14ac:dyDescent="0.2">
      <c r="B29" s="12" t="s">
        <v>302</v>
      </c>
      <c r="E29" s="29">
        <f>E28/E25</f>
        <v>0.13489132662536069</v>
      </c>
      <c r="F29" s="29">
        <f t="shared" ref="F29:I29" si="5">F28/F25</f>
        <v>0.14195922809434117</v>
      </c>
      <c r="G29" s="29">
        <f t="shared" si="5"/>
        <v>0.15979752370389536</v>
      </c>
      <c r="H29" s="29">
        <f t="shared" si="5"/>
        <v>0.10169262042295224</v>
      </c>
      <c r="I29" s="29">
        <f t="shared" si="5"/>
        <v>7.2135380896268031E-2</v>
      </c>
      <c r="J29" s="26">
        <f>AVERAGE(F29:I29)</f>
        <v>0.1188961882793642</v>
      </c>
      <c r="K29" s="26">
        <f>$J$29</f>
        <v>0.1188961882793642</v>
      </c>
      <c r="L29" s="26">
        <f>$J$29</f>
        <v>0.1188961882793642</v>
      </c>
      <c r="M29" s="26">
        <f>$J$29</f>
        <v>0.1188961882793642</v>
      </c>
      <c r="N29" s="26">
        <f>$J$29</f>
        <v>0.1188961882793642</v>
      </c>
      <c r="O29" s="26">
        <f>$J$29</f>
        <v>0.1188961882793642</v>
      </c>
    </row>
    <row r="30" spans="1:15" outlineLevel="1" x14ac:dyDescent="0.2"/>
    <row r="31" spans="1:15" ht="15" x14ac:dyDescent="0.25">
      <c r="A31" s="12" t="s">
        <v>292</v>
      </c>
      <c r="B31" s="22" t="s">
        <v>295</v>
      </c>
      <c r="C31" s="22"/>
      <c r="D31" s="22"/>
      <c r="E31" s="22">
        <v>2017</v>
      </c>
      <c r="F31" s="22">
        <f>E31+1</f>
        <v>2018</v>
      </c>
      <c r="G31" s="22">
        <f t="shared" si="0"/>
        <v>2019</v>
      </c>
      <c r="H31" s="22">
        <f t="shared" si="0"/>
        <v>2020</v>
      </c>
      <c r="I31" s="22">
        <f t="shared" si="0"/>
        <v>2021</v>
      </c>
      <c r="J31" s="22">
        <f t="shared" si="0"/>
        <v>2022</v>
      </c>
      <c r="K31" s="22">
        <f t="shared" si="0"/>
        <v>2023</v>
      </c>
      <c r="L31" s="22">
        <f t="shared" si="0"/>
        <v>2024</v>
      </c>
      <c r="M31" s="22">
        <f t="shared" si="0"/>
        <v>2025</v>
      </c>
      <c r="N31" s="22">
        <f>M31+1</f>
        <v>2026</v>
      </c>
      <c r="O31" s="22">
        <f t="shared" si="0"/>
        <v>2027</v>
      </c>
    </row>
    <row r="32" spans="1:15" outlineLevel="1" x14ac:dyDescent="0.2">
      <c r="B32" s="12" t="s">
        <v>307</v>
      </c>
      <c r="E32" s="27">
        <f>LCTT!B5</f>
        <v>2004657</v>
      </c>
      <c r="F32" s="27">
        <f>LCTT!C5</f>
        <v>2285645</v>
      </c>
      <c r="G32" s="27">
        <f>LCTT!D5</f>
        <v>2593233</v>
      </c>
      <c r="H32" s="27">
        <f>LCTT!E5</f>
        <v>4775782</v>
      </c>
      <c r="I32" s="27">
        <f>LCTT!F5</f>
        <v>6082504</v>
      </c>
    </row>
    <row r="33" spans="1:15" outlineLevel="1" x14ac:dyDescent="0.2">
      <c r="B33" s="12" t="s">
        <v>308</v>
      </c>
      <c r="E33" s="25">
        <f>E32/E22</f>
        <v>4.2784429505724766E-2</v>
      </c>
      <c r="F33" s="25">
        <f t="shared" ref="F33:I33" si="6">F32/F22</f>
        <v>4.0396392222157969E-2</v>
      </c>
      <c r="G33" s="25">
        <f t="shared" si="6"/>
        <v>4.0094572015139572E-2</v>
      </c>
      <c r="H33" s="25">
        <f t="shared" si="6"/>
        <v>5.2320684960738301E-2</v>
      </c>
      <c r="I33" s="25">
        <f t="shared" si="6"/>
        <v>4.0317432709536506E-2</v>
      </c>
    </row>
    <row r="34" spans="1:15" outlineLevel="1" x14ac:dyDescent="0.2">
      <c r="B34" s="12" t="s">
        <v>309</v>
      </c>
      <c r="E34" s="29">
        <f>E32/E36</f>
        <v>0.22605402048072834</v>
      </c>
      <c r="F34" s="29">
        <f t="shared" ref="F34:I34" si="7">F32/F36</f>
        <v>8.3025915373934736E-2</v>
      </c>
      <c r="G34" s="29">
        <f t="shared" si="7"/>
        <v>0.12468405073189645</v>
      </c>
      <c r="H34" s="29">
        <f t="shared" si="7"/>
        <v>0.4019603024199182</v>
      </c>
      <c r="I34" s="29">
        <f t="shared" si="7"/>
        <v>0.52561704116298125</v>
      </c>
    </row>
    <row r="35" spans="1:15" outlineLevel="1" x14ac:dyDescent="0.2"/>
    <row r="36" spans="1:15" outlineLevel="1" x14ac:dyDescent="0.2">
      <c r="B36" s="12" t="s">
        <v>310</v>
      </c>
      <c r="E36" s="27">
        <f>-(LCTT!B26+LCTT!B27)</f>
        <v>8868044</v>
      </c>
      <c r="F36" s="27">
        <f>-(LCTT!C26+LCTT!C27)</f>
        <v>27529296</v>
      </c>
      <c r="G36" s="27">
        <f>-(LCTT!D26+LCTT!D27)</f>
        <v>20798434</v>
      </c>
      <c r="H36" s="27">
        <f>-(LCTT!E26+LCTT!E27)</f>
        <v>11881228</v>
      </c>
      <c r="I36" s="27">
        <f>-(LCTT!F26+LCTT!F27)</f>
        <v>11572121</v>
      </c>
    </row>
    <row r="37" spans="1:15" outlineLevel="1" x14ac:dyDescent="0.2">
      <c r="B37" s="12" t="s">
        <v>311</v>
      </c>
      <c r="E37" s="25">
        <f>E36/E22</f>
        <v>0.18926639488534222</v>
      </c>
      <c r="F37" s="25">
        <f t="shared" ref="F37:I37" si="8">F36/F22</f>
        <v>0.48655160307741774</v>
      </c>
      <c r="G37" s="25">
        <f t="shared" si="8"/>
        <v>0.3215693729854307</v>
      </c>
      <c r="H37" s="25">
        <f t="shared" si="8"/>
        <v>0.13016381131607407</v>
      </c>
      <c r="I37" s="25">
        <f t="shared" si="8"/>
        <v>7.6704957320885322E-2</v>
      </c>
    </row>
    <row r="38" spans="1:15" outlineLevel="1" x14ac:dyDescent="0.2"/>
    <row r="39" spans="1:15" outlineLevel="1" x14ac:dyDescent="0.2">
      <c r="B39" s="12" t="s">
        <v>312</v>
      </c>
      <c r="E39" s="27"/>
      <c r="F39" s="27">
        <f>SUM(LCTT!C15:C18)</f>
        <v>-2765963</v>
      </c>
      <c r="G39" s="27">
        <f>SUM(LCTT!D15:D18)</f>
        <v>-1871436</v>
      </c>
      <c r="H39" s="27">
        <f>SUM(LCTT!E15:E18)</f>
        <v>-6272350</v>
      </c>
      <c r="I39" s="27">
        <f>SUM(LCTT!F15:F18)</f>
        <v>-11552456</v>
      </c>
    </row>
    <row r="40" spans="1:15" outlineLevel="1" x14ac:dyDescent="0.2">
      <c r="B40" s="12" t="s">
        <v>311</v>
      </c>
      <c r="E40" s="25"/>
      <c r="F40" s="25">
        <f t="shared" ref="F40:I40" si="9">F39/F22</f>
        <v>-4.8885512063324234E-2</v>
      </c>
      <c r="G40" s="25">
        <f t="shared" si="9"/>
        <v>-2.89347025406991E-2</v>
      </c>
      <c r="H40" s="25">
        <f t="shared" si="9"/>
        <v>-6.8716211986536838E-2</v>
      </c>
      <c r="I40" s="25">
        <f t="shared" si="9"/>
        <v>-7.657460930726577E-2</v>
      </c>
    </row>
    <row r="41" spans="1:15" outlineLevel="1" x14ac:dyDescent="0.2">
      <c r="B41" s="12" t="s">
        <v>313</v>
      </c>
      <c r="F41" s="25">
        <f>F39/(F22-E22)</f>
        <v>-0.28440030114343612</v>
      </c>
      <c r="G41" s="25">
        <f t="shared" ref="G41:I41" si="10">G39/(G22-F22)</f>
        <v>-0.23111329779883452</v>
      </c>
      <c r="H41" s="25">
        <f t="shared" si="10"/>
        <v>-0.23579257050498034</v>
      </c>
      <c r="I41" s="25">
        <f t="shared" si="10"/>
        <v>-0.19387766164709153</v>
      </c>
    </row>
    <row r="42" spans="1:15" outlineLevel="1" x14ac:dyDescent="0.2">
      <c r="J42" s="12">
        <f t="shared" ref="J42:O42" si="11">J43-$I$43</f>
        <v>1</v>
      </c>
      <c r="K42" s="12">
        <f t="shared" si="11"/>
        <v>2</v>
      </c>
      <c r="L42" s="12">
        <f t="shared" si="11"/>
        <v>3</v>
      </c>
      <c r="M42" s="12">
        <f t="shared" si="11"/>
        <v>4</v>
      </c>
      <c r="N42" s="12">
        <f t="shared" si="11"/>
        <v>5</v>
      </c>
      <c r="O42" s="12">
        <f t="shared" si="11"/>
        <v>6</v>
      </c>
    </row>
    <row r="43" spans="1:15" ht="15" x14ac:dyDescent="0.25">
      <c r="A43" s="12" t="s">
        <v>292</v>
      </c>
      <c r="B43" s="22" t="s">
        <v>296</v>
      </c>
      <c r="C43" s="22"/>
      <c r="D43" s="22"/>
      <c r="E43" s="22">
        <v>2017</v>
      </c>
      <c r="F43" s="22">
        <f>E43+1</f>
        <v>2018</v>
      </c>
      <c r="G43" s="22">
        <f t="shared" si="0"/>
        <v>2019</v>
      </c>
      <c r="H43" s="22">
        <f t="shared" si="0"/>
        <v>2020</v>
      </c>
      <c r="I43" s="22">
        <f t="shared" si="0"/>
        <v>2021</v>
      </c>
      <c r="J43" s="22">
        <f t="shared" si="0"/>
        <v>2022</v>
      </c>
      <c r="K43" s="22">
        <f t="shared" si="0"/>
        <v>2023</v>
      </c>
      <c r="L43" s="22">
        <f t="shared" si="0"/>
        <v>2024</v>
      </c>
      <c r="M43" s="22">
        <f t="shared" si="0"/>
        <v>2025</v>
      </c>
      <c r="N43" s="22">
        <f>M43+1</f>
        <v>2026</v>
      </c>
      <c r="O43" s="22">
        <f t="shared" si="0"/>
        <v>2027</v>
      </c>
    </row>
    <row r="44" spans="1:15" x14ac:dyDescent="0.2">
      <c r="B44" s="12" t="s">
        <v>297</v>
      </c>
      <c r="E44" s="30">
        <f>E22</f>
        <v>46854826</v>
      </c>
      <c r="F44" s="30">
        <f t="shared" ref="F44:I44" si="12">F22</f>
        <v>56580424</v>
      </c>
      <c r="G44" s="30">
        <f t="shared" si="12"/>
        <v>64677907</v>
      </c>
      <c r="H44" s="30">
        <f t="shared" si="12"/>
        <v>91279042</v>
      </c>
      <c r="I44" s="30">
        <f t="shared" si="12"/>
        <v>150865360</v>
      </c>
      <c r="J44" s="30">
        <f ca="1">I44*(1+J45)</f>
        <v>165951896</v>
      </c>
      <c r="K44" s="30">
        <f t="shared" ref="K44:O44" ca="1" si="13">J44*(1+K45)</f>
        <v>181302446.38</v>
      </c>
      <c r="L44" s="30">
        <f t="shared" ca="1" si="13"/>
        <v>196713154.32229999</v>
      </c>
      <c r="M44" s="30">
        <f t="shared" ca="1" si="13"/>
        <v>211958423.78227821</v>
      </c>
      <c r="N44" s="30">
        <f ca="1">M44*(1+N45)</f>
        <v>226795513.4470377</v>
      </c>
      <c r="O44" s="30">
        <f t="shared" ca="1" si="13"/>
        <v>242671199.38833034</v>
      </c>
    </row>
    <row r="45" spans="1:15" x14ac:dyDescent="0.2">
      <c r="B45" s="12" t="s">
        <v>298</v>
      </c>
      <c r="E45" s="26"/>
      <c r="F45" s="25">
        <f>F44/E44-1</f>
        <v>0.20756875716495027</v>
      </c>
      <c r="G45" s="25">
        <f t="shared" ref="G45:I45" si="14">G44/F44-1</f>
        <v>0.14311456909548781</v>
      </c>
      <c r="H45" s="25">
        <f t="shared" si="14"/>
        <v>0.41128626812243629</v>
      </c>
      <c r="I45" s="25">
        <f t="shared" si="14"/>
        <v>0.6527929817668332</v>
      </c>
      <c r="J45" s="25">
        <f ca="1">OFFSET(J45,$D$9,0)</f>
        <v>0.1</v>
      </c>
      <c r="K45" s="25">
        <f t="shared" ref="K45:O45" ca="1" si="15">OFFSET(K45,$D$9,0)</f>
        <v>9.2499999999999999E-2</v>
      </c>
      <c r="L45" s="25">
        <f t="shared" ca="1" si="15"/>
        <v>8.4999999999999992E-2</v>
      </c>
      <c r="M45" s="25">
        <f t="shared" ca="1" si="15"/>
        <v>7.7499999999999986E-2</v>
      </c>
      <c r="N45" s="25">
        <f t="shared" ca="1" si="15"/>
        <v>6.9999999999999979E-2</v>
      </c>
      <c r="O45" s="25">
        <f t="shared" ca="1" si="15"/>
        <v>7.0000000000000007E-2</v>
      </c>
    </row>
    <row r="46" spans="1:15" x14ac:dyDescent="0.2">
      <c r="B46" s="12" t="s">
        <v>318</v>
      </c>
      <c r="E46" s="26"/>
      <c r="F46" s="26"/>
      <c r="G46" s="26"/>
      <c r="H46" s="26"/>
      <c r="I46" s="26"/>
      <c r="J46" s="31">
        <f>G9</f>
        <v>9.0000000000000011E-2</v>
      </c>
      <c r="K46" s="32">
        <f>J46-(J47-K47)</f>
        <v>8.2500000000000004E-2</v>
      </c>
      <c r="L46" s="32">
        <f>K46-($K$46-$O$46)/($O$43-$K$43)</f>
        <v>7.6874999999999999E-2</v>
      </c>
      <c r="M46" s="32">
        <f>L46-($K$46-$O$46)/($O$43-$K$43)</f>
        <v>7.1249999999999994E-2</v>
      </c>
      <c r="N46" s="32">
        <f>M46-($K$46-$O$46)/($O$43-$K$43)</f>
        <v>6.5624999999999989E-2</v>
      </c>
      <c r="O46" s="33">
        <f>G10</f>
        <v>6.0000000000000005E-2</v>
      </c>
    </row>
    <row r="47" spans="1:15" x14ac:dyDescent="0.2">
      <c r="B47" s="12" t="s">
        <v>319</v>
      </c>
      <c r="E47" s="26"/>
      <c r="F47" s="26"/>
      <c r="G47" s="26"/>
      <c r="H47" s="26"/>
      <c r="I47" s="26"/>
      <c r="J47" s="31">
        <f>J9</f>
        <v>0.1</v>
      </c>
      <c r="K47" s="34">
        <f>J47-($J$47-$O$47)/($O$43-$K$43)</f>
        <v>9.2499999999999999E-2</v>
      </c>
      <c r="L47" s="34">
        <f>K47-($J$47-$O$47)/($O$43-$K$43)</f>
        <v>8.4999999999999992E-2</v>
      </c>
      <c r="M47" s="34">
        <f>L47-($J$47-$O$47)/($O$43-$K$43)</f>
        <v>7.7499999999999986E-2</v>
      </c>
      <c r="N47" s="34">
        <f>M47-($J$47-$O$47)/($O$43-$K$43)</f>
        <v>6.9999999999999979E-2</v>
      </c>
      <c r="O47" s="35">
        <f>J10</f>
        <v>7.0000000000000007E-2</v>
      </c>
    </row>
    <row r="48" spans="1:15" x14ac:dyDescent="0.2">
      <c r="B48" s="12" t="s">
        <v>320</v>
      </c>
      <c r="E48" s="26"/>
      <c r="F48" s="26"/>
      <c r="G48" s="26"/>
      <c r="H48" s="26"/>
      <c r="I48" s="26"/>
      <c r="J48" s="31">
        <f>M9</f>
        <v>0.11</v>
      </c>
      <c r="K48" s="36">
        <f>J48-(J47-K47)</f>
        <v>0.10249999999999999</v>
      </c>
      <c r="L48" s="34">
        <f>K48-($K$48-$O$48)/($O$43-$K$43)</f>
        <v>9.6874999999999989E-2</v>
      </c>
      <c r="M48" s="34">
        <f>L48-($K$48-$O$48)/($O$43-$K$43)</f>
        <v>9.1249999999999998E-2</v>
      </c>
      <c r="N48" s="34">
        <f>M48-($K$48-$O$48)/($O$43-$K$43)</f>
        <v>8.5625000000000007E-2</v>
      </c>
      <c r="O48" s="35">
        <f>M10</f>
        <v>0.08</v>
      </c>
    </row>
    <row r="50" spans="2:15" x14ac:dyDescent="0.2">
      <c r="B50" s="12" t="s">
        <v>299</v>
      </c>
      <c r="E50" s="30">
        <f>E25</f>
        <v>9768078</v>
      </c>
      <c r="F50" s="30">
        <f t="shared" ref="F50:I50" si="16">F25</f>
        <v>10610934</v>
      </c>
      <c r="G50" s="30">
        <f t="shared" si="16"/>
        <v>10033372</v>
      </c>
      <c r="H50" s="30">
        <f t="shared" si="16"/>
        <v>17548648</v>
      </c>
      <c r="I50" s="30">
        <f t="shared" si="16"/>
        <v>39582601</v>
      </c>
      <c r="J50" s="30">
        <f ca="1">J51*J44</f>
        <v>41487974</v>
      </c>
      <c r="K50" s="30">
        <f t="shared" ref="K50:O50" ca="1" si="17">K51*K44</f>
        <v>42062167.560160004</v>
      </c>
      <c r="L50" s="30">
        <f t="shared" ca="1" si="17"/>
        <v>42096615.0249722</v>
      </c>
      <c r="M50" s="30">
        <f t="shared" ca="1" si="17"/>
        <v>41543851.061326534</v>
      </c>
      <c r="N50" s="30">
        <f t="shared" ca="1" si="17"/>
        <v>40369601.393572718</v>
      </c>
      <c r="O50" s="30">
        <f t="shared" ca="1" si="17"/>
        <v>38827391.902132854</v>
      </c>
    </row>
    <row r="51" spans="2:15" x14ac:dyDescent="0.2">
      <c r="B51" s="12" t="s">
        <v>317</v>
      </c>
      <c r="E51" s="25">
        <f>E50/E44</f>
        <v>0.20847538735924448</v>
      </c>
      <c r="F51" s="25">
        <f t="shared" ref="F51:I51" si="18">F50/F44</f>
        <v>0.18753719484321998</v>
      </c>
      <c r="G51" s="25">
        <f t="shared" si="18"/>
        <v>0.15512827278099769</v>
      </c>
      <c r="H51" s="25">
        <f t="shared" si="18"/>
        <v>0.1922527626878468</v>
      </c>
      <c r="I51" s="25">
        <f t="shared" si="18"/>
        <v>0.26237037448490497</v>
      </c>
      <c r="J51" s="25">
        <f ca="1">OFFSET(J51,$D$10,0)</f>
        <v>0.25</v>
      </c>
      <c r="K51" s="25">
        <f t="shared" ref="K51:O51" ca="1" si="19">OFFSET(K51,$D$10,0)</f>
        <v>0.23200000000000001</v>
      </c>
      <c r="L51" s="25">
        <f t="shared" ca="1" si="19"/>
        <v>0.21400000000000002</v>
      </c>
      <c r="M51" s="25">
        <f t="shared" ca="1" si="19"/>
        <v>0.19600000000000004</v>
      </c>
      <c r="N51" s="25">
        <f t="shared" ca="1" si="19"/>
        <v>0.17800000000000005</v>
      </c>
      <c r="O51" s="25">
        <f t="shared" ca="1" si="19"/>
        <v>0.16</v>
      </c>
    </row>
    <row r="52" spans="2:15" x14ac:dyDescent="0.2">
      <c r="B52" s="12" t="s">
        <v>318</v>
      </c>
      <c r="J52" s="31">
        <f>G11</f>
        <v>0.23</v>
      </c>
      <c r="K52" s="37">
        <f>J52+($O$52-$J$52)/($O$43-$J$43)</f>
        <v>0.214</v>
      </c>
      <c r="L52" s="37">
        <f>K52+($O$52-$J$52)/($O$43-$J$43)</f>
        <v>0.19799999999999998</v>
      </c>
      <c r="M52" s="37">
        <f>L52+($O$52-$J$52)/($O$43-$J$43)</f>
        <v>0.18199999999999997</v>
      </c>
      <c r="N52" s="37">
        <f>M52+($O$52-$J$52)/($O$43-$J$43)</f>
        <v>0.16599999999999995</v>
      </c>
      <c r="O52" s="33">
        <f>G12</f>
        <v>0.15</v>
      </c>
    </row>
    <row r="53" spans="2:15" x14ac:dyDescent="0.2">
      <c r="B53" s="12" t="s">
        <v>319</v>
      </c>
      <c r="J53" s="31">
        <f>J11</f>
        <v>0.25</v>
      </c>
      <c r="K53" s="37">
        <f>J53+($O$53-$J$53)/($O$43-$J$43)</f>
        <v>0.23200000000000001</v>
      </c>
      <c r="L53" s="37">
        <f>K53+($O$53-$J$53)/($O$43-$J$43)</f>
        <v>0.21400000000000002</v>
      </c>
      <c r="M53" s="37">
        <f>L53+($O$53-$J$53)/($O$43-$J$43)</f>
        <v>0.19600000000000004</v>
      </c>
      <c r="N53" s="37">
        <f>M53+($O$53-$J$53)/($O$43-$J$43)</f>
        <v>0.17800000000000005</v>
      </c>
      <c r="O53" s="35">
        <f>J12</f>
        <v>0.16</v>
      </c>
    </row>
    <row r="54" spans="2:15" x14ac:dyDescent="0.2">
      <c r="B54" s="12" t="s">
        <v>320</v>
      </c>
      <c r="J54" s="31">
        <f>M11</f>
        <v>0.27</v>
      </c>
      <c r="K54" s="36">
        <f>J54+($O$54-$J$54)/($O$43-$J$43)</f>
        <v>0.25</v>
      </c>
      <c r="L54" s="36">
        <f>K54+($O$54-$J$54)/($O$43-$J$43)</f>
        <v>0.23</v>
      </c>
      <c r="M54" s="36">
        <f>L54+($O$54-$J$54)/($O$43-$J$43)</f>
        <v>0.21000000000000002</v>
      </c>
      <c r="N54" s="36">
        <f>M54+($O$54-$J$54)/($O$43-$J$43)</f>
        <v>0.19000000000000003</v>
      </c>
      <c r="O54" s="35">
        <f>M12</f>
        <v>0.17</v>
      </c>
    </row>
    <row r="56" spans="2:15" x14ac:dyDescent="0.2">
      <c r="B56" s="12" t="s">
        <v>301</v>
      </c>
      <c r="E56" s="30">
        <f>E28</f>
        <v>1317629</v>
      </c>
      <c r="F56" s="30">
        <f t="shared" ref="F56:I56" si="20">F28</f>
        <v>1506320</v>
      </c>
      <c r="G56" s="30">
        <f t="shared" si="20"/>
        <v>1603308</v>
      </c>
      <c r="H56" s="30">
        <f t="shared" si="20"/>
        <v>1784568</v>
      </c>
      <c r="I56" s="30">
        <f t="shared" si="20"/>
        <v>2855306</v>
      </c>
      <c r="J56" s="30">
        <f ca="1">J57*J50</f>
        <v>6223196.0999999996</v>
      </c>
      <c r="K56" s="30">
        <f t="shared" ref="K56:O56" ca="1" si="21">K57*K50</f>
        <v>6309325.1340240007</v>
      </c>
      <c r="L56" s="30">
        <f t="shared" ca="1" si="21"/>
        <v>6314492.2537458297</v>
      </c>
      <c r="M56" s="30">
        <f t="shared" ca="1" si="21"/>
        <v>6231577.6591989798</v>
      </c>
      <c r="N56" s="30">
        <f t="shared" ca="1" si="21"/>
        <v>6055440.2090359079</v>
      </c>
      <c r="O56" s="30">
        <f t="shared" ca="1" si="21"/>
        <v>5824108.7853199281</v>
      </c>
    </row>
    <row r="57" spans="2:15" x14ac:dyDescent="0.2">
      <c r="B57" s="12" t="s">
        <v>321</v>
      </c>
      <c r="E57" s="25">
        <f>E56/E50</f>
        <v>0.13489132662536069</v>
      </c>
      <c r="F57" s="25">
        <f t="shared" ref="F57:I57" si="22">F56/F50</f>
        <v>0.14195922809434117</v>
      </c>
      <c r="G57" s="25">
        <f t="shared" si="22"/>
        <v>0.15979752370389536</v>
      </c>
      <c r="H57" s="25">
        <f t="shared" si="22"/>
        <v>0.10169262042295224</v>
      </c>
      <c r="I57" s="25">
        <f t="shared" si="22"/>
        <v>7.2135380896268031E-2</v>
      </c>
      <c r="J57" s="25">
        <f>J13</f>
        <v>0.15</v>
      </c>
      <c r="K57" s="25">
        <f>J57</f>
        <v>0.15</v>
      </c>
      <c r="L57" s="25">
        <f t="shared" ref="L57:O57" si="23">K57</f>
        <v>0.15</v>
      </c>
      <c r="M57" s="25">
        <f t="shared" si="23"/>
        <v>0.15</v>
      </c>
      <c r="N57" s="25">
        <f t="shared" si="23"/>
        <v>0.15</v>
      </c>
      <c r="O57" s="25">
        <f t="shared" si="23"/>
        <v>0.15</v>
      </c>
    </row>
    <row r="59" spans="2:15" ht="15" x14ac:dyDescent="0.25">
      <c r="B59" s="38" t="s">
        <v>314</v>
      </c>
      <c r="C59" s="38"/>
      <c r="D59" s="38"/>
      <c r="E59" s="39">
        <f t="shared" ref="E59:I59" si="24">E50-E56</f>
        <v>8450449</v>
      </c>
      <c r="F59" s="39">
        <f t="shared" si="24"/>
        <v>9104614</v>
      </c>
      <c r="G59" s="39">
        <f t="shared" si="24"/>
        <v>8430064</v>
      </c>
      <c r="H59" s="39">
        <f t="shared" si="24"/>
        <v>15764080</v>
      </c>
      <c r="I59" s="39">
        <f t="shared" si="24"/>
        <v>36727295</v>
      </c>
      <c r="J59" s="39">
        <f t="shared" ref="J59:O59" ca="1" si="25">J50-J56</f>
        <v>35264777.899999999</v>
      </c>
      <c r="K59" s="39">
        <f t="shared" ca="1" si="25"/>
        <v>35752842.426136002</v>
      </c>
      <c r="L59" s="39">
        <f t="shared" ca="1" si="25"/>
        <v>35782122.771226369</v>
      </c>
      <c r="M59" s="39">
        <f t="shared" ca="1" si="25"/>
        <v>35312273.402127557</v>
      </c>
      <c r="N59" s="39">
        <f t="shared" ca="1" si="25"/>
        <v>34314161.184536807</v>
      </c>
      <c r="O59" s="39">
        <f t="shared" ca="1" si="25"/>
        <v>33003283.116812926</v>
      </c>
    </row>
    <row r="61" spans="2:15" x14ac:dyDescent="0.2">
      <c r="B61" s="12" t="s">
        <v>307</v>
      </c>
      <c r="E61" s="30">
        <f>E32</f>
        <v>2004657</v>
      </c>
      <c r="F61" s="30">
        <f>F32</f>
        <v>2285645</v>
      </c>
      <c r="G61" s="30">
        <f>G32</f>
        <v>2593233</v>
      </c>
      <c r="H61" s="30">
        <f>H32</f>
        <v>4775782</v>
      </c>
      <c r="I61" s="30">
        <f>I32</f>
        <v>6082504</v>
      </c>
      <c r="J61" s="30">
        <f t="shared" ref="J61:O61" ca="1" si="26">J62*J44</f>
        <v>7166251.3182108598</v>
      </c>
      <c r="K61" s="30">
        <f t="shared" ca="1" si="26"/>
        <v>7829129.565145364</v>
      </c>
      <c r="L61" s="30">
        <f t="shared" ca="1" si="26"/>
        <v>8494605.5781827196</v>
      </c>
      <c r="M61" s="30">
        <f t="shared" ca="1" si="26"/>
        <v>9152937.5104918797</v>
      </c>
      <c r="N61" s="30">
        <f t="shared" ca="1" si="26"/>
        <v>9793643.1362263113</v>
      </c>
      <c r="O61" s="30">
        <f t="shared" ca="1" si="26"/>
        <v>10479198.155762153</v>
      </c>
    </row>
    <row r="62" spans="2:15" x14ac:dyDescent="0.2">
      <c r="B62" s="12" t="s">
        <v>311</v>
      </c>
      <c r="E62" s="25">
        <f>E61/E44</f>
        <v>4.2784429505724766E-2</v>
      </c>
      <c r="F62" s="25">
        <f>F61/F44</f>
        <v>4.0396392222157969E-2</v>
      </c>
      <c r="G62" s="25">
        <f>G61/G44</f>
        <v>4.0094572015139572E-2</v>
      </c>
      <c r="H62" s="25">
        <f>H61/H44</f>
        <v>5.2320684960738301E-2</v>
      </c>
      <c r="I62" s="25">
        <f>I61/I44</f>
        <v>4.0317432709536506E-2</v>
      </c>
      <c r="J62" s="25">
        <f>$J$14</f>
        <v>4.3182702282659427E-2</v>
      </c>
      <c r="K62" s="25">
        <f>J62</f>
        <v>4.3182702282659427E-2</v>
      </c>
      <c r="L62" s="25">
        <f t="shared" ref="L62:O62" si="27">K62</f>
        <v>4.3182702282659427E-2</v>
      </c>
      <c r="M62" s="25">
        <f t="shared" si="27"/>
        <v>4.3182702282659427E-2</v>
      </c>
      <c r="N62" s="25">
        <f t="shared" si="27"/>
        <v>4.3182702282659427E-2</v>
      </c>
      <c r="O62" s="25">
        <f t="shared" si="27"/>
        <v>4.3182702282659427E-2</v>
      </c>
    </row>
    <row r="64" spans="2:15" x14ac:dyDescent="0.2">
      <c r="B64" s="12" t="s">
        <v>310</v>
      </c>
      <c r="E64" s="30">
        <f>E36</f>
        <v>8868044</v>
      </c>
      <c r="F64" s="30">
        <f>F36</f>
        <v>27529296</v>
      </c>
      <c r="G64" s="30">
        <f>G36</f>
        <v>20798434</v>
      </c>
      <c r="H64" s="30">
        <f>H36</f>
        <v>11881228</v>
      </c>
      <c r="I64" s="30">
        <f>I36</f>
        <v>11572121</v>
      </c>
      <c r="J64" s="30">
        <f t="shared" ref="J64:O64" ca="1" si="28">J65*J44</f>
        <v>24892784.399999999</v>
      </c>
      <c r="K64" s="30">
        <f t="shared" ca="1" si="28"/>
        <v>25382342.493199997</v>
      </c>
      <c r="L64" s="30">
        <f t="shared" ca="1" si="28"/>
        <v>25572710.061898995</v>
      </c>
      <c r="M64" s="30">
        <f t="shared" ca="1" si="28"/>
        <v>25435010.85387338</v>
      </c>
      <c r="N64" s="30">
        <f t="shared" ca="1" si="28"/>
        <v>24947506.479174145</v>
      </c>
      <c r="O64" s="30">
        <f t="shared" ca="1" si="28"/>
        <v>24267119.938833036</v>
      </c>
    </row>
    <row r="65" spans="2:15" x14ac:dyDescent="0.2">
      <c r="B65" s="12" t="s">
        <v>311</v>
      </c>
      <c r="E65" s="25">
        <f>E64/E44</f>
        <v>0.18926639488534222</v>
      </c>
      <c r="F65" s="25">
        <f>F64/F44</f>
        <v>0.48655160307741774</v>
      </c>
      <c r="G65" s="25">
        <f>G64/G44</f>
        <v>0.3215693729854307</v>
      </c>
      <c r="H65" s="25">
        <f>H64/H44</f>
        <v>0.13016381131607407</v>
      </c>
      <c r="I65" s="25">
        <f>I64/I44</f>
        <v>7.6704957320885322E-2</v>
      </c>
      <c r="J65" s="25">
        <f t="shared" ref="J65:O65" ca="1" si="29">OFFSET(J65,$D$11,0)</f>
        <v>0.15</v>
      </c>
      <c r="K65" s="25">
        <f t="shared" ca="1" si="29"/>
        <v>0.13999999999999999</v>
      </c>
      <c r="L65" s="25">
        <f t="shared" ca="1" si="29"/>
        <v>0.12999999999999998</v>
      </c>
      <c r="M65" s="25">
        <f t="shared" ca="1" si="29"/>
        <v>0.11999999999999998</v>
      </c>
      <c r="N65" s="25">
        <f t="shared" ca="1" si="29"/>
        <v>0.10999999999999999</v>
      </c>
      <c r="O65" s="25">
        <f t="shared" ca="1" si="29"/>
        <v>0.1</v>
      </c>
    </row>
    <row r="66" spans="2:15" x14ac:dyDescent="0.2">
      <c r="B66" s="12" t="s">
        <v>318</v>
      </c>
      <c r="J66" s="34">
        <f>G15</f>
        <v>0.16</v>
      </c>
      <c r="K66" s="32">
        <f>J66-($J$66-$O$66)/($O$43-$J$43)</f>
        <v>0.15</v>
      </c>
      <c r="L66" s="32">
        <f>K66-($J$66-$O$66)/($O$43-$J$43)</f>
        <v>0.13999999999999999</v>
      </c>
      <c r="M66" s="32">
        <f>L66-($J$66-$O$66)/($O$43-$J$43)</f>
        <v>0.12999999999999998</v>
      </c>
      <c r="N66" s="32">
        <f>M66-($J$66-$O$66)/($O$43-$J$43)</f>
        <v>0.11999999999999998</v>
      </c>
      <c r="O66" s="33">
        <f>G16</f>
        <v>0.11</v>
      </c>
    </row>
    <row r="67" spans="2:15" x14ac:dyDescent="0.2">
      <c r="B67" s="12" t="s">
        <v>319</v>
      </c>
      <c r="J67" s="34">
        <f>J15</f>
        <v>0.15</v>
      </c>
      <c r="K67" s="36">
        <f>J67-($J$67-$O$67)/($O$43-$J$43)</f>
        <v>0.13999999999999999</v>
      </c>
      <c r="L67" s="36">
        <f>K67-($J$67-$O$67)/($O$43-$J$43)</f>
        <v>0.12999999999999998</v>
      </c>
      <c r="M67" s="36">
        <f>L67-($J$67-$O$67)/($O$43-$J$43)</f>
        <v>0.11999999999999998</v>
      </c>
      <c r="N67" s="36">
        <f>M67-($J$67-$O$67)/($O$43-$J$43)</f>
        <v>0.10999999999999999</v>
      </c>
      <c r="O67" s="35">
        <f>J16</f>
        <v>0.1</v>
      </c>
    </row>
    <row r="68" spans="2:15" x14ac:dyDescent="0.2">
      <c r="B68" s="12" t="s">
        <v>320</v>
      </c>
      <c r="J68" s="34">
        <f>M15</f>
        <v>0.13999999999999999</v>
      </c>
      <c r="K68" s="36">
        <f>J68-($J$68-$O$68)/($O$43-$J$43)</f>
        <v>0.13</v>
      </c>
      <c r="L68" s="36">
        <f>K68-($J$68-$O$68)/($O$43-$J$43)</f>
        <v>0.12000000000000001</v>
      </c>
      <c r="M68" s="36">
        <f>L68-($J$68-$O$68)/($O$43-$J$43)</f>
        <v>0.11000000000000001</v>
      </c>
      <c r="N68" s="36">
        <f>M68-($J$68-$O$68)/($O$43-$J$43)</f>
        <v>0.10000000000000002</v>
      </c>
      <c r="O68" s="35">
        <f>M16</f>
        <v>9.0000000000000011E-2</v>
      </c>
    </row>
    <row r="70" spans="2:15" x14ac:dyDescent="0.2">
      <c r="B70" s="12" t="s">
        <v>312</v>
      </c>
      <c r="E70" s="30">
        <f>E39</f>
        <v>0</v>
      </c>
      <c r="F70" s="30">
        <f>F39</f>
        <v>-2765963</v>
      </c>
      <c r="G70" s="30">
        <f>G39</f>
        <v>-1871436</v>
      </c>
      <c r="H70" s="30">
        <f>H39</f>
        <v>-6272350</v>
      </c>
      <c r="I70" s="30">
        <f>I39</f>
        <v>-11552456</v>
      </c>
      <c r="J70" s="30">
        <f t="shared" ref="J70:O70" ca="1" si="30">J71*J44</f>
        <v>-3319037.92</v>
      </c>
      <c r="K70" s="30">
        <f t="shared" ca="1" si="30"/>
        <v>-3626048.9276000001</v>
      </c>
      <c r="L70" s="30">
        <f t="shared" ca="1" si="30"/>
        <v>-3934263.0864459998</v>
      </c>
      <c r="M70" s="30">
        <f t="shared" ca="1" si="30"/>
        <v>-4239168.4756455645</v>
      </c>
      <c r="N70" s="30">
        <f t="shared" ca="1" si="30"/>
        <v>-4535910.2689407542</v>
      </c>
      <c r="O70" s="30">
        <f t="shared" ca="1" si="30"/>
        <v>-4853423.9877666067</v>
      </c>
    </row>
    <row r="71" spans="2:15" x14ac:dyDescent="0.2">
      <c r="B71" s="12" t="s">
        <v>311</v>
      </c>
      <c r="E71" s="25">
        <f>E70/E44</f>
        <v>0</v>
      </c>
      <c r="F71" s="25">
        <f>F70/F44</f>
        <v>-4.8885512063324234E-2</v>
      </c>
      <c r="G71" s="25">
        <f>G70/G44</f>
        <v>-2.89347025406991E-2</v>
      </c>
      <c r="H71" s="25">
        <f>H70/H44</f>
        <v>-6.8716211986536838E-2</v>
      </c>
      <c r="I71" s="25">
        <f>I70/I44</f>
        <v>-7.657460930726577E-2</v>
      </c>
      <c r="J71" s="40">
        <f>J17</f>
        <v>-0.02</v>
      </c>
      <c r="K71" s="40">
        <f>J71</f>
        <v>-0.02</v>
      </c>
      <c r="L71" s="40">
        <f t="shared" ref="L71:O71" si="31">K71</f>
        <v>-0.02</v>
      </c>
      <c r="M71" s="40">
        <f t="shared" si="31"/>
        <v>-0.02</v>
      </c>
      <c r="N71" s="40">
        <f t="shared" si="31"/>
        <v>-0.02</v>
      </c>
      <c r="O71" s="40">
        <f t="shared" si="31"/>
        <v>-0.02</v>
      </c>
    </row>
    <row r="72" spans="2:15" x14ac:dyDescent="0.2">
      <c r="B72" s="12" t="s">
        <v>313</v>
      </c>
      <c r="E72" s="25"/>
      <c r="F72" s="25">
        <f t="shared" ref="F72:O72" si="32">F70/(F44-E44)</f>
        <v>-0.28440030114343612</v>
      </c>
      <c r="G72" s="25">
        <f t="shared" si="32"/>
        <v>-0.23111329779883452</v>
      </c>
      <c r="H72" s="25">
        <f t="shared" si="32"/>
        <v>-0.23579257050498034</v>
      </c>
      <c r="I72" s="25">
        <f t="shared" si="32"/>
        <v>-0.19387766164709153</v>
      </c>
      <c r="J72" s="25">
        <f t="shared" ca="1" si="32"/>
        <v>-0.22</v>
      </c>
      <c r="K72" s="25">
        <f t="shared" ca="1" si="32"/>
        <v>-0.2362162162162163</v>
      </c>
      <c r="L72" s="25">
        <f t="shared" ca="1" si="32"/>
        <v>-0.25529411764705895</v>
      </c>
      <c r="M72" s="25">
        <f t="shared" ca="1" si="32"/>
        <v>-0.27806451612903271</v>
      </c>
      <c r="N72" s="25">
        <f t="shared" ca="1" si="32"/>
        <v>-0.30571428571428549</v>
      </c>
      <c r="O72" s="25">
        <f t="shared" ca="1" si="32"/>
        <v>-0.30571428571428561</v>
      </c>
    </row>
    <row r="74" spans="2:15" ht="15" x14ac:dyDescent="0.25">
      <c r="B74" s="38" t="s">
        <v>315</v>
      </c>
      <c r="C74" s="38"/>
      <c r="D74" s="38"/>
      <c r="E74" s="39">
        <f t="shared" ref="E74:I74" si="33">E59+E61-E64-E70</f>
        <v>1587062</v>
      </c>
      <c r="F74" s="39">
        <f t="shared" si="33"/>
        <v>-13373074</v>
      </c>
      <c r="G74" s="39">
        <f t="shared" si="33"/>
        <v>-7903701</v>
      </c>
      <c r="H74" s="39">
        <f t="shared" si="33"/>
        <v>14930984</v>
      </c>
      <c r="I74" s="39">
        <f t="shared" si="33"/>
        <v>42790134</v>
      </c>
      <c r="J74" s="39">
        <f t="shared" ref="J74:O74" ca="1" si="34">J59+J61-J64-J70</f>
        <v>20857282.738210864</v>
      </c>
      <c r="K74" s="39">
        <f t="shared" ca="1" si="34"/>
        <v>21825678.425681371</v>
      </c>
      <c r="L74" s="39">
        <f t="shared" ca="1" si="34"/>
        <v>22638281.373956092</v>
      </c>
      <c r="M74" s="39">
        <f t="shared" ca="1" si="34"/>
        <v>23269368.534391619</v>
      </c>
      <c r="N74" s="39">
        <f t="shared" ca="1" si="34"/>
        <v>23696208.110529728</v>
      </c>
      <c r="O74" s="39">
        <f t="shared" ca="1" si="34"/>
        <v>24068785.321508653</v>
      </c>
    </row>
    <row r="75" spans="2:15" x14ac:dyDescent="0.2">
      <c r="B75" s="12" t="s">
        <v>316</v>
      </c>
      <c r="J75" s="28" cm="1">
        <f t="array" aca="1" ref="J75" ca="1">J74/(1+wacc)^J42</f>
        <v>19182803.03781826</v>
      </c>
      <c r="K75" s="28" cm="1">
        <f t="array" aca="1" ref="K75" ca="1">K74/(1+wacc)^K42</f>
        <v>18461901.543963011</v>
      </c>
      <c r="L75" s="28" cm="1">
        <f t="array" aca="1" ref="L75" ca="1">L74/(1+wacc)^L42</f>
        <v>17611910.556538936</v>
      </c>
      <c r="M75" s="28" cm="1">
        <f t="array" aca="1" ref="M75" ca="1">M74/(1+wacc)^M42</f>
        <v>16649529.099324606</v>
      </c>
      <c r="N75" s="28" cm="1">
        <f t="array" aca="1" ref="N75" ca="1">N74/(1+wacc)^N42</f>
        <v>15593749.432143267</v>
      </c>
      <c r="O75" s="28" cm="1">
        <f t="array" aca="1" ref="O75" ca="1">O74/(1+wacc)^O42</f>
        <v>14567338.387725018</v>
      </c>
    </row>
    <row r="76" spans="2:15" x14ac:dyDescent="0.2">
      <c r="B76" s="12" t="s">
        <v>334</v>
      </c>
      <c r="O76" s="28">
        <f ca="1">O75*(1+tgr)/(wacc-tgr)</f>
        <v>220813457.38201812</v>
      </c>
    </row>
    <row r="77" spans="2:15" x14ac:dyDescent="0.2">
      <c r="B77" s="12" t="s">
        <v>335</v>
      </c>
      <c r="O77" s="28">
        <f ca="1">O76/(1+wacc)^O42</f>
        <v>133644648.50549971</v>
      </c>
    </row>
    <row r="78" spans="2:15" x14ac:dyDescent="0.2">
      <c r="O78" s="28"/>
    </row>
    <row r="79" spans="2:15" x14ac:dyDescent="0.2">
      <c r="B79" s="12" t="s">
        <v>336</v>
      </c>
      <c r="O79" s="28">
        <f ca="1">SUM(J75:O75,O77)</f>
        <v>235711880.56301284</v>
      </c>
    </row>
    <row r="80" spans="2:15" x14ac:dyDescent="0.2">
      <c r="B80" s="41" t="s">
        <v>337</v>
      </c>
      <c r="O80" s="28">
        <f>CĐKT!F4+CĐKT!F7</f>
        <v>40707529</v>
      </c>
    </row>
    <row r="81" spans="1:15" x14ac:dyDescent="0.2">
      <c r="B81" s="41" t="s">
        <v>338</v>
      </c>
      <c r="O81" s="28">
        <f>WACC!B1</f>
        <v>57212575</v>
      </c>
    </row>
    <row r="82" spans="1:15" ht="15" x14ac:dyDescent="0.25">
      <c r="B82" s="42" t="s">
        <v>339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3">
        <f ca="1">O79+O80-O81</f>
        <v>219206834.56301284</v>
      </c>
    </row>
    <row r="83" spans="1:15" ht="15" x14ac:dyDescent="0.25">
      <c r="B83" s="42" t="s">
        <v>340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3">
        <f>4472922706/1000</f>
        <v>4472922.7060000002</v>
      </c>
    </row>
    <row r="84" spans="1:15" ht="15" x14ac:dyDescent="0.25">
      <c r="B84" s="42" t="s">
        <v>341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4">
        <f ca="1">O82/O83</f>
        <v>49.007516778451752</v>
      </c>
    </row>
    <row r="86" spans="1:15" ht="15" x14ac:dyDescent="0.25">
      <c r="A86" s="12" t="s">
        <v>292</v>
      </c>
      <c r="B86" s="22" t="s">
        <v>354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8" spans="1:15" x14ac:dyDescent="0.2">
      <c r="B88" s="50"/>
      <c r="C88" s="51"/>
      <c r="D88" s="51"/>
      <c r="E88" s="51"/>
      <c r="F88" s="51" t="s">
        <v>355</v>
      </c>
      <c r="G88" s="51"/>
      <c r="H88" s="52"/>
    </row>
    <row r="89" spans="1:15" x14ac:dyDescent="0.2">
      <c r="B89" s="53"/>
      <c r="C89" s="54">
        <f ca="1">O84</f>
        <v>49.007516778451752</v>
      </c>
      <c r="D89" s="55">
        <f>E89-0.5%</f>
        <v>9.9999999999999985E-3</v>
      </c>
      <c r="E89" s="55">
        <f>F89-0.5%</f>
        <v>1.4999999999999999E-2</v>
      </c>
      <c r="F89" s="55">
        <v>0.02</v>
      </c>
      <c r="G89" s="55">
        <f>F89+0.5%</f>
        <v>2.5000000000000001E-2</v>
      </c>
      <c r="H89" s="58">
        <f>G89+0.5%</f>
        <v>3.0000000000000002E-2</v>
      </c>
    </row>
    <row r="90" spans="1:15" x14ac:dyDescent="0.2">
      <c r="B90" s="53"/>
      <c r="C90" s="55">
        <f>C91-0.5%</f>
        <v>7.7290668474853247E-2</v>
      </c>
      <c r="D90" s="61">
        <f t="dataTable" ref="D90:H94" dt2D="1" dtr="1" r1="J19" r2="J18" ca="1"/>
        <v>52.90181684164871</v>
      </c>
      <c r="E90" s="61">
        <v>55.73186008796629</v>
      </c>
      <c r="F90" s="61">
        <v>59.055883125697832</v>
      </c>
      <c r="G90" s="61">
        <v>63.015588042181818</v>
      </c>
      <c r="H90" s="62">
        <v>67.8126050636088</v>
      </c>
    </row>
    <row r="91" spans="1:15" x14ac:dyDescent="0.2">
      <c r="B91" s="53"/>
      <c r="C91" s="55">
        <f>C92-0.5%</f>
        <v>8.2290668474853251E-2</v>
      </c>
      <c r="D91" s="61">
        <v>48.589138711588973</v>
      </c>
      <c r="E91" s="61">
        <v>50.906600847742652</v>
      </c>
      <c r="F91" s="61">
        <v>53.596103000947863</v>
      </c>
      <c r="G91" s="61">
        <v>56.75505370918011</v>
      </c>
      <c r="H91" s="62">
        <v>60.518118076764672</v>
      </c>
    </row>
    <row r="92" spans="1:15" x14ac:dyDescent="0.2">
      <c r="B92" s="53" t="s">
        <v>325</v>
      </c>
      <c r="C92" s="55">
        <f>WACC!B13</f>
        <v>8.7290668474853256E-2</v>
      </c>
      <c r="D92" s="61">
        <v>44.886744595327734</v>
      </c>
      <c r="E92" s="61">
        <v>46.804623629268683</v>
      </c>
      <c r="F92" s="61">
        <v>49.007516778451752</v>
      </c>
      <c r="G92" s="61">
        <v>51.564057304219361</v>
      </c>
      <c r="H92" s="62">
        <v>54.566838132958807</v>
      </c>
    </row>
    <row r="93" spans="1:15" x14ac:dyDescent="0.2">
      <c r="B93" s="53"/>
      <c r="C93" s="55">
        <f>C92+0.5%</f>
        <v>9.229066847485326E-2</v>
      </c>
      <c r="D93" s="61">
        <v>41.679384211291698</v>
      </c>
      <c r="E93" s="61">
        <v>43.281281522595712</v>
      </c>
      <c r="F93" s="61">
        <v>45.104769994294273</v>
      </c>
      <c r="G93" s="61">
        <v>47.199245292699722</v>
      </c>
      <c r="H93" s="62">
        <v>49.629962816415535</v>
      </c>
    </row>
    <row r="94" spans="1:15" x14ac:dyDescent="0.2">
      <c r="B94" s="56"/>
      <c r="C94" s="57">
        <f>C93+0.5%</f>
        <v>9.7290668474853265E-2</v>
      </c>
      <c r="D94" s="63">
        <v>38.878497363117177</v>
      </c>
      <c r="E94" s="63">
        <v>40.227385172020355</v>
      </c>
      <c r="F94" s="63">
        <v>41.750794412232167</v>
      </c>
      <c r="G94" s="63">
        <v>43.484937523405712</v>
      </c>
      <c r="H94" s="64">
        <v>45.476789935211578</v>
      </c>
    </row>
  </sheetData>
  <pageMargins left="0.7" right="0.7" top="0.75" bottom="0.75" header="0.3" footer="0.3"/>
  <ignoredErrors>
    <ignoredError sqref="F39:I39" formulaRange="1"/>
    <ignoredError sqref="M11 G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1854-15D7-45D0-8CBC-C4779F18D893}">
  <dimension ref="A1:B13"/>
  <sheetViews>
    <sheetView showGridLines="0" topLeftCell="A4" zoomScale="130" zoomScaleNormal="130" workbookViewId="0">
      <selection activeCell="B10" sqref="B10"/>
    </sheetView>
  </sheetViews>
  <sheetFormatPr defaultRowHeight="14.25" x14ac:dyDescent="0.2"/>
  <cols>
    <col min="1" max="1" width="13.140625" style="12" bestFit="1" customWidth="1"/>
    <col min="2" max="2" width="24.28515625" style="12" bestFit="1" customWidth="1"/>
    <col min="3" max="16384" width="9.140625" style="12"/>
  </cols>
  <sheetData>
    <row r="1" spans="1:2" x14ac:dyDescent="0.2">
      <c r="A1" s="12" t="s">
        <v>344</v>
      </c>
      <c r="B1" s="16">
        <f>CĐKT!F80+CĐKT!F93</f>
        <v>57212575</v>
      </c>
    </row>
    <row r="2" spans="1:2" x14ac:dyDescent="0.2">
      <c r="A2" s="12" t="s">
        <v>345</v>
      </c>
      <c r="B2" s="29">
        <f>B1/(B1+B6)</f>
        <v>0.31048964661860867</v>
      </c>
    </row>
    <row r="3" spans="1:2" x14ac:dyDescent="0.2">
      <c r="A3" s="12" t="s">
        <v>346</v>
      </c>
      <c r="B3" s="48">
        <f>KQKD!F9/WACC!B1</f>
        <v>4.4148039133005287E-2</v>
      </c>
    </row>
    <row r="4" spans="1:2" x14ac:dyDescent="0.2">
      <c r="A4" s="12" t="s">
        <v>349</v>
      </c>
      <c r="B4" s="40">
        <v>0.15</v>
      </c>
    </row>
    <row r="6" spans="1:2" x14ac:dyDescent="0.2">
      <c r="A6" s="12" t="s">
        <v>347</v>
      </c>
      <c r="B6" s="28">
        <v>127053070</v>
      </c>
    </row>
    <row r="7" spans="1:2" x14ac:dyDescent="0.2">
      <c r="A7" s="12" t="s">
        <v>348</v>
      </c>
      <c r="B7" s="29">
        <f>B6/(B6+B1)</f>
        <v>0.68951035338139133</v>
      </c>
    </row>
    <row r="8" spans="1:2" x14ac:dyDescent="0.2">
      <c r="A8" s="12" t="s">
        <v>351</v>
      </c>
      <c r="B8" s="12">
        <v>1.07</v>
      </c>
    </row>
    <row r="9" spans="1:2" x14ac:dyDescent="0.2">
      <c r="A9" s="12" t="s">
        <v>352</v>
      </c>
      <c r="B9" s="40">
        <v>0.08</v>
      </c>
    </row>
    <row r="10" spans="1:2" x14ac:dyDescent="0.2">
      <c r="A10" s="12" t="s">
        <v>353</v>
      </c>
      <c r="B10" s="48">
        <v>2.41E-2</v>
      </c>
    </row>
    <row r="11" spans="1:2" x14ac:dyDescent="0.2">
      <c r="A11" s="12" t="s">
        <v>350</v>
      </c>
      <c r="B11" s="48">
        <f>B10+B8*B9</f>
        <v>0.10970000000000001</v>
      </c>
    </row>
    <row r="13" spans="1:2" x14ac:dyDescent="0.2">
      <c r="A13" s="12" t="s">
        <v>325</v>
      </c>
      <c r="B13" s="26">
        <f>B3*B2*(1-B4)+B7*B11</f>
        <v>8.7290668474853256E-2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CSTC</vt:lpstr>
      <vt:lpstr>CĐKT</vt:lpstr>
      <vt:lpstr>LCTT</vt:lpstr>
      <vt:lpstr>KQKD</vt:lpstr>
      <vt:lpstr>DCF</vt:lpstr>
      <vt:lpstr>WACC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2022-06-29T03:23:34Z</dcterms:created>
  <dcterms:modified xsi:type="dcterms:W3CDTF">2022-07-04T03:48:02Z</dcterms:modified>
</cp:coreProperties>
</file>