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Valuation\"/>
    </mc:Choice>
  </mc:AlternateContent>
  <xr:revisionPtr revIDLastSave="0" documentId="13_ncr:1_{C3B8EB82-3547-489C-8CDB-887B60DA67CF}" xr6:coauthVersionLast="47" xr6:coauthVersionMax="47" xr10:uidLastSave="{00000000-0000-0000-0000-000000000000}"/>
  <bookViews>
    <workbookView xWindow="-120" yWindow="-120" windowWidth="29040" windowHeight="17520" activeTab="4" xr2:uid="{A113AAE8-6214-4B6D-AB8C-F5D663DFCC07}"/>
  </bookViews>
  <sheets>
    <sheet name="CSTC" sheetId="1" r:id="rId1"/>
    <sheet name="CĐKT" sheetId="2" r:id="rId2"/>
    <sheet name="LCTT" sheetId="4" r:id="rId3"/>
    <sheet name="KQKD" sheetId="3" r:id="rId4"/>
    <sheet name="DCF" sheetId="5" r:id="rId5"/>
    <sheet name="WACC" sheetId="6" r:id="rId6"/>
    <sheet name="DDM" sheetId="11" r:id="rId7"/>
  </sheets>
  <definedNames>
    <definedName name="re">DDM!$I$8</definedName>
    <definedName name="tgr">DCF!$D$18</definedName>
    <definedName name="tgr_d">DDM!$C$7</definedName>
    <definedName name="wacc">DCF!$D$17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5" l="1"/>
  <c r="D17" i="5"/>
  <c r="J67" i="5"/>
  <c r="J68" i="5"/>
  <c r="J66" i="5"/>
  <c r="J18" i="5"/>
  <c r="F39" i="5"/>
  <c r="G39" i="5"/>
  <c r="H39" i="5"/>
  <c r="I39" i="5"/>
  <c r="C91" i="5"/>
  <c r="J12" i="11"/>
  <c r="J11" i="11"/>
  <c r="O14" i="11"/>
  <c r="K14" i="11"/>
  <c r="K12" i="11"/>
  <c r="K11" i="11"/>
  <c r="L14" i="11"/>
  <c r="L12" i="11"/>
  <c r="L11" i="11"/>
  <c r="M14" i="11"/>
  <c r="M12" i="11"/>
  <c r="M11" i="11"/>
  <c r="N14" i="11"/>
  <c r="N12" i="11"/>
  <c r="N11" i="11"/>
  <c r="O12" i="11"/>
  <c r="O11" i="11"/>
  <c r="I7" i="11"/>
  <c r="C7" i="11"/>
  <c r="O17" i="11"/>
  <c r="O18" i="11"/>
  <c r="J16" i="11"/>
  <c r="K16" i="11"/>
  <c r="L16" i="11"/>
  <c r="M16" i="11"/>
  <c r="N16" i="11"/>
  <c r="O16" i="11"/>
  <c r="O19" i="11"/>
  <c r="I8" i="11"/>
  <c r="N5" i="11"/>
  <c r="J14" i="11"/>
  <c r="E10" i="11"/>
  <c r="F10" i="11"/>
  <c r="G10" i="11"/>
  <c r="H10" i="11"/>
  <c r="I10" i="11"/>
  <c r="J10" i="11"/>
  <c r="J9" i="11"/>
  <c r="K10" i="11"/>
  <c r="L10" i="11"/>
  <c r="M10" i="11"/>
  <c r="N10" i="11"/>
  <c r="O10" i="11"/>
  <c r="K9" i="11"/>
  <c r="L9" i="11"/>
  <c r="M9" i="11"/>
  <c r="N9" i="11"/>
  <c r="O9" i="11"/>
  <c r="O15" i="11"/>
  <c r="J15" i="11"/>
  <c r="K15" i="11"/>
  <c r="L15" i="11"/>
  <c r="M15" i="11"/>
  <c r="N15" i="11"/>
  <c r="O13" i="11"/>
  <c r="J13" i="11"/>
  <c r="K13" i="11"/>
  <c r="L13" i="11"/>
  <c r="M13" i="11"/>
  <c r="N13" i="11"/>
  <c r="I12" i="11"/>
  <c r="H12" i="11"/>
  <c r="G12" i="11"/>
  <c r="F12" i="11"/>
  <c r="E12" i="11"/>
  <c r="L7" i="11"/>
  <c r="F7" i="11"/>
  <c r="O79" i="5"/>
  <c r="O80" i="5"/>
  <c r="E25" i="5"/>
  <c r="E22" i="5"/>
  <c r="E26" i="5"/>
  <c r="F25" i="5"/>
  <c r="F22" i="5"/>
  <c r="F26" i="5"/>
  <c r="G25" i="5"/>
  <c r="G22" i="5"/>
  <c r="G26" i="5"/>
  <c r="H25" i="5"/>
  <c r="H22" i="5"/>
  <c r="H26" i="5"/>
  <c r="I25" i="5"/>
  <c r="I22" i="5"/>
  <c r="I26" i="5"/>
  <c r="J11" i="5"/>
  <c r="M11" i="5"/>
  <c r="J54" i="5"/>
  <c r="J53" i="5"/>
  <c r="J51" i="5"/>
  <c r="J47" i="5"/>
  <c r="J45" i="5"/>
  <c r="I44" i="5"/>
  <c r="J44" i="5"/>
  <c r="J50" i="5"/>
  <c r="J57" i="5"/>
  <c r="J56" i="5"/>
  <c r="J59" i="5"/>
  <c r="E32" i="5"/>
  <c r="E61" i="5"/>
  <c r="E44" i="5"/>
  <c r="E62" i="5"/>
  <c r="F32" i="5"/>
  <c r="F61" i="5"/>
  <c r="F44" i="5"/>
  <c r="F62" i="5"/>
  <c r="G32" i="5"/>
  <c r="G61" i="5"/>
  <c r="G44" i="5"/>
  <c r="G62" i="5"/>
  <c r="H32" i="5"/>
  <c r="H61" i="5"/>
  <c r="H44" i="5"/>
  <c r="H62" i="5"/>
  <c r="I32" i="5"/>
  <c r="I61" i="5"/>
  <c r="I62" i="5"/>
  <c r="J14" i="5"/>
  <c r="J62" i="5"/>
  <c r="J61" i="5"/>
  <c r="J65" i="5"/>
  <c r="J64" i="5"/>
  <c r="I70" i="5"/>
  <c r="I71" i="5"/>
  <c r="H70" i="5"/>
  <c r="H71" i="5"/>
  <c r="F70" i="5"/>
  <c r="F71" i="5"/>
  <c r="G70" i="5"/>
  <c r="G71" i="5"/>
  <c r="J17" i="5"/>
  <c r="J71" i="5"/>
  <c r="J70" i="5"/>
  <c r="J73" i="5"/>
  <c r="F43" i="5"/>
  <c r="G43" i="5"/>
  <c r="H43" i="5"/>
  <c r="I43" i="5"/>
  <c r="J43" i="5"/>
  <c r="J42" i="5"/>
  <c r="J74" i="5" a="1"/>
  <c r="J74" i="5"/>
  <c r="K43" i="5"/>
  <c r="L43" i="5"/>
  <c r="M43" i="5"/>
  <c r="N43" i="5"/>
  <c r="O43" i="5"/>
  <c r="O54" i="5"/>
  <c r="K54" i="5"/>
  <c r="O53" i="5"/>
  <c r="K53" i="5"/>
  <c r="K51" i="5"/>
  <c r="O47" i="5"/>
  <c r="K47" i="5"/>
  <c r="K45" i="5"/>
  <c r="K44" i="5"/>
  <c r="K50" i="5"/>
  <c r="K57" i="5"/>
  <c r="K56" i="5"/>
  <c r="K59" i="5"/>
  <c r="K62" i="5"/>
  <c r="K61" i="5"/>
  <c r="O68" i="5"/>
  <c r="K68" i="5"/>
  <c r="O67" i="5"/>
  <c r="K67" i="5"/>
  <c r="K65" i="5"/>
  <c r="K64" i="5"/>
  <c r="K71" i="5"/>
  <c r="K70" i="5"/>
  <c r="K73" i="5"/>
  <c r="K42" i="5"/>
  <c r="K74" i="5" a="1"/>
  <c r="K74" i="5"/>
  <c r="L54" i="5"/>
  <c r="L53" i="5"/>
  <c r="L51" i="5"/>
  <c r="L47" i="5"/>
  <c r="L45" i="5"/>
  <c r="L44" i="5"/>
  <c r="L50" i="5"/>
  <c r="L57" i="5"/>
  <c r="L56" i="5"/>
  <c r="L59" i="5"/>
  <c r="L62" i="5"/>
  <c r="L61" i="5"/>
  <c r="L68" i="5"/>
  <c r="L67" i="5"/>
  <c r="L65" i="5"/>
  <c r="L64" i="5"/>
  <c r="L71" i="5"/>
  <c r="L70" i="5"/>
  <c r="L73" i="5"/>
  <c r="L42" i="5"/>
  <c r="L74" i="5" a="1"/>
  <c r="M54" i="5"/>
  <c r="M53" i="5"/>
  <c r="M51" i="5"/>
  <c r="M47" i="5"/>
  <c r="M45" i="5"/>
  <c r="M44" i="5"/>
  <c r="M50" i="5"/>
  <c r="M57" i="5"/>
  <c r="M56" i="5"/>
  <c r="M59" i="5"/>
  <c r="M62" i="5"/>
  <c r="M61" i="5"/>
  <c r="M68" i="5"/>
  <c r="M67" i="5"/>
  <c r="M65" i="5"/>
  <c r="M64" i="5"/>
  <c r="M71" i="5"/>
  <c r="M70" i="5"/>
  <c r="M73" i="5"/>
  <c r="M42" i="5"/>
  <c r="M74" i="5" a="1"/>
  <c r="N54" i="5"/>
  <c r="N53" i="5"/>
  <c r="N51" i="5"/>
  <c r="N47" i="5"/>
  <c r="N45" i="5"/>
  <c r="N44" i="5"/>
  <c r="N50" i="5"/>
  <c r="N57" i="5"/>
  <c r="N56" i="5"/>
  <c r="N59" i="5"/>
  <c r="N62" i="5"/>
  <c r="N61" i="5"/>
  <c r="N68" i="5"/>
  <c r="N67" i="5"/>
  <c r="N65" i="5"/>
  <c r="N64" i="5"/>
  <c r="N71" i="5"/>
  <c r="N70" i="5"/>
  <c r="N73" i="5"/>
  <c r="N42" i="5"/>
  <c r="N74" i="5" a="1"/>
  <c r="O51" i="5"/>
  <c r="O45" i="5"/>
  <c r="O44" i="5"/>
  <c r="O50" i="5"/>
  <c r="O57" i="5"/>
  <c r="O56" i="5"/>
  <c r="O59" i="5"/>
  <c r="O62" i="5"/>
  <c r="O61" i="5"/>
  <c r="O65" i="5"/>
  <c r="O64" i="5"/>
  <c r="O71" i="5"/>
  <c r="O70" i="5"/>
  <c r="O73" i="5"/>
  <c r="O42" i="5"/>
  <c r="O74" i="5" a="1"/>
  <c r="O74" i="5"/>
  <c r="O75" i="5"/>
  <c r="O76" i="5"/>
  <c r="L74" i="5"/>
  <c r="M74" i="5"/>
  <c r="N74" i="5"/>
  <c r="O78" i="5"/>
  <c r="O81" i="5"/>
  <c r="O82" i="5"/>
  <c r="B11" i="6"/>
  <c r="G11" i="5"/>
  <c r="B1" i="6"/>
  <c r="G18" i="5"/>
  <c r="M18" i="5"/>
  <c r="G19" i="5"/>
  <c r="M19" i="5"/>
  <c r="C90" i="5"/>
  <c r="C89" i="5"/>
  <c r="C92" i="5"/>
  <c r="C93" i="5"/>
  <c r="J48" i="5"/>
  <c r="K48" i="5"/>
  <c r="O48" i="5"/>
  <c r="L48" i="5"/>
  <c r="M48" i="5"/>
  <c r="N48" i="5"/>
  <c r="O83" i="5"/>
  <c r="C88" i="5"/>
  <c r="G88" i="5"/>
  <c r="H88" i="5"/>
  <c r="E88" i="5"/>
  <c r="D88" i="5"/>
  <c r="B3" i="6"/>
  <c r="B2" i="6"/>
  <c r="B7" i="6"/>
  <c r="B13" i="6"/>
  <c r="J26" i="5"/>
  <c r="J52" i="5"/>
  <c r="O52" i="5"/>
  <c r="K52" i="5"/>
  <c r="L52" i="5"/>
  <c r="M52" i="5"/>
  <c r="N52" i="5"/>
  <c r="O66" i="5"/>
  <c r="K66" i="5"/>
  <c r="L66" i="5"/>
  <c r="M66" i="5"/>
  <c r="N66" i="5"/>
  <c r="J46" i="5"/>
  <c r="O46" i="5"/>
  <c r="E70" i="5"/>
  <c r="E71" i="5"/>
  <c r="I36" i="5"/>
  <c r="I64" i="5"/>
  <c r="I65" i="5"/>
  <c r="H36" i="5"/>
  <c r="H64" i="5"/>
  <c r="H65" i="5"/>
  <c r="G36" i="5"/>
  <c r="G64" i="5"/>
  <c r="G65" i="5"/>
  <c r="F36" i="5"/>
  <c r="F64" i="5"/>
  <c r="F65" i="5"/>
  <c r="E36" i="5"/>
  <c r="E64" i="5"/>
  <c r="E65" i="5"/>
  <c r="F23" i="5"/>
  <c r="G23" i="5"/>
  <c r="H23" i="5"/>
  <c r="I23" i="5"/>
  <c r="J23" i="5"/>
  <c r="L23" i="5"/>
  <c r="K23" i="5"/>
  <c r="F28" i="5"/>
  <c r="F29" i="5"/>
  <c r="G28" i="5"/>
  <c r="G29" i="5"/>
  <c r="H28" i="5"/>
  <c r="H29" i="5"/>
  <c r="I28" i="5"/>
  <c r="I29" i="5"/>
  <c r="J29" i="5"/>
  <c r="O29" i="5"/>
  <c r="J22" i="5"/>
  <c r="K22" i="5"/>
  <c r="L22" i="5"/>
  <c r="M23" i="5"/>
  <c r="M22" i="5"/>
  <c r="N23" i="5"/>
  <c r="N22" i="5"/>
  <c r="O23" i="5"/>
  <c r="O22" i="5"/>
  <c r="O26" i="5"/>
  <c r="O25" i="5"/>
  <c r="O28" i="5"/>
  <c r="I56" i="5"/>
  <c r="I50" i="5"/>
  <c r="I57" i="5"/>
  <c r="H56" i="5"/>
  <c r="H50" i="5"/>
  <c r="H57" i="5"/>
  <c r="G56" i="5"/>
  <c r="G50" i="5"/>
  <c r="G57" i="5"/>
  <c r="F56" i="5"/>
  <c r="F50" i="5"/>
  <c r="F57" i="5"/>
  <c r="E28" i="5"/>
  <c r="E56" i="5"/>
  <c r="E50" i="5"/>
  <c r="E57" i="5"/>
  <c r="N26" i="5"/>
  <c r="N25" i="5"/>
  <c r="M26" i="5"/>
  <c r="M25" i="5"/>
  <c r="L26" i="5"/>
  <c r="L25" i="5"/>
  <c r="K26" i="5"/>
  <c r="K25" i="5"/>
  <c r="J25" i="5"/>
  <c r="F51" i="5"/>
  <c r="G51" i="5"/>
  <c r="H51" i="5"/>
  <c r="I51" i="5"/>
  <c r="E51" i="5"/>
  <c r="F31" i="5"/>
  <c r="G31" i="5"/>
  <c r="H31" i="5"/>
  <c r="I31" i="5"/>
  <c r="J31" i="5"/>
  <c r="K31" i="5"/>
  <c r="L31" i="5"/>
  <c r="M31" i="5"/>
  <c r="N31" i="5"/>
  <c r="O31" i="5"/>
  <c r="F21" i="5"/>
  <c r="G21" i="5"/>
  <c r="H21" i="5"/>
  <c r="I21" i="5"/>
  <c r="J21" i="5"/>
  <c r="K21" i="5"/>
  <c r="L21" i="5"/>
  <c r="M21" i="5"/>
  <c r="N21" i="5"/>
  <c r="O21" i="5"/>
  <c r="G45" i="5"/>
  <c r="H45" i="5"/>
  <c r="I45" i="5"/>
  <c r="F45" i="5"/>
  <c r="G41" i="5"/>
  <c r="H41" i="5"/>
  <c r="I41" i="5"/>
  <c r="F41" i="5"/>
  <c r="F40" i="5"/>
  <c r="G40" i="5"/>
  <c r="H40" i="5"/>
  <c r="I40" i="5"/>
  <c r="F37" i="5"/>
  <c r="G37" i="5"/>
  <c r="H37" i="5"/>
  <c r="I37" i="5"/>
  <c r="E37" i="5"/>
  <c r="I34" i="5"/>
  <c r="H34" i="5"/>
  <c r="G34" i="5"/>
  <c r="F34" i="5"/>
  <c r="E34" i="5"/>
  <c r="F33" i="5"/>
  <c r="G33" i="5"/>
  <c r="H33" i="5"/>
  <c r="I33" i="5"/>
  <c r="E33" i="5"/>
  <c r="N29" i="5"/>
  <c r="N28" i="5"/>
  <c r="M29" i="5"/>
  <c r="M28" i="5"/>
  <c r="L29" i="5"/>
  <c r="L28" i="5"/>
  <c r="K29" i="5"/>
  <c r="K28" i="5"/>
  <c r="J28" i="5"/>
  <c r="E29" i="5"/>
  <c r="K46" i="5"/>
  <c r="L46" i="5"/>
  <c r="M46" i="5"/>
  <c r="N46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<sst xmlns="http://schemas.openxmlformats.org/spreadsheetml/2006/main" count="445" uniqueCount="371">
  <si>
    <t>Chỉ số tài chính - PNJ</t>
  </si>
  <si>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</si>
  <si>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</si>
  <si>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</si>
  <si>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</si>
  <si>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</si>
  <si>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</si>
  <si>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</si>
  <si>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</si>
  <si>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</si>
  <si>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</si>
  <si>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</si>
  <si>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</si>
  <si>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</si>
  <si>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</si>
  <si>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</si>
  <si>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</si>
  <si>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</si>
  <si>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</si>
  <si>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</si>
  <si>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</si>
  <si>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</si>
  <si>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</si>
  <si>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</si>
  <si>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</si>
  <si>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</si>
  <si>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</si>
  <si>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</si>
  <si>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</si>
  <si>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</si>
  <si>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</si>
  <si>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</si>
  <si>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</si>
  <si>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</si>
  <si>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</si>
  <si>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</si>
  <si>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</si>
  <si>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</si>
  <si>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</si>
  <si>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</si>
  <si>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doanh thu thuần</t>
  </si>
  <si>
    <t>Tăng trưởng lợi nhuận gộp</t>
  </si>
  <si>
    <t>Tăng trưởng lợi nhuận trước thuế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</si>
  <si>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</si>
  <si>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</si>
  <si>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</si>
  <si>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</si>
  <si>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</si>
  <si>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</si>
  <si>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</si>
  <si>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</si>
  <si>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</si>
  <si>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</si>
  <si>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</si>
  <si>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</si>
  <si>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</si>
  <si>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</si>
  <si>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</si>
  <si>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</si>
  <si>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</si>
  <si>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</si>
  <si>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</si>
  <si>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</si>
  <si>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</si>
  <si>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</si>
  <si>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</si>
  <si>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</si>
  <si>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</si>
  <si>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</si>
  <si>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</si>
  <si>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</si>
  <si>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</si>
  <si>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</si>
  <si>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</si>
  <si>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</si>
  <si>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</si>
  <si>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</si>
  <si>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</si>
  <si>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</si>
  <si>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</si>
  <si>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</si>
  <si>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</si>
  <si>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</si>
  <si>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</si>
  <si>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</si>
  <si>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</si>
  <si>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</si>
  <si>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</si>
  <si>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</si>
  <si>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</si>
  <si>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</si>
  <si>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</si>
  <si>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</si>
  <si>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</si>
  <si>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</si>
  <si>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</si>
  <si>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</si>
  <si>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</si>
  <si>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</si>
  <si>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</si>
  <si>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</si>
  <si>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</si>
  <si>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</si>
  <si>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</t>
  </si>
  <si>
    <t>   A. TÀI SẢN NGẮN HẠN</t>
  </si>
  <si>
    <t>    I. Tiền và các khoản tương đương tiền</t>
  </si>
  <si>
    <t>    II. Đầu tư tài chính ngắn hạn</t>
  </si>
  <si>
    <t>    III. Các khoản phải thu ngắn hạn</t>
  </si>
  <si>
    <t>    IV. Hàng tồn kho</t>
  </si>
  <si>
    <t>    V. Tài sản ngắn hạn khác</t>
  </si>
  <si>
    <t>   B. TÀI SẢN DÀI HẠN</t>
  </si>
  <si>
    <t>    I. Các khoản phải thu dài hạn</t>
  </si>
  <si>
    <t>    II. Tài sản cố định</t>
  </si>
  <si>
    <t>    III. Bất động sản đầu tư</t>
  </si>
  <si>
    <t>    IV. Tài sản dở dang dài hạn</t>
  </si>
  <si>
    <t>    V. Đầu tư tài chính dài hạn</t>
  </si>
  <si>
    <t>    VI.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</si>
  <si>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</si>
  <si>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</si>
  <si>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</si>
  <si>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</si>
  <si>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</si>
  <si>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II. Nợ dài hạn</t>
  </si>
  <si>
    <t>   B. VỐN CHỦ SỞ HỮU</t>
  </si>
  <si>
    <t>    I. Vốn chủ sở hữu</t>
  </si>
  <si>
    <t>    II. Nguồn kinh phí và quỹ khác</t>
  </si>
  <si>
    <t>  C. LỢI ÍCH CỔ ĐÔNG THIỂU SỐ</t>
  </si>
  <si>
    <t> TỔNG CỘNG NGUỒN VỐN</t>
  </si>
  <si>
    <t>    1. Tiền</t>
  </si>
  <si>
    <t>    2. Các khoản tương đương tiền</t>
  </si>
  <si>
    <t>    1. Chứng khoán kinh doanh</t>
  </si>
  <si>
    <t>    2. Dự phòng giảm giá chứng khoán kinh doanh (*)</t>
  </si>
  <si>
    <t>    3. Đầu tư nắm giữ đến ngày đáo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</si>
  <si>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</si>
  <si>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</si>
  <si>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</si>
  <si>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</si>
  <si>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</si>
  <si>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</si>
  <si>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</si>
  <si>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</si>
  <si>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1. Hàng tồn kho</t>
  </si>
  <si>
    <t>    2. Dự phòng giảm giá hàng tồn kho (*)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</si>
  <si>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</si>
  <si>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</si>
  <si>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</si>
  <si>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</si>
  <si>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</si>
  <si>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 1. Phải thu dài hạn của khách hàng</t>
  </si>
  <si>
    <t>    2. Trả trước cho người bán dài hạn</t>
  </si>
  <si>
    <t>    3. Vốn kinh doanh ở các đơn vị trực thuộc</t>
  </si>
  <si>
    <t>    4. Phải thu nội bộ dài hạn</t>
  </si>
  <si>
    <t>    5. Phải thu về cho vay dài hạn</t>
  </si>
  <si>
    <t>    6. Phải thu dài hạn khác</t>
  </si>
  <si>
    <t>    7. Dự phòng phải thu dài hạn khó đòi (*)</t>
  </si>
  <si>
    <t>     1. Tài sản cố định hữu hình</t>
  </si>
  <si>
    <t>     2. Tài sản cố định thuê tài chính</t>
  </si>
  <si>
    <t>     3. Tài sản cố định vô hình</t>
  </si>
  <si>
    <t>     - Nguyên giá</t>
  </si>
  <si>
    <t>     - Giá trị hao mòn lũy kế (*)</t>
  </si>
  <si>
    <t>    1. Chi phí sản xuất, kinh doanh dở dang dài hạn</t>
  </si>
  <si>
    <t>    2. Chi phí xây dựng cơ bản dở dang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</si>
  <si>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</si>
  <si>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</si>
  <si>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</si>
  <si>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</si>
  <si>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</si>
  <si>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</si>
  <si>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</si>
  <si>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</si>
  <si>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</si>
  <si>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</si>
  <si>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</si>
  <si>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</si>
  <si>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</si>
  <si>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</si>
  <si>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</si>
  <si>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</si>
  <si>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</si>
  <si>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</si>
  <si>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</si>
  <si>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</si>
  <si>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</si>
  <si>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</si>
  <si>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</si>
  <si>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</si>
  <si>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</si>
  <si>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</si>
  <si>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</si>
  <si>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</si>
  <si>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</si>
  <si>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</si>
  <si>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</si>
  <si>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</si>
  <si>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</si>
  <si>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</si>
  <si>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</si>
  <si>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</si>
  <si>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</si>
  <si>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</si>
  <si>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  1. Vốn góp của chủ sở hữu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</si>
  <si>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</si>
  <si>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</si>
  <si>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</si>
  <si>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</si>
  <si>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</si>
  <si>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</si>
  <si>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</si>
  <si>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</si>
  <si>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</si>
  <si>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</si>
  <si>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12. Nguồn vốn đầu tư XDCB</t>
  </si>
  <si>
    <t>    13. Lợi ích cổ đông không kiểm soát</t>
  </si>
  <si>
    <t>    14. Quỹ dự phòng tài chính</t>
  </si>
  <si>
    <t>    1. Nguồn kinh phí</t>
  </si>
  <si>
    <t>    2. Nguồn kinh phí đã hình thành TSCĐ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</si>
  <si>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</si>
  <si>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</si>
  <si>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</si>
  <si>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</si>
  <si>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</si>
  <si>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</si>
  <si>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</si>
  <si>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</si>
  <si>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</si>
  <si>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</si>
  <si>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</si>
  <si>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</si>
  <si>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</si>
  <si>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</si>
  <si>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</si>
  <si>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</si>
  <si>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</si>
  <si>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</si>
  <si>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</si>
  <si>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</si>
  <si>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</si>
  <si>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</si>
  <si>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</si>
  <si>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</si>
  <si>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LƯU CHUYỂN TIỀN TỆ GIÁN TIẾP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</si>
  <si>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</si>
  <si>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</si>
  <si>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</si>
  <si>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</si>
  <si>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</si>
  <si>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</si>
  <si>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</si>
  <si>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</si>
  <si>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</si>
  <si>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</si>
  <si>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</si>
  <si>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</si>
  <si>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</si>
  <si>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</si>
  <si>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</si>
  <si>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</si>
  <si>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</si>
  <si>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</si>
  <si>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</si>
  <si>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</si>
  <si>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</si>
  <si>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</si>
  <si>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</si>
  <si>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</si>
  <si>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</si>
  <si>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</si>
  <si>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</si>
  <si>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</si>
  <si>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</si>
  <si>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</si>
  <si>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</si>
  <si>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</si>
  <si>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</si>
  <si>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</si>
  <si>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</si>
  <si>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</si>
  <si>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</si>
  <si>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</si>
  <si>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</si>
  <si>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</si>
  <si>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</si>
  <si>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</si>
  <si>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</si>
  <si>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</si>
  <si>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</si>
  <si>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</si>
  <si>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</si>
  <si>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</si>
  <si>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</si>
  <si>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</si>
  <si>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Ticker</t>
  </si>
  <si>
    <t>Date</t>
  </si>
  <si>
    <t>x</t>
  </si>
  <si>
    <t>Assumptions</t>
  </si>
  <si>
    <t>Income Statement</t>
  </si>
  <si>
    <t>Cash Flow Items</t>
  </si>
  <si>
    <t>DCF</t>
  </si>
  <si>
    <t>Revenue</t>
  </si>
  <si>
    <t>% growth</t>
  </si>
  <si>
    <t>EBIT</t>
  </si>
  <si>
    <t>%Sales</t>
  </si>
  <si>
    <t>Taxes</t>
  </si>
  <si>
    <t>% of EBIT</t>
  </si>
  <si>
    <t>      - Nguyên giá</t>
  </si>
  <si>
    <t>      - Giá trị hao mòn lũy kế (*)</t>
  </si>
  <si>
    <t>     - Cổ phiếu phổ thông có quyền biểu quyết</t>
  </si>
  <si>
    <t>     - Cổ phiếu ưu đãi</t>
  </si>
  <si>
    <t>     - LNST chưa phân phối lũy kế đến cuối kỳ trước</t>
  </si>
  <si>
    <t>     - LNST chưa phân phối kỳ này</t>
  </si>
  <si>
    <t>D&amp;A</t>
  </si>
  <si>
    <t>% of sales</t>
  </si>
  <si>
    <t>% of CapEx</t>
  </si>
  <si>
    <t>CapEx</t>
  </si>
  <si>
    <t>% of Sales</t>
  </si>
  <si>
    <t>Change in NWC</t>
  </si>
  <si>
    <t>% of change in sales</t>
  </si>
  <si>
    <t>EBIAT</t>
  </si>
  <si>
    <t>Unlevered FCF</t>
  </si>
  <si>
    <t>Present Value of FCF</t>
  </si>
  <si>
    <t>% margin</t>
  </si>
  <si>
    <t>Conservative Case</t>
  </si>
  <si>
    <t>Base Case</t>
  </si>
  <si>
    <t>Optimistic Case</t>
  </si>
  <si>
    <t>% EBIT</t>
  </si>
  <si>
    <t>Switches</t>
  </si>
  <si>
    <t>Revenue Growth</t>
  </si>
  <si>
    <t>EBIT Margin</t>
  </si>
  <si>
    <t>WACC</t>
  </si>
  <si>
    <t>TGR</t>
  </si>
  <si>
    <t>Valuation Assumption</t>
  </si>
  <si>
    <t>Revenue 2027</t>
  </si>
  <si>
    <t>Revenue 2022</t>
  </si>
  <si>
    <t>EBIT 2022</t>
  </si>
  <si>
    <t>EBIT 2027</t>
  </si>
  <si>
    <t>NWC</t>
  </si>
  <si>
    <t>CapEx 2027</t>
  </si>
  <si>
    <t>Terminal Value</t>
  </si>
  <si>
    <t>Present Value of Terminal Value</t>
  </si>
  <si>
    <t>Enterprise Value</t>
  </si>
  <si>
    <t>+ Cash</t>
  </si>
  <si>
    <t>- Dept</t>
  </si>
  <si>
    <t>Equity Value</t>
  </si>
  <si>
    <t>Number of Shares</t>
  </si>
  <si>
    <t>Share price</t>
  </si>
  <si>
    <t>Implied Share Price</t>
  </si>
  <si>
    <t>Current Share Price</t>
  </si>
  <si>
    <t>debt</t>
  </si>
  <si>
    <t>% debt</t>
  </si>
  <si>
    <t>cost of debt</t>
  </si>
  <si>
    <t>equity</t>
  </si>
  <si>
    <t>% equity</t>
  </si>
  <si>
    <t>taxes</t>
  </si>
  <si>
    <t>cost of equity</t>
  </si>
  <si>
    <t>beta</t>
  </si>
  <si>
    <t>MRP</t>
  </si>
  <si>
    <t>risk free rate</t>
  </si>
  <si>
    <t>Sensitivity Analysis</t>
  </si>
  <si>
    <t>Terminal Growth Rate</t>
  </si>
  <si>
    <t>VNM</t>
  </si>
  <si>
    <t>Growth</t>
  </si>
  <si>
    <t>Growth 2022</t>
  </si>
  <si>
    <t>Growth 2027</t>
  </si>
  <si>
    <t>Cost of equity</t>
  </si>
  <si>
    <t>Dividends</t>
  </si>
  <si>
    <t>Present Value of Dividends</t>
  </si>
  <si>
    <t>Terminal Dividends</t>
  </si>
  <si>
    <t>Present Value of TD</t>
  </si>
  <si>
    <t>Price</t>
  </si>
  <si>
    <t>VNM DCF</t>
  </si>
  <si>
    <t>CapEx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</si>
</sst>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15096"/>
      <name val="Arial"/>
      <family val="2"/>
    </font>
    <font>
      <b/>
      <sz val="11"/>
      <color rgb="FF275F8F"/>
      <name val="Arial"/>
      <family val="2"/>
    </font>
    <font>
      <sz val="11"/>
      <color rgb="FF333333"/>
      <name val="Arial"/>
      <family val="2"/>
    </font>
    <font>
      <b/>
      <sz val="11"/>
      <color rgb="FF005288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8"/>
      <color theme="1"/>
      <name val="Arial"/>
      <family val="2"/>
    </font>
    <font>
      <sz val="11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EA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2" fontId="0" fillId="0" borderId="0" xfId="0" applyNumberFormat="1"/>
    <xf numFmtId="3" fontId="6" fillId="2" borderId="2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0" fontId="7" fillId="4" borderId="0" xfId="0" applyFont="1" applyFill="1" applyAlignment="1">
      <alignment horizontal="center"/>
    </xf>
    <xf numFmtId="2" fontId="7" fillId="0" borderId="0" xfId="0" applyNumberFormat="1" applyFont="1"/>
    <xf numFmtId="14" fontId="7" fillId="4" borderId="0" xfId="0" applyNumberFormat="1" applyFont="1" applyFill="1" applyAlignment="1">
      <alignment horizontal="center"/>
    </xf>
    <xf numFmtId="0" fontId="9" fillId="5" borderId="0" xfId="0" applyFont="1" applyFill="1"/>
    <xf numFmtId="3" fontId="10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7" fillId="0" borderId="0" xfId="1" applyNumberFormat="1" applyFont="1"/>
    <xf numFmtId="164" fontId="7" fillId="0" borderId="0" xfId="0" applyNumberFormat="1" applyFont="1"/>
    <xf numFmtId="3" fontId="10" fillId="0" borderId="0" xfId="0" applyNumberFormat="1" applyFont="1"/>
    <xf numFmtId="3" fontId="7" fillId="0" borderId="0" xfId="0" applyNumberFormat="1" applyFont="1"/>
    <xf numFmtId="9" fontId="7" fillId="0" borderId="0" xfId="1" applyFont="1"/>
    <xf numFmtId="3" fontId="11" fillId="0" borderId="0" xfId="0" applyNumberFormat="1" applyFont="1"/>
    <xf numFmtId="164" fontId="11" fillId="4" borderId="3" xfId="0" applyNumberFormat="1" applyFont="1" applyFill="1" applyBorder="1"/>
    <xf numFmtId="164" fontId="7" fillId="4" borderId="5" xfId="0" applyNumberFormat="1" applyFont="1" applyFill="1" applyBorder="1"/>
    <xf numFmtId="164" fontId="11" fillId="4" borderId="5" xfId="0" applyNumberFormat="1" applyFont="1" applyFill="1" applyBorder="1"/>
    <xf numFmtId="164" fontId="7" fillId="4" borderId="3" xfId="0" applyNumberFormat="1" applyFont="1" applyFill="1" applyBorder="1"/>
    <xf numFmtId="164" fontId="11" fillId="4" borderId="4" xfId="0" applyNumberFormat="1" applyFont="1" applyFill="1" applyBorder="1"/>
    <xf numFmtId="164" fontId="7" fillId="4" borderId="4" xfId="0" applyNumberFormat="1" applyFont="1" applyFill="1" applyBorder="1"/>
    <xf numFmtId="164" fontId="7" fillId="4" borderId="5" xfId="1" applyNumberFormat="1" applyFont="1" applyFill="1" applyBorder="1"/>
    <xf numFmtId="0" fontId="8" fillId="6" borderId="0" xfId="0" applyFont="1" applyFill="1"/>
    <xf numFmtId="3" fontId="8" fillId="6" borderId="0" xfId="0" applyNumberFormat="1" applyFont="1" applyFill="1"/>
    <xf numFmtId="9" fontId="7" fillId="0" borderId="0" xfId="0" applyNumberFormat="1" applyFont="1"/>
    <xf numFmtId="0" fontId="7" fillId="0" borderId="0" xfId="0" quotePrefix="1" applyFont="1"/>
    <xf numFmtId="0" fontId="8" fillId="7" borderId="0" xfId="0" applyFont="1" applyFill="1"/>
    <xf numFmtId="3" fontId="8" fillId="7" borderId="0" xfId="0" applyNumberFormat="1" applyFont="1" applyFill="1"/>
    <xf numFmtId="2" fontId="8" fillId="7" borderId="0" xfId="0" applyNumberFormat="1" applyFont="1" applyFill="1"/>
    <xf numFmtId="0" fontId="12" fillId="0" borderId="0" xfId="0" applyFont="1"/>
    <xf numFmtId="164" fontId="7" fillId="0" borderId="0" xfId="0" applyNumberFormat="1" applyFont="1" applyAlignment="1">
      <alignment horizontal="center"/>
    </xf>
    <xf numFmtId="164" fontId="7" fillId="4" borderId="0" xfId="1" applyNumberFormat="1" applyFont="1" applyFill="1" applyAlignment="1">
      <alignment horizontal="center"/>
    </xf>
    <xf numFmtId="10" fontId="7" fillId="0" borderId="0" xfId="0" applyNumberFormat="1" applyFont="1"/>
    <xf numFmtId="3" fontId="0" fillId="0" borderId="0" xfId="0" applyNumberFormat="1"/>
    <xf numFmtId="0" fontId="7" fillId="8" borderId="6" xfId="0" applyFont="1" applyFill="1" applyBorder="1"/>
    <xf numFmtId="0" fontId="7" fillId="8" borderId="7" xfId="0" applyFont="1" applyFill="1" applyBorder="1"/>
    <xf numFmtId="0" fontId="7" fillId="8" borderId="8" xfId="0" applyFont="1" applyFill="1" applyBorder="1"/>
    <xf numFmtId="0" fontId="7" fillId="8" borderId="9" xfId="0" applyFont="1" applyFill="1" applyBorder="1"/>
    <xf numFmtId="2" fontId="7" fillId="8" borderId="0" xfId="0" applyNumberFormat="1" applyFont="1" applyFill="1" applyBorder="1"/>
    <xf numFmtId="164" fontId="7" fillId="8" borderId="0" xfId="0" applyNumberFormat="1" applyFont="1" applyFill="1" applyBorder="1"/>
    <xf numFmtId="0" fontId="7" fillId="0" borderId="0" xfId="0" applyFont="1" applyBorder="1"/>
    <xf numFmtId="0" fontId="7" fillId="0" borderId="10" xfId="0" applyFont="1" applyBorder="1"/>
    <xf numFmtId="0" fontId="7" fillId="8" borderId="11" xfId="0" applyFont="1" applyFill="1" applyBorder="1"/>
    <xf numFmtId="164" fontId="7" fillId="8" borderId="12" xfId="0" applyNumberFormat="1" applyFont="1" applyFill="1" applyBorder="1"/>
    <xf numFmtId="0" fontId="7" fillId="0" borderId="12" xfId="0" applyFont="1" applyBorder="1"/>
    <xf numFmtId="0" fontId="7" fillId="0" borderId="13" xfId="0" applyFont="1" applyBorder="1"/>
    <xf numFmtId="164" fontId="7" fillId="8" borderId="10" xfId="0" applyNumberFormat="1" applyFont="1" applyFill="1" applyBorder="1"/>
    <xf numFmtId="0" fontId="5" fillId="9" borderId="2" xfId="0" applyFont="1" applyFill="1" applyBorder="1" applyAlignment="1">
      <alignment vertical="center"/>
    </xf>
    <xf numFmtId="3" fontId="5" fillId="9" borderId="2" xfId="0" applyNumberFormat="1" applyFont="1" applyFill="1" applyBorder="1" applyAlignment="1">
      <alignment horizontal="right" vertical="top" wrapText="1"/>
    </xf>
    <xf numFmtId="0" fontId="7" fillId="4" borderId="14" xfId="0" applyFont="1" applyFill="1" applyBorder="1"/>
    <xf numFmtId="164" fontId="7" fillId="4" borderId="14" xfId="1" applyNumberFormat="1" applyFont="1" applyFill="1" applyBorder="1"/>
    <xf numFmtId="164" fontId="13" fillId="4" borderId="0" xfId="0" applyNumberFormat="1" applyFont="1" applyFill="1" applyAlignment="1">
      <alignment horizontal="center"/>
    </xf>
    <xf numFmtId="164" fontId="13" fillId="4" borderId="0" xfId="1" applyNumberFormat="1" applyFont="1" applyFill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C76-A4DD-4585-84F6-D0923D0B1F7B}">
  <dimension ref="A1:U83"/>
  <sheetViews>
    <sheetView topLeftCell="A25" workbookViewId="0">
      <selection activeCell="U9" sqref="U9"/>
    </sheetView>
  </sheetViews>
  <sheetFormatPr defaultRowHeight="15" x14ac:dyDescent="0.25"/>
  <cols>
    <col min="1" max="1" width="76.7109375" bestFit="1" customWidth="1"/>
    <col min="2" max="18" width="9.140625" style="14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.5" thickTop="1" thickBot="1" x14ac:dyDescent="0.3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thickBot="1" x14ac:dyDescent="0.3">
      <c r="A3" s="5" t="s">
        <v>22</v>
      </c>
      <c r="B3" s="16">
        <v>5935</v>
      </c>
      <c r="C3" s="6">
        <v>0</v>
      </c>
      <c r="D3" s="16">
        <v>7094</v>
      </c>
      <c r="E3" s="16">
        <v>7776</v>
      </c>
      <c r="F3" s="16">
        <v>8016</v>
      </c>
      <c r="G3" s="16">
        <v>7461</v>
      </c>
      <c r="H3" s="16">
        <v>7004</v>
      </c>
      <c r="I3" s="16">
        <v>6991</v>
      </c>
      <c r="J3" s="16">
        <v>6235</v>
      </c>
      <c r="K3" s="16">
        <v>5857</v>
      </c>
      <c r="L3" s="16">
        <v>5996</v>
      </c>
      <c r="M3" s="16">
        <v>5520</v>
      </c>
      <c r="N3" s="18">
        <v>4586.1099999999997</v>
      </c>
      <c r="O3" s="18">
        <v>4572.21</v>
      </c>
      <c r="P3" s="18">
        <v>4747.6899999999996</v>
      </c>
      <c r="Q3" s="18">
        <v>5199.2299999999996</v>
      </c>
      <c r="R3" s="18">
        <v>6035.43</v>
      </c>
      <c r="S3" s="16">
        <v>4426</v>
      </c>
      <c r="T3" s="18">
        <v>4547.32</v>
      </c>
      <c r="U3" s="18">
        <v>5464.29</v>
      </c>
    </row>
    <row r="4" spans="1:21" ht="15.75" thickBot="1" x14ac:dyDescent="0.3">
      <c r="A4" s="5" t="s">
        <v>23</v>
      </c>
      <c r="B4" s="16">
        <v>17659</v>
      </c>
      <c r="C4" s="6">
        <v>0</v>
      </c>
      <c r="D4" s="16">
        <v>27292</v>
      </c>
      <c r="E4" s="16">
        <v>29592</v>
      </c>
      <c r="F4" s="16">
        <v>20277</v>
      </c>
      <c r="G4" s="16">
        <v>20860</v>
      </c>
      <c r="H4" s="16">
        <v>22427</v>
      </c>
      <c r="I4" s="16">
        <v>24193</v>
      </c>
      <c r="J4" s="16">
        <v>18380</v>
      </c>
      <c r="K4" s="16">
        <v>18513</v>
      </c>
      <c r="L4" s="16">
        <v>20312</v>
      </c>
      <c r="M4" s="16">
        <v>22139</v>
      </c>
      <c r="N4" s="16">
        <v>20867</v>
      </c>
      <c r="O4" s="16">
        <v>21780</v>
      </c>
      <c r="P4" s="16">
        <v>23047</v>
      </c>
      <c r="Q4" s="16">
        <v>25303</v>
      </c>
      <c r="R4" s="16">
        <v>25157</v>
      </c>
      <c r="S4" s="16">
        <v>24451</v>
      </c>
      <c r="T4" s="16">
        <v>26462</v>
      </c>
      <c r="U4" s="16">
        <v>35222</v>
      </c>
    </row>
    <row r="5" spans="1:21" ht="15.75" thickBot="1" x14ac:dyDescent="0.3">
      <c r="A5" s="5" t="s">
        <v>24</v>
      </c>
      <c r="B5" s="6">
        <v>17.149999999999999</v>
      </c>
      <c r="C5" s="6">
        <v>0</v>
      </c>
      <c r="D5" s="6">
        <v>19.309999999999999</v>
      </c>
      <c r="E5" s="6">
        <v>26.49</v>
      </c>
      <c r="F5" s="6">
        <v>10.85</v>
      </c>
      <c r="G5" s="6">
        <v>14.14</v>
      </c>
      <c r="H5" s="6">
        <v>13.31</v>
      </c>
      <c r="I5" s="6">
        <v>14.23</v>
      </c>
      <c r="J5" s="6">
        <v>11.71</v>
      </c>
      <c r="K5" s="6">
        <v>13.73</v>
      </c>
      <c r="L5" s="6">
        <v>14.34</v>
      </c>
      <c r="M5" s="6">
        <v>8.5</v>
      </c>
      <c r="N5" s="6">
        <v>408.15</v>
      </c>
      <c r="O5" s="6">
        <v>13.32</v>
      </c>
      <c r="P5" s="6">
        <v>17.059999999999999</v>
      </c>
      <c r="Q5" s="6">
        <v>16.25</v>
      </c>
      <c r="R5" s="6">
        <v>16.59</v>
      </c>
      <c r="S5" s="6">
        <v>22.3</v>
      </c>
      <c r="T5" s="6">
        <v>21.16</v>
      </c>
      <c r="U5" s="6">
        <v>20.22</v>
      </c>
    </row>
    <row r="6" spans="1:21" ht="15.75" thickBot="1" x14ac:dyDescent="0.3">
      <c r="A6" s="5" t="s">
        <v>25</v>
      </c>
      <c r="B6" s="6">
        <v>5.76</v>
      </c>
      <c r="C6" s="6">
        <v>0</v>
      </c>
      <c r="D6" s="6">
        <v>5.0199999999999996</v>
      </c>
      <c r="E6" s="6">
        <v>6.96</v>
      </c>
      <c r="F6" s="6">
        <v>4.29</v>
      </c>
      <c r="G6" s="6">
        <v>5.0599999999999996</v>
      </c>
      <c r="H6" s="6">
        <v>4.16</v>
      </c>
      <c r="I6" s="6">
        <v>4.1100000000000003</v>
      </c>
      <c r="J6" s="6">
        <v>3.97</v>
      </c>
      <c r="K6" s="6">
        <v>4.34</v>
      </c>
      <c r="L6" s="6">
        <v>4.2300000000000004</v>
      </c>
      <c r="M6" s="6">
        <v>2.12</v>
      </c>
      <c r="N6" s="6">
        <v>2.75</v>
      </c>
      <c r="O6" s="6">
        <v>2.8</v>
      </c>
      <c r="P6" s="6">
        <v>3.51</v>
      </c>
      <c r="Q6" s="6">
        <v>3.34</v>
      </c>
      <c r="R6" s="6">
        <v>3.98</v>
      </c>
      <c r="S6" s="6">
        <v>4.04</v>
      </c>
      <c r="T6" s="6">
        <v>3.64</v>
      </c>
      <c r="U6" s="6">
        <v>3.14</v>
      </c>
    </row>
    <row r="7" spans="1:21" ht="15.75" thickBot="1" x14ac:dyDescent="0.3">
      <c r="A7" s="5" t="s">
        <v>26</v>
      </c>
      <c r="B7" s="6">
        <v>4.2699999999999996</v>
      </c>
      <c r="C7" s="6">
        <v>0</v>
      </c>
      <c r="D7" s="6">
        <v>4.3499999999999996</v>
      </c>
      <c r="E7" s="6">
        <v>5.2</v>
      </c>
      <c r="F7" s="6">
        <v>2.92</v>
      </c>
      <c r="G7" s="6">
        <v>4.1100000000000003</v>
      </c>
      <c r="H7" s="6">
        <v>3.14</v>
      </c>
      <c r="I7" s="6">
        <v>3.13</v>
      </c>
      <c r="J7" s="6">
        <v>4.12</v>
      </c>
      <c r="K7" s="6">
        <v>3.74</v>
      </c>
      <c r="L7" s="6">
        <v>3.21</v>
      </c>
      <c r="M7" s="6">
        <v>1.99</v>
      </c>
      <c r="N7" s="6">
        <v>4.71</v>
      </c>
      <c r="O7" s="6">
        <v>3.5</v>
      </c>
      <c r="P7" s="6">
        <v>3.15</v>
      </c>
      <c r="Q7" s="6">
        <v>2.68</v>
      </c>
      <c r="R7" s="6">
        <v>5.1100000000000003</v>
      </c>
      <c r="S7" s="6">
        <v>25.59</v>
      </c>
      <c r="T7" s="6">
        <v>3.08</v>
      </c>
      <c r="U7" s="6">
        <v>2.48</v>
      </c>
    </row>
    <row r="8" spans="1:21" ht="15.75" thickBot="1" x14ac:dyDescent="0.3">
      <c r="A8" s="5" t="s">
        <v>27</v>
      </c>
      <c r="B8" s="6">
        <v>0.02</v>
      </c>
      <c r="C8" s="6">
        <v>0.02</v>
      </c>
      <c r="D8" s="6">
        <v>0.02</v>
      </c>
      <c r="E8" s="6">
        <v>0.01</v>
      </c>
      <c r="F8" s="6">
        <v>0.02</v>
      </c>
      <c r="G8" s="6">
        <v>0.02</v>
      </c>
      <c r="H8" s="6">
        <v>0.02</v>
      </c>
      <c r="I8" s="6">
        <v>0.02</v>
      </c>
      <c r="J8" s="6">
        <v>0.03</v>
      </c>
      <c r="K8" s="6">
        <v>0.02</v>
      </c>
      <c r="L8" s="6">
        <v>0.01</v>
      </c>
      <c r="M8" s="6">
        <v>0.02</v>
      </c>
      <c r="N8" s="6">
        <v>0.03</v>
      </c>
      <c r="O8" s="6">
        <v>0.02</v>
      </c>
      <c r="P8" s="6">
        <v>0.02</v>
      </c>
      <c r="Q8" s="6">
        <v>0.03</v>
      </c>
      <c r="R8" s="6">
        <v>0.01</v>
      </c>
      <c r="S8" s="6">
        <v>0.01</v>
      </c>
      <c r="T8" s="6">
        <v>0.01</v>
      </c>
      <c r="U8" s="6">
        <v>0.01</v>
      </c>
    </row>
    <row r="9" spans="1:21" ht="15.75" thickBot="1" x14ac:dyDescent="0.3">
      <c r="A9" s="5" t="s">
        <v>28</v>
      </c>
      <c r="B9" s="6">
        <v>0.8</v>
      </c>
      <c r="C9" s="6">
        <v>0.83</v>
      </c>
      <c r="D9" s="6">
        <v>1.1299999999999999</v>
      </c>
      <c r="E9" s="6">
        <v>0.92</v>
      </c>
      <c r="F9" s="6">
        <v>0.97</v>
      </c>
      <c r="G9" s="6">
        <v>0.96</v>
      </c>
      <c r="H9" s="6">
        <v>1.02</v>
      </c>
      <c r="I9" s="6">
        <v>1.03</v>
      </c>
      <c r="J9" s="6">
        <v>1.04</v>
      </c>
      <c r="K9" s="6">
        <v>1.01</v>
      </c>
      <c r="L9" s="6">
        <v>1.06</v>
      </c>
      <c r="M9" s="6">
        <v>1.31</v>
      </c>
      <c r="N9" s="6">
        <v>1.28</v>
      </c>
      <c r="O9" s="6">
        <v>1.27</v>
      </c>
      <c r="P9" s="6">
        <v>1.21</v>
      </c>
      <c r="Q9" s="6">
        <v>1</v>
      </c>
      <c r="R9" s="6">
        <v>0.98</v>
      </c>
      <c r="S9" s="6">
        <v>0.98</v>
      </c>
      <c r="T9" s="6">
        <v>0.99</v>
      </c>
      <c r="U9" s="6">
        <v>0.76</v>
      </c>
    </row>
    <row r="10" spans="1:21" ht="15.75" thickBot="1" x14ac:dyDescent="0.3">
      <c r="A10" s="5" t="s">
        <v>29</v>
      </c>
      <c r="B10" s="6">
        <v>54.66</v>
      </c>
      <c r="C10" s="6">
        <v>3.78</v>
      </c>
      <c r="D10" s="6">
        <v>53.56</v>
      </c>
      <c r="E10" s="6">
        <v>52.88</v>
      </c>
      <c r="F10" s="6">
        <v>43.33</v>
      </c>
      <c r="G10" s="6">
        <v>53.25</v>
      </c>
      <c r="H10" s="6">
        <v>31.99</v>
      </c>
      <c r="I10" s="6">
        <v>20.75</v>
      </c>
      <c r="J10" s="6">
        <v>39.86</v>
      </c>
      <c r="K10" s="6">
        <v>67.61</v>
      </c>
      <c r="L10" s="6">
        <v>41.48</v>
      </c>
      <c r="M10" s="6">
        <v>22.74</v>
      </c>
      <c r="N10" s="6">
        <v>174.81</v>
      </c>
      <c r="O10" s="6">
        <v>52.53</v>
      </c>
      <c r="P10" s="6">
        <v>34.450000000000003</v>
      </c>
      <c r="Q10" s="6">
        <v>29.97</v>
      </c>
      <c r="R10" s="6">
        <v>83.43</v>
      </c>
      <c r="S10" s="6">
        <v>-148.80000000000001</v>
      </c>
      <c r="T10" s="6">
        <v>40.93</v>
      </c>
      <c r="U10" s="6">
        <v>25.95</v>
      </c>
    </row>
    <row r="11" spans="1:21" ht="15.75" thickBot="1" x14ac:dyDescent="0.3">
      <c r="A11" s="5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.75" thickBot="1" x14ac:dyDescent="0.3">
      <c r="A12" s="3" t="s">
        <v>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thickBot="1" x14ac:dyDescent="0.3">
      <c r="A13" s="5" t="s">
        <v>32</v>
      </c>
      <c r="B13" s="6">
        <v>17.059999999999999</v>
      </c>
      <c r="C13" s="6">
        <v>17.38</v>
      </c>
      <c r="D13" s="6">
        <v>17.55</v>
      </c>
      <c r="E13" s="6">
        <v>18.600000000000001</v>
      </c>
      <c r="F13" s="6">
        <v>18.12</v>
      </c>
      <c r="G13" s="6">
        <v>19.04</v>
      </c>
      <c r="H13" s="6">
        <v>20.32</v>
      </c>
      <c r="I13" s="6">
        <v>21.94</v>
      </c>
      <c r="J13" s="6">
        <v>21.46</v>
      </c>
      <c r="K13" s="6">
        <v>19.14</v>
      </c>
      <c r="L13" s="6">
        <v>19.22</v>
      </c>
      <c r="M13" s="6">
        <v>20.99</v>
      </c>
      <c r="N13" s="6">
        <v>17.25</v>
      </c>
      <c r="O13" s="6">
        <v>18.72</v>
      </c>
      <c r="P13" s="6">
        <v>20.149999999999999</v>
      </c>
      <c r="Q13" s="6">
        <v>18.45</v>
      </c>
      <c r="R13" s="6">
        <v>18.739999999999998</v>
      </c>
      <c r="S13" s="6">
        <v>17.78</v>
      </c>
      <c r="T13" s="6">
        <v>17.7</v>
      </c>
      <c r="U13" s="6">
        <v>17.36</v>
      </c>
    </row>
    <row r="14" spans="1:21" ht="15.75" thickBot="1" x14ac:dyDescent="0.3">
      <c r="A14" s="5" t="s">
        <v>33</v>
      </c>
      <c r="B14" s="6">
        <v>7.6</v>
      </c>
      <c r="C14" s="6">
        <v>7.4</v>
      </c>
      <c r="D14" s="6">
        <v>8.91</v>
      </c>
      <c r="E14" s="6">
        <v>10.49</v>
      </c>
      <c r="F14" s="6">
        <v>7.42</v>
      </c>
      <c r="G14" s="6">
        <v>7.5</v>
      </c>
      <c r="H14" s="6">
        <v>8.7899999999999991</v>
      </c>
      <c r="I14" s="6">
        <v>11.86</v>
      </c>
      <c r="J14" s="6">
        <v>7.81</v>
      </c>
      <c r="K14" s="6">
        <v>7.55</v>
      </c>
      <c r="L14" s="6">
        <v>9.82</v>
      </c>
      <c r="M14" s="6">
        <v>11.04</v>
      </c>
      <c r="N14" s="6">
        <v>3.17</v>
      </c>
      <c r="O14" s="6">
        <v>7.57</v>
      </c>
      <c r="P14" s="6">
        <v>9.66</v>
      </c>
      <c r="Q14" s="6">
        <v>9.34</v>
      </c>
      <c r="R14" s="6">
        <v>6.63</v>
      </c>
      <c r="S14" s="6">
        <v>-18.899999999999999</v>
      </c>
      <c r="T14" s="6">
        <v>8.34</v>
      </c>
      <c r="U14" s="6">
        <v>9.31</v>
      </c>
    </row>
    <row r="15" spans="1:21" ht="15.75" thickBot="1" x14ac:dyDescent="0.3">
      <c r="A15" s="5" t="s">
        <v>34</v>
      </c>
      <c r="B15" s="6">
        <v>8.01</v>
      </c>
      <c r="C15" s="6">
        <v>7.75</v>
      </c>
      <c r="D15" s="6">
        <v>8.93</v>
      </c>
      <c r="E15" s="6">
        <v>10.73</v>
      </c>
      <c r="F15" s="6">
        <v>7.66</v>
      </c>
      <c r="G15" s="6">
        <v>7.86</v>
      </c>
      <c r="H15" s="6">
        <v>9.0399999999999991</v>
      </c>
      <c r="I15" s="6">
        <v>12.15</v>
      </c>
      <c r="J15" s="6">
        <v>8.2200000000000006</v>
      </c>
      <c r="K15" s="6">
        <v>7.89</v>
      </c>
      <c r="L15" s="6">
        <v>10.130000000000001</v>
      </c>
      <c r="M15" s="6">
        <v>11.39</v>
      </c>
      <c r="N15" s="6">
        <v>3.75</v>
      </c>
      <c r="O15" s="6">
        <v>7.91</v>
      </c>
      <c r="P15" s="6">
        <v>9.93</v>
      </c>
      <c r="Q15" s="6">
        <v>9.58</v>
      </c>
      <c r="R15" s="6">
        <v>6.99</v>
      </c>
      <c r="S15" s="6">
        <v>-17.2</v>
      </c>
      <c r="T15" s="6">
        <v>8.65</v>
      </c>
      <c r="U15" s="6">
        <v>9.5</v>
      </c>
    </row>
    <row r="16" spans="1:21" ht="15.75" thickBot="1" x14ac:dyDescent="0.3">
      <c r="A16" s="5" t="s">
        <v>35</v>
      </c>
      <c r="B16" s="6">
        <v>5.5</v>
      </c>
      <c r="C16" s="6">
        <v>5.53</v>
      </c>
      <c r="D16" s="6">
        <v>6.89</v>
      </c>
      <c r="E16" s="6">
        <v>8.1199999999999992</v>
      </c>
      <c r="F16" s="6">
        <v>5.61</v>
      </c>
      <c r="G16" s="6">
        <v>5.64</v>
      </c>
      <c r="H16" s="6">
        <v>6.54</v>
      </c>
      <c r="I16" s="6">
        <v>8.9600000000000009</v>
      </c>
      <c r="J16" s="6">
        <v>5.71</v>
      </c>
      <c r="K16" s="6">
        <v>5.29</v>
      </c>
      <c r="L16" s="6">
        <v>7.23</v>
      </c>
      <c r="M16" s="6">
        <v>8.16</v>
      </c>
      <c r="N16" s="6">
        <v>1.1499999999999999</v>
      </c>
      <c r="O16" s="6">
        <v>5.15</v>
      </c>
      <c r="P16" s="6">
        <v>7.31</v>
      </c>
      <c r="Q16" s="6">
        <v>7.14</v>
      </c>
      <c r="R16" s="6">
        <v>5.0199999999999996</v>
      </c>
      <c r="S16" s="6">
        <v>-18.190000000000001</v>
      </c>
      <c r="T16" s="6">
        <v>6.44</v>
      </c>
      <c r="U16" s="6">
        <v>7.11</v>
      </c>
    </row>
    <row r="17" spans="1:21" ht="15.75" thickBot="1" x14ac:dyDescent="0.3">
      <c r="A17" s="5" t="s">
        <v>36</v>
      </c>
      <c r="B17" s="6">
        <v>7.4</v>
      </c>
      <c r="C17" s="6">
        <v>5.65</v>
      </c>
      <c r="D17" s="6">
        <v>7.81</v>
      </c>
      <c r="E17" s="6">
        <v>10.8</v>
      </c>
      <c r="F17" s="6">
        <v>5.56</v>
      </c>
      <c r="G17" s="6">
        <v>5.33</v>
      </c>
      <c r="H17" s="6">
        <v>7.46</v>
      </c>
      <c r="I17" s="6">
        <v>11.01</v>
      </c>
      <c r="J17" s="6">
        <v>4.16</v>
      </c>
      <c r="K17" s="6">
        <v>5.07</v>
      </c>
      <c r="L17" s="6">
        <v>8.85</v>
      </c>
      <c r="M17" s="6">
        <v>8.5399999999999991</v>
      </c>
      <c r="N17" s="6">
        <v>0.65</v>
      </c>
      <c r="O17" s="6">
        <v>4.21</v>
      </c>
      <c r="P17" s="6">
        <v>8.42</v>
      </c>
      <c r="Q17" s="6">
        <v>9.32</v>
      </c>
      <c r="R17" s="6">
        <v>3.9</v>
      </c>
      <c r="S17" s="6">
        <v>-2.83</v>
      </c>
      <c r="T17" s="6">
        <v>7.9</v>
      </c>
      <c r="U17" s="6">
        <v>10.29</v>
      </c>
    </row>
    <row r="18" spans="1:21" ht="15.75" thickBot="1" x14ac:dyDescent="0.3">
      <c r="A18" s="5" t="s">
        <v>37</v>
      </c>
      <c r="B18" s="6">
        <v>9.91</v>
      </c>
      <c r="C18" s="6">
        <v>7.43</v>
      </c>
      <c r="D18" s="6">
        <v>10.029999999999999</v>
      </c>
      <c r="E18" s="6">
        <v>13.89</v>
      </c>
      <c r="F18" s="6">
        <v>7.2</v>
      </c>
      <c r="G18" s="6">
        <v>7</v>
      </c>
      <c r="H18" s="6">
        <v>9.9700000000000006</v>
      </c>
      <c r="I18" s="6">
        <v>14.51</v>
      </c>
      <c r="J18" s="6">
        <v>5.67</v>
      </c>
      <c r="K18" s="6">
        <v>7.21</v>
      </c>
      <c r="L18" s="6">
        <v>11.99</v>
      </c>
      <c r="M18" s="6">
        <v>11.53</v>
      </c>
      <c r="N18" s="6">
        <v>1.79</v>
      </c>
      <c r="O18" s="6">
        <v>6.17</v>
      </c>
      <c r="P18" s="6">
        <v>11.11</v>
      </c>
      <c r="Q18" s="6">
        <v>12.19</v>
      </c>
      <c r="R18" s="6">
        <v>5.14</v>
      </c>
      <c r="S18" s="6">
        <v>-2.93</v>
      </c>
      <c r="T18" s="6">
        <v>10.220000000000001</v>
      </c>
      <c r="U18" s="6">
        <v>13.38</v>
      </c>
    </row>
    <row r="19" spans="1:21" ht="15.75" thickBot="1" x14ac:dyDescent="0.3">
      <c r="A19" s="5" t="s">
        <v>38</v>
      </c>
      <c r="B19" s="6">
        <v>3.6</v>
      </c>
      <c r="C19" s="6">
        <v>3.31</v>
      </c>
      <c r="D19" s="6">
        <v>5.19</v>
      </c>
      <c r="E19" s="6">
        <v>7.26</v>
      </c>
      <c r="F19" s="6">
        <v>3.69</v>
      </c>
      <c r="G19" s="6">
        <v>3.36</v>
      </c>
      <c r="H19" s="6">
        <v>4.51</v>
      </c>
      <c r="I19" s="6">
        <v>6.81</v>
      </c>
      <c r="J19" s="6">
        <v>2.67</v>
      </c>
      <c r="K19" s="6">
        <v>2.94</v>
      </c>
      <c r="L19" s="6">
        <v>4.74</v>
      </c>
      <c r="M19" s="6">
        <v>4.8099999999999996</v>
      </c>
      <c r="N19" s="6">
        <v>0.38</v>
      </c>
      <c r="O19" s="6">
        <v>2.4900000000000002</v>
      </c>
      <c r="P19" s="6">
        <v>5.16</v>
      </c>
      <c r="Q19" s="6">
        <v>6.17</v>
      </c>
      <c r="R19" s="6">
        <v>2.58</v>
      </c>
      <c r="S19" s="6">
        <v>-1.74</v>
      </c>
      <c r="T19" s="6">
        <v>4.6399999999999997</v>
      </c>
      <c r="U19" s="6">
        <v>6.55</v>
      </c>
    </row>
    <row r="20" spans="1:21" ht="15.75" thickBot="1" x14ac:dyDescent="0.3">
      <c r="A20" s="3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thickBot="1" x14ac:dyDescent="0.3">
      <c r="A21" s="5" t="s">
        <v>40</v>
      </c>
      <c r="B21" s="6">
        <v>45.81</v>
      </c>
      <c r="C21" s="6">
        <v>14.99</v>
      </c>
      <c r="D21" s="6">
        <v>21.84</v>
      </c>
      <c r="E21" s="6">
        <v>32.21</v>
      </c>
      <c r="F21" s="6">
        <v>37.21</v>
      </c>
      <c r="G21" s="6">
        <v>38.24</v>
      </c>
      <c r="H21" s="6">
        <v>26.18</v>
      </c>
      <c r="I21" s="6">
        <v>15.56</v>
      </c>
      <c r="J21" s="6">
        <v>-7.94</v>
      </c>
      <c r="K21" s="6">
        <v>24.86</v>
      </c>
      <c r="L21" s="6">
        <v>30.91</v>
      </c>
      <c r="M21" s="6">
        <v>4.54</v>
      </c>
      <c r="N21" s="6">
        <v>-7.33</v>
      </c>
      <c r="O21" s="6">
        <v>-0.3</v>
      </c>
      <c r="P21" s="6">
        <v>9.8000000000000007</v>
      </c>
      <c r="Q21" s="6">
        <v>43.61</v>
      </c>
      <c r="R21" s="6">
        <v>62.32</v>
      </c>
      <c r="S21" s="6">
        <v>-77.64</v>
      </c>
      <c r="T21" s="6">
        <v>21.5</v>
      </c>
      <c r="U21" s="6">
        <v>41.23</v>
      </c>
    </row>
    <row r="22" spans="1:21" ht="15.75" thickBot="1" x14ac:dyDescent="0.3">
      <c r="A22" s="5" t="s">
        <v>41</v>
      </c>
      <c r="B22" s="6">
        <v>37.35</v>
      </c>
      <c r="C22" s="6">
        <v>24.78</v>
      </c>
      <c r="D22" s="6">
        <v>48.28</v>
      </c>
      <c r="E22" s="6">
        <v>39.79</v>
      </c>
      <c r="F22" s="6">
        <v>45.73</v>
      </c>
      <c r="G22" s="6">
        <v>51.45</v>
      </c>
      <c r="H22" s="6">
        <v>46.15</v>
      </c>
      <c r="I22" s="6">
        <v>36.28</v>
      </c>
      <c r="J22" s="6">
        <v>9.06</v>
      </c>
      <c r="K22" s="6">
        <v>25.51</v>
      </c>
      <c r="L22" s="6">
        <v>23.78</v>
      </c>
      <c r="M22" s="6">
        <v>0.02</v>
      </c>
      <c r="N22" s="6">
        <v>-25.52</v>
      </c>
      <c r="O22" s="6">
        <v>-2.4900000000000002</v>
      </c>
      <c r="P22" s="6">
        <v>15.14</v>
      </c>
      <c r="Q22" s="6">
        <v>26.26</v>
      </c>
      <c r="R22" s="6">
        <v>76.38</v>
      </c>
      <c r="S22" s="6">
        <v>-78.77</v>
      </c>
      <c r="T22" s="6">
        <v>6.75</v>
      </c>
      <c r="U22" s="6">
        <v>32.880000000000003</v>
      </c>
    </row>
    <row r="23" spans="1:21" ht="15.75" thickBot="1" x14ac:dyDescent="0.3">
      <c r="A23" s="5" t="s">
        <v>42</v>
      </c>
      <c r="B23" s="6">
        <v>7.44</v>
      </c>
      <c r="C23" s="6">
        <v>13.38</v>
      </c>
      <c r="D23" s="6">
        <v>91.29</v>
      </c>
      <c r="E23" s="6">
        <v>35.26</v>
      </c>
      <c r="F23" s="6">
        <v>40.79</v>
      </c>
      <c r="G23" s="6">
        <v>39.9</v>
      </c>
      <c r="H23" s="6">
        <v>21.28</v>
      </c>
      <c r="I23" s="6">
        <v>29.11</v>
      </c>
      <c r="J23" s="6">
        <v>-7.68</v>
      </c>
      <c r="K23" s="6">
        <v>21.2</v>
      </c>
      <c r="L23" s="6">
        <v>43.08</v>
      </c>
      <c r="M23" s="6">
        <v>-5.81</v>
      </c>
      <c r="N23" s="6">
        <v>-79.680000000000007</v>
      </c>
      <c r="O23" s="6">
        <v>-4.45</v>
      </c>
      <c r="P23" s="6">
        <v>11.25</v>
      </c>
      <c r="Q23" s="6">
        <v>26.69</v>
      </c>
      <c r="R23" s="6">
        <v>542.36</v>
      </c>
      <c r="S23" s="6">
        <v>-175.56</v>
      </c>
      <c r="T23" s="6">
        <v>4.46</v>
      </c>
      <c r="U23" s="6">
        <v>40.880000000000003</v>
      </c>
    </row>
    <row r="24" spans="1:21" ht="15.75" thickBot="1" x14ac:dyDescent="0.3">
      <c r="A24" s="5" t="s">
        <v>43</v>
      </c>
      <c r="B24" s="6">
        <v>7.41</v>
      </c>
      <c r="C24" s="6">
        <v>13.33</v>
      </c>
      <c r="D24" s="6">
        <v>135.18</v>
      </c>
      <c r="E24" s="6">
        <v>35.19</v>
      </c>
      <c r="F24" s="6">
        <v>39.92</v>
      </c>
      <c r="G24" s="6">
        <v>40.93</v>
      </c>
      <c r="H24" s="6">
        <v>19.8</v>
      </c>
      <c r="I24" s="6">
        <v>27.5</v>
      </c>
      <c r="J24" s="6">
        <v>-6.25</v>
      </c>
      <c r="K24" s="6">
        <v>17.059999999999999</v>
      </c>
      <c r="L24" s="6">
        <v>44.78</v>
      </c>
      <c r="M24" s="6">
        <v>-4.78</v>
      </c>
      <c r="N24" s="6">
        <v>-81.28</v>
      </c>
      <c r="O24" s="6">
        <v>-2.84</v>
      </c>
      <c r="P24" s="6">
        <v>11.04</v>
      </c>
      <c r="Q24" s="6">
        <v>25.56</v>
      </c>
      <c r="R24" s="6">
        <v>606.48</v>
      </c>
      <c r="S24" s="6">
        <v>-178.94</v>
      </c>
      <c r="T24" s="6">
        <v>6.99</v>
      </c>
      <c r="U24" s="6">
        <v>40.67</v>
      </c>
    </row>
    <row r="25" spans="1:21" ht="15.75" thickBot="1" x14ac:dyDescent="0.3">
      <c r="A25" s="5" t="s">
        <v>44</v>
      </c>
      <c r="B25" s="6">
        <v>14.41</v>
      </c>
      <c r="C25" s="6">
        <v>25.81</v>
      </c>
      <c r="D25" s="6">
        <v>25.02</v>
      </c>
      <c r="E25" s="6">
        <v>30.39</v>
      </c>
      <c r="F25" s="6">
        <v>43.07</v>
      </c>
      <c r="G25" s="6">
        <v>34.89</v>
      </c>
      <c r="H25" s="6">
        <v>40.299999999999997</v>
      </c>
      <c r="I25" s="6">
        <v>31.22</v>
      </c>
      <c r="J25" s="6">
        <v>28.13</v>
      </c>
      <c r="K25" s="6">
        <v>39.119999999999997</v>
      </c>
      <c r="L25" s="6">
        <v>36.44</v>
      </c>
      <c r="M25" s="6">
        <v>36.369999999999997</v>
      </c>
      <c r="N25" s="6">
        <v>24.97</v>
      </c>
      <c r="O25" s="6">
        <v>6.1</v>
      </c>
      <c r="P25" s="6">
        <v>-1.36</v>
      </c>
      <c r="Q25" s="6">
        <v>-3.02</v>
      </c>
      <c r="R25" s="6">
        <v>12.57</v>
      </c>
      <c r="S25" s="6">
        <v>13.32</v>
      </c>
      <c r="T25" s="6">
        <v>24.32</v>
      </c>
      <c r="U25" s="6">
        <v>40.24</v>
      </c>
    </row>
    <row r="26" spans="1:21" ht="15.75" thickBot="1" x14ac:dyDescent="0.3">
      <c r="A26" s="5" t="s">
        <v>45</v>
      </c>
      <c r="B26" s="6">
        <v>-23.62</v>
      </c>
      <c r="C26" s="6">
        <v>-64.209999999999994</v>
      </c>
      <c r="D26" s="6">
        <v>-71.510000000000005</v>
      </c>
      <c r="E26" s="6">
        <v>38.909999999999997</v>
      </c>
      <c r="F26" s="6">
        <v>14.34</v>
      </c>
      <c r="G26" s="6">
        <v>20.059999999999999</v>
      </c>
      <c r="H26" s="6">
        <v>-17.55</v>
      </c>
      <c r="I26" s="6">
        <v>-82.45</v>
      </c>
      <c r="J26" s="6">
        <v>-80.56</v>
      </c>
      <c r="K26" s="6">
        <v>-55.93</v>
      </c>
      <c r="L26" s="6">
        <v>-49.45</v>
      </c>
      <c r="M26" s="6">
        <v>-48.01</v>
      </c>
      <c r="N26" s="6">
        <v>-64.14</v>
      </c>
      <c r="O26" s="6">
        <v>-31.63</v>
      </c>
      <c r="P26" s="6">
        <v>19.64</v>
      </c>
      <c r="Q26" s="6">
        <v>16.77</v>
      </c>
      <c r="R26" s="6">
        <v>121.18</v>
      </c>
      <c r="S26" s="6">
        <v>16.02</v>
      </c>
      <c r="T26" s="6">
        <v>-3.37</v>
      </c>
      <c r="U26" s="6">
        <v>742.44</v>
      </c>
    </row>
    <row r="27" spans="1:21" ht="15.75" thickBot="1" x14ac:dyDescent="0.3">
      <c r="A27" s="5" t="s">
        <v>46</v>
      </c>
      <c r="B27" s="6">
        <v>11.22</v>
      </c>
      <c r="C27" s="6">
        <v>-18.940000000000001</v>
      </c>
      <c r="D27" s="6">
        <v>-26.31</v>
      </c>
      <c r="E27" s="6">
        <v>-19.34</v>
      </c>
      <c r="F27" s="6">
        <v>-1.02</v>
      </c>
      <c r="G27" s="6">
        <v>57.23</v>
      </c>
      <c r="H27" s="6">
        <v>65.86</v>
      </c>
      <c r="I27" s="6">
        <v>41.79</v>
      </c>
      <c r="J27" s="6">
        <v>34.75</v>
      </c>
      <c r="K27" s="6">
        <v>67</v>
      </c>
      <c r="L27" s="6">
        <v>57.41</v>
      </c>
      <c r="M27" s="6">
        <v>61.17</v>
      </c>
      <c r="N27" s="6">
        <v>41.94</v>
      </c>
      <c r="O27" s="6">
        <v>-9.06</v>
      </c>
      <c r="P27" s="6">
        <v>-19.489999999999998</v>
      </c>
      <c r="Q27" s="6">
        <v>-29.98</v>
      </c>
      <c r="R27" s="6">
        <v>0.18</v>
      </c>
      <c r="S27" s="6">
        <v>13.23</v>
      </c>
      <c r="T27" s="6">
        <v>39.75</v>
      </c>
      <c r="U27" s="6">
        <v>42.74</v>
      </c>
    </row>
    <row r="28" spans="1:21" ht="15.75" thickBot="1" x14ac:dyDescent="0.3">
      <c r="A28" s="5" t="s">
        <v>47</v>
      </c>
      <c r="B28" s="6">
        <v>17.97</v>
      </c>
      <c r="C28" s="6">
        <v>72.36</v>
      </c>
      <c r="D28" s="6">
        <v>96.61</v>
      </c>
      <c r="E28" s="6">
        <v>82.89</v>
      </c>
      <c r="F28" s="6">
        <v>89.44</v>
      </c>
      <c r="G28" s="6">
        <v>23.96</v>
      </c>
      <c r="H28" s="6">
        <v>26.95</v>
      </c>
      <c r="I28" s="6">
        <v>26.3</v>
      </c>
      <c r="J28" s="6">
        <v>24.48</v>
      </c>
      <c r="K28" s="6">
        <v>21.82</v>
      </c>
      <c r="L28" s="6">
        <v>22.13</v>
      </c>
      <c r="M28" s="6">
        <v>23.4</v>
      </c>
      <c r="N28" s="6">
        <v>14.87</v>
      </c>
      <c r="O28" s="6">
        <v>19</v>
      </c>
      <c r="P28" s="6">
        <v>14.6</v>
      </c>
      <c r="Q28" s="6">
        <v>15.39</v>
      </c>
      <c r="R28" s="6">
        <v>21.67</v>
      </c>
      <c r="S28" s="6">
        <v>13.38</v>
      </c>
      <c r="T28" s="6">
        <v>14.78</v>
      </c>
      <c r="U28" s="6">
        <v>39.200000000000003</v>
      </c>
    </row>
    <row r="29" spans="1:21" ht="15.75" thickBot="1" x14ac:dyDescent="0.3">
      <c r="A29" s="5" t="s">
        <v>48</v>
      </c>
      <c r="B29" s="6"/>
      <c r="C29" s="6">
        <v>10</v>
      </c>
      <c r="D29" s="6">
        <v>10</v>
      </c>
      <c r="E29" s="6">
        <v>10</v>
      </c>
      <c r="F29" s="6">
        <v>64.989999999999995</v>
      </c>
      <c r="G29" s="6">
        <v>49.99</v>
      </c>
      <c r="H29" s="6">
        <v>54.49</v>
      </c>
      <c r="I29" s="6">
        <v>54.49</v>
      </c>
      <c r="J29" s="6">
        <v>37.33</v>
      </c>
      <c r="K29" s="6">
        <v>37.33</v>
      </c>
      <c r="L29" s="6">
        <v>34.9</v>
      </c>
      <c r="M29" s="6">
        <v>34.9</v>
      </c>
      <c r="N29" s="6">
        <v>1.18</v>
      </c>
      <c r="O29" s="6">
        <v>1.18</v>
      </c>
      <c r="P29" s="6">
        <v>1.03</v>
      </c>
      <c r="Q29" s="6">
        <v>1.03</v>
      </c>
      <c r="R29" s="6">
        <v>1.03</v>
      </c>
      <c r="S29" s="6">
        <v>1.03</v>
      </c>
      <c r="T29" s="6"/>
      <c r="U29" s="6">
        <v>6.59</v>
      </c>
    </row>
    <row r="30" spans="1:21" ht="15.75" thickBot="1" x14ac:dyDescent="0.3">
      <c r="A30" s="3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thickBot="1" x14ac:dyDescent="0.3">
      <c r="A31" s="5" t="s">
        <v>50</v>
      </c>
      <c r="B31" s="6">
        <v>0.02</v>
      </c>
      <c r="C31" s="6">
        <v>0.09</v>
      </c>
      <c r="D31" s="6">
        <v>0.22</v>
      </c>
      <c r="E31" s="6">
        <v>0.06</v>
      </c>
      <c r="F31" s="6">
        <v>0.06</v>
      </c>
      <c r="G31" s="6">
        <v>0.06</v>
      </c>
      <c r="H31" s="6">
        <v>0.08</v>
      </c>
      <c r="I31" s="6">
        <v>0.05</v>
      </c>
      <c r="J31" s="6">
        <v>0.05</v>
      </c>
      <c r="K31" s="6">
        <v>0.03</v>
      </c>
      <c r="L31" s="6">
        <v>0.02</v>
      </c>
      <c r="M31" s="6">
        <v>0.09</v>
      </c>
      <c r="N31" s="6">
        <v>7.0000000000000007E-2</v>
      </c>
      <c r="O31" s="6">
        <v>7.0000000000000007E-2</v>
      </c>
      <c r="P31" s="6">
        <v>0.13</v>
      </c>
      <c r="Q31" s="6">
        <v>0.09</v>
      </c>
      <c r="R31" s="6">
        <v>7.0000000000000007E-2</v>
      </c>
      <c r="S31" s="6">
        <v>0.05</v>
      </c>
      <c r="T31" s="6">
        <v>0.08</v>
      </c>
      <c r="U31" s="6">
        <v>0.74</v>
      </c>
    </row>
    <row r="32" spans="1:21" ht="15.75" thickBot="1" x14ac:dyDescent="0.3">
      <c r="A32" s="5" t="s">
        <v>51</v>
      </c>
      <c r="B32" s="6">
        <v>0.1</v>
      </c>
      <c r="C32" s="6">
        <v>0.33</v>
      </c>
      <c r="D32" s="6">
        <v>0.32</v>
      </c>
      <c r="E32" s="6">
        <v>0.19</v>
      </c>
      <c r="F32" s="6">
        <v>0.17</v>
      </c>
      <c r="G32" s="6">
        <v>0.18</v>
      </c>
      <c r="H32" s="6">
        <v>0.18</v>
      </c>
      <c r="I32" s="6">
        <v>0.2</v>
      </c>
      <c r="J32" s="6">
        <v>0.17</v>
      </c>
      <c r="K32" s="6">
        <v>0.14000000000000001</v>
      </c>
      <c r="L32" s="6">
        <v>0.08</v>
      </c>
      <c r="M32" s="6">
        <v>0.15</v>
      </c>
      <c r="N32" s="6">
        <v>0.12</v>
      </c>
      <c r="O32" s="6">
        <v>0.14000000000000001</v>
      </c>
      <c r="P32" s="6">
        <v>0.19</v>
      </c>
      <c r="Q32" s="6">
        <v>0.17</v>
      </c>
      <c r="R32" s="6">
        <v>0.12</v>
      </c>
      <c r="S32" s="6">
        <v>0.1</v>
      </c>
      <c r="T32" s="6">
        <v>0.12</v>
      </c>
      <c r="U32" s="6">
        <v>0.8</v>
      </c>
    </row>
    <row r="33" spans="1:21" ht="15.75" thickBot="1" x14ac:dyDescent="0.3">
      <c r="A33" s="5" t="s">
        <v>52</v>
      </c>
      <c r="B33" s="6">
        <v>0.02</v>
      </c>
      <c r="C33" s="6">
        <v>0.21</v>
      </c>
      <c r="D33" s="6">
        <v>0.22</v>
      </c>
      <c r="E33" s="6">
        <v>0.06</v>
      </c>
      <c r="F33" s="6">
        <v>0.06</v>
      </c>
      <c r="G33" s="6">
        <v>0.06</v>
      </c>
      <c r="H33" s="6">
        <v>0.08</v>
      </c>
      <c r="I33" s="6">
        <v>0.05</v>
      </c>
      <c r="J33" s="6">
        <v>0.05</v>
      </c>
      <c r="K33" s="6">
        <v>0.03</v>
      </c>
      <c r="L33" s="6">
        <v>0.02</v>
      </c>
      <c r="M33" s="6">
        <v>0.09</v>
      </c>
      <c r="N33" s="6">
        <v>7.0000000000000007E-2</v>
      </c>
      <c r="O33" s="6">
        <v>7.0000000000000007E-2</v>
      </c>
      <c r="P33" s="6">
        <v>0.13</v>
      </c>
      <c r="Q33" s="6">
        <v>0.09</v>
      </c>
      <c r="R33" s="6">
        <v>7.0000000000000007E-2</v>
      </c>
      <c r="S33" s="6">
        <v>0.05</v>
      </c>
      <c r="T33" s="6">
        <v>0.08</v>
      </c>
      <c r="U33" s="6">
        <v>0.74</v>
      </c>
    </row>
    <row r="34" spans="1:21" ht="15.75" thickBot="1" x14ac:dyDescent="0.3">
      <c r="A34" s="5" t="s">
        <v>53</v>
      </c>
      <c r="B34" s="6">
        <v>1.72</v>
      </c>
      <c r="C34" s="6">
        <v>2.65</v>
      </c>
      <c r="D34" s="6">
        <v>2.56</v>
      </c>
      <c r="E34" s="6">
        <v>2.76</v>
      </c>
      <c r="F34" s="6">
        <v>2.42</v>
      </c>
      <c r="G34" s="6">
        <v>2.17</v>
      </c>
      <c r="H34" s="6">
        <v>2.08</v>
      </c>
      <c r="I34" s="6">
        <v>2.42</v>
      </c>
      <c r="J34" s="6">
        <v>2.2000000000000002</v>
      </c>
      <c r="K34" s="6">
        <v>1.83</v>
      </c>
      <c r="L34" s="6">
        <v>1.82</v>
      </c>
      <c r="M34" s="6">
        <v>2.09</v>
      </c>
      <c r="N34" s="6">
        <v>1.99</v>
      </c>
      <c r="O34" s="6">
        <v>2.13</v>
      </c>
      <c r="P34" s="6">
        <v>2.21</v>
      </c>
      <c r="Q34" s="6">
        <v>2.87</v>
      </c>
      <c r="R34" s="6">
        <v>2.2799999999999998</v>
      </c>
      <c r="S34" s="6">
        <v>2.19</v>
      </c>
      <c r="T34" s="6">
        <v>2.04</v>
      </c>
      <c r="U34" s="6">
        <v>3.04</v>
      </c>
    </row>
    <row r="35" spans="1:21" ht="15.75" thickBot="1" x14ac:dyDescent="0.3">
      <c r="A35" s="5" t="s">
        <v>54</v>
      </c>
      <c r="B35" s="6">
        <v>10.74</v>
      </c>
      <c r="C35" s="6">
        <v>16.02</v>
      </c>
      <c r="D35" s="6">
        <v>30</v>
      </c>
      <c r="E35" s="6">
        <v>32.04</v>
      </c>
      <c r="F35" s="6">
        <v>21.27</v>
      </c>
      <c r="G35" s="6">
        <v>15.44</v>
      </c>
      <c r="H35" s="6">
        <v>17.010000000000002</v>
      </c>
      <c r="I35" s="6">
        <v>23.63</v>
      </c>
      <c r="J35" s="6">
        <v>10.83</v>
      </c>
      <c r="K35" s="6">
        <v>10.25</v>
      </c>
      <c r="L35" s="6">
        <v>12.74</v>
      </c>
      <c r="M35" s="6">
        <v>13.67</v>
      </c>
      <c r="N35" s="6">
        <v>1.96</v>
      </c>
      <c r="O35" s="6">
        <v>7.3</v>
      </c>
      <c r="P35" s="6">
        <v>19.399999999999999</v>
      </c>
      <c r="Q35" s="6">
        <v>29.47</v>
      </c>
      <c r="R35" s="6">
        <v>14.04</v>
      </c>
      <c r="S35" s="6">
        <v>-5.98</v>
      </c>
      <c r="T35" s="6">
        <v>18.03</v>
      </c>
      <c r="U35" s="6">
        <v>30.58</v>
      </c>
    </row>
    <row r="36" spans="1:21" ht="15.75" thickBot="1" x14ac:dyDescent="0.3">
      <c r="A36" s="3" t="s">
        <v>55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thickBot="1" x14ac:dyDescent="0.3">
      <c r="A37" s="5" t="s">
        <v>56</v>
      </c>
      <c r="B37" s="6">
        <v>56.48</v>
      </c>
      <c r="C37" s="6">
        <v>48.44</v>
      </c>
      <c r="D37" s="6">
        <v>80.64</v>
      </c>
      <c r="E37" s="6">
        <v>78.31</v>
      </c>
      <c r="F37" s="6">
        <v>74.319999999999993</v>
      </c>
      <c r="G37" s="6">
        <v>46.1</v>
      </c>
      <c r="H37" s="6">
        <v>51.41</v>
      </c>
      <c r="I37" s="6">
        <v>32.450000000000003</v>
      </c>
      <c r="J37" s="6">
        <v>31.64</v>
      </c>
      <c r="K37" s="6">
        <v>19.649999999999999</v>
      </c>
      <c r="L37" s="6">
        <v>115.21</v>
      </c>
      <c r="M37" s="6">
        <v>93.68</v>
      </c>
      <c r="N37" s="6">
        <v>58.23</v>
      </c>
      <c r="O37" s="6">
        <v>78.510000000000005</v>
      </c>
      <c r="P37" s="6">
        <v>92.28</v>
      </c>
      <c r="Q37" s="6">
        <v>111.53</v>
      </c>
      <c r="R37" s="6">
        <v>95.79</v>
      </c>
      <c r="S37" s="6">
        <v>29.43</v>
      </c>
      <c r="T37" s="6">
        <v>161.9</v>
      </c>
      <c r="U37" s="6">
        <v>164.91</v>
      </c>
    </row>
    <row r="38" spans="1:21" ht="15.75" thickBot="1" x14ac:dyDescent="0.3">
      <c r="A38" s="5" t="s">
        <v>57</v>
      </c>
      <c r="B38" s="6">
        <v>1.61</v>
      </c>
      <c r="C38" s="6">
        <v>1.88</v>
      </c>
      <c r="D38" s="6">
        <v>1.1299999999999999</v>
      </c>
      <c r="E38" s="6">
        <v>1.1599999999999999</v>
      </c>
      <c r="F38" s="6">
        <v>1.22</v>
      </c>
      <c r="G38" s="6">
        <v>1.97</v>
      </c>
      <c r="H38" s="6">
        <v>1.77</v>
      </c>
      <c r="I38" s="6">
        <v>2.8</v>
      </c>
      <c r="J38" s="6">
        <v>2.88</v>
      </c>
      <c r="K38" s="6">
        <v>4.63</v>
      </c>
      <c r="L38" s="6">
        <v>0.79</v>
      </c>
      <c r="M38" s="6">
        <v>0.97</v>
      </c>
      <c r="N38" s="6">
        <v>6.27</v>
      </c>
      <c r="O38" s="6">
        <v>4.6500000000000004</v>
      </c>
      <c r="P38" s="6">
        <v>3.96</v>
      </c>
      <c r="Q38" s="6">
        <v>3.27</v>
      </c>
      <c r="R38" s="6">
        <v>3.81</v>
      </c>
      <c r="S38" s="6">
        <v>12.4</v>
      </c>
      <c r="T38" s="6">
        <v>2.25</v>
      </c>
      <c r="U38" s="6">
        <v>2.21</v>
      </c>
    </row>
    <row r="39" spans="1:21" ht="15.75" thickBot="1" x14ac:dyDescent="0.3">
      <c r="A39" s="5" t="s">
        <v>58</v>
      </c>
      <c r="B39" s="6">
        <v>0.67</v>
      </c>
      <c r="C39" s="6">
        <v>0.62</v>
      </c>
      <c r="D39" s="6">
        <v>0.78</v>
      </c>
      <c r="E39" s="6">
        <v>0.93</v>
      </c>
      <c r="F39" s="6">
        <v>0.67</v>
      </c>
      <c r="G39" s="6">
        <v>0.62</v>
      </c>
      <c r="H39" s="6">
        <v>0.67</v>
      </c>
      <c r="I39" s="6">
        <v>0.8</v>
      </c>
      <c r="J39" s="6">
        <v>0.47</v>
      </c>
      <c r="K39" s="6">
        <v>0.54</v>
      </c>
      <c r="L39" s="6">
        <v>0.61</v>
      </c>
      <c r="M39" s="6">
        <v>0.6</v>
      </c>
      <c r="N39" s="6">
        <v>0.35</v>
      </c>
      <c r="O39" s="6">
        <v>0.5</v>
      </c>
      <c r="P39" s="6">
        <v>0.72</v>
      </c>
      <c r="Q39" s="6">
        <v>0.9</v>
      </c>
      <c r="R39" s="6">
        <v>0.52</v>
      </c>
      <c r="S39" s="6">
        <v>0.1</v>
      </c>
      <c r="T39" s="6">
        <v>0.72</v>
      </c>
      <c r="U39" s="6">
        <v>1.04</v>
      </c>
    </row>
    <row r="40" spans="1:21" ht="15.75" thickBot="1" x14ac:dyDescent="0.3">
      <c r="A40" s="5" t="s">
        <v>59</v>
      </c>
      <c r="B40" s="6">
        <v>134.9</v>
      </c>
      <c r="C40" s="6">
        <v>147.47999999999999</v>
      </c>
      <c r="D40" s="6">
        <v>116.54</v>
      </c>
      <c r="E40" s="6">
        <v>97.44</v>
      </c>
      <c r="F40" s="6">
        <v>135.96</v>
      </c>
      <c r="G40" s="6">
        <v>147.13</v>
      </c>
      <c r="H40" s="6">
        <v>135.30000000000001</v>
      </c>
      <c r="I40" s="6">
        <v>113.16</v>
      </c>
      <c r="J40" s="6">
        <v>192.93</v>
      </c>
      <c r="K40" s="6">
        <v>168.57</v>
      </c>
      <c r="L40" s="6">
        <v>148.58000000000001</v>
      </c>
      <c r="M40" s="6">
        <v>151.74</v>
      </c>
      <c r="N40" s="18">
        <v>1046.05</v>
      </c>
      <c r="O40" s="6">
        <v>730.21</v>
      </c>
      <c r="P40" s="6">
        <v>503.45</v>
      </c>
      <c r="Q40" s="6">
        <v>404.02</v>
      </c>
      <c r="R40" s="6">
        <v>699.29</v>
      </c>
      <c r="S40" s="18">
        <v>3786.5</v>
      </c>
      <c r="T40" s="6">
        <v>505.96</v>
      </c>
      <c r="U40" s="6">
        <v>351.31</v>
      </c>
    </row>
    <row r="41" spans="1:21" ht="15.75" thickBot="1" x14ac:dyDescent="0.3">
      <c r="A41" s="5" t="s">
        <v>60</v>
      </c>
      <c r="B41" s="6">
        <v>9.89</v>
      </c>
      <c r="C41" s="6">
        <v>6.74</v>
      </c>
      <c r="D41" s="6">
        <v>9.0500000000000007</v>
      </c>
      <c r="E41" s="6">
        <v>12.23</v>
      </c>
      <c r="F41" s="6">
        <v>8.75</v>
      </c>
      <c r="G41" s="6">
        <v>10.68</v>
      </c>
      <c r="H41" s="6">
        <v>11.14</v>
      </c>
      <c r="I41" s="6">
        <v>10.95</v>
      </c>
      <c r="J41" s="6">
        <v>7.58</v>
      </c>
      <c r="K41" s="6">
        <v>7.04</v>
      </c>
      <c r="L41" s="6">
        <v>6.25</v>
      </c>
      <c r="M41" s="6">
        <v>9.14</v>
      </c>
      <c r="N41" s="6">
        <v>7.65</v>
      </c>
      <c r="O41" s="6">
        <v>20.84</v>
      </c>
      <c r="P41" s="6">
        <v>14.9</v>
      </c>
      <c r="Q41" s="6">
        <v>13.08</v>
      </c>
      <c r="R41" s="6">
        <v>9.07</v>
      </c>
      <c r="S41" s="6">
        <v>2.0699999999999998</v>
      </c>
      <c r="T41" s="6">
        <v>11.68</v>
      </c>
      <c r="U41" s="6">
        <v>14.25</v>
      </c>
    </row>
    <row r="42" spans="1:21" ht="15.75" thickBot="1" x14ac:dyDescent="0.3">
      <c r="A42" s="5" t="s">
        <v>61</v>
      </c>
      <c r="B42" s="6">
        <v>9.1999999999999993</v>
      </c>
      <c r="C42" s="6">
        <v>13.51</v>
      </c>
      <c r="D42" s="6">
        <v>10.06</v>
      </c>
      <c r="E42" s="6">
        <v>7.44</v>
      </c>
      <c r="F42" s="6">
        <v>10.4</v>
      </c>
      <c r="G42" s="6">
        <v>8.52</v>
      </c>
      <c r="H42" s="6">
        <v>8.17</v>
      </c>
      <c r="I42" s="6">
        <v>8.31</v>
      </c>
      <c r="J42" s="6">
        <v>12</v>
      </c>
      <c r="K42" s="6">
        <v>12.93</v>
      </c>
      <c r="L42" s="6">
        <v>14.56</v>
      </c>
      <c r="M42" s="6">
        <v>9.9600000000000009</v>
      </c>
      <c r="N42" s="6">
        <v>47.73</v>
      </c>
      <c r="O42" s="6">
        <v>17.52</v>
      </c>
      <c r="P42" s="6">
        <v>24.5</v>
      </c>
      <c r="Q42" s="6">
        <v>27.9</v>
      </c>
      <c r="R42" s="6">
        <v>40.26</v>
      </c>
      <c r="S42" s="6">
        <v>176.29</v>
      </c>
      <c r="T42" s="6">
        <v>31.25</v>
      </c>
      <c r="U42" s="6">
        <v>25.61</v>
      </c>
    </row>
    <row r="43" spans="1:21" ht="15.75" thickBot="1" x14ac:dyDescent="0.3">
      <c r="A43" s="5" t="s">
        <v>62</v>
      </c>
      <c r="B43" s="6">
        <v>5.77</v>
      </c>
      <c r="C43" s="6">
        <v>5.58</v>
      </c>
      <c r="D43" s="6">
        <v>6.61</v>
      </c>
      <c r="E43" s="6">
        <v>6.19</v>
      </c>
      <c r="F43" s="6">
        <v>4.71</v>
      </c>
      <c r="G43" s="6">
        <v>4.5999999999999996</v>
      </c>
      <c r="H43" s="6">
        <v>5.65</v>
      </c>
      <c r="I43" s="6">
        <v>6.61</v>
      </c>
      <c r="J43" s="6">
        <v>3.66</v>
      </c>
      <c r="K43" s="6">
        <v>4.37</v>
      </c>
      <c r="L43" s="6">
        <v>5.76</v>
      </c>
      <c r="M43" s="6">
        <v>5.34</v>
      </c>
      <c r="N43" s="6">
        <v>2.93</v>
      </c>
      <c r="O43" s="6">
        <v>4.2</v>
      </c>
      <c r="P43" s="6">
        <v>6.28</v>
      </c>
      <c r="Q43" s="6">
        <v>7.77</v>
      </c>
      <c r="R43" s="6">
        <v>4.8499999999999996</v>
      </c>
      <c r="S43" s="6">
        <v>0.96</v>
      </c>
      <c r="T43" s="6">
        <v>7.81</v>
      </c>
      <c r="U43" s="6">
        <v>11.24</v>
      </c>
    </row>
    <row r="44" spans="1:21" ht="15.75" thickBot="1" x14ac:dyDescent="0.3">
      <c r="A44" s="5" t="s">
        <v>63</v>
      </c>
      <c r="B44" s="6">
        <v>0.66</v>
      </c>
      <c r="C44" s="6">
        <v>0.56000000000000005</v>
      </c>
      <c r="D44" s="6">
        <v>0.72</v>
      </c>
      <c r="E44" s="6">
        <v>0.88</v>
      </c>
      <c r="F44" s="6">
        <v>0.63</v>
      </c>
      <c r="G44" s="6">
        <v>0.56999999999999995</v>
      </c>
      <c r="H44" s="6">
        <v>0.64</v>
      </c>
      <c r="I44" s="6">
        <v>0.78</v>
      </c>
      <c r="J44" s="6">
        <v>0.45</v>
      </c>
      <c r="K44" s="6">
        <v>0.52</v>
      </c>
      <c r="L44" s="6">
        <v>0.62</v>
      </c>
      <c r="M44" s="6">
        <v>0.6</v>
      </c>
      <c r="N44" s="6">
        <v>0.33</v>
      </c>
      <c r="O44" s="6">
        <v>0.48</v>
      </c>
      <c r="P44" s="6">
        <v>0.71</v>
      </c>
      <c r="Q44" s="6">
        <v>0.86</v>
      </c>
      <c r="R44" s="6">
        <v>0.51</v>
      </c>
      <c r="S44" s="6">
        <v>0.1</v>
      </c>
      <c r="T44" s="6">
        <v>0.72</v>
      </c>
      <c r="U44" s="6">
        <v>0.92</v>
      </c>
    </row>
    <row r="45" spans="1:21" ht="15.75" thickBot="1" x14ac:dyDescent="0.3">
      <c r="A45" s="5" t="s">
        <v>64</v>
      </c>
      <c r="B45" s="6">
        <v>1.35</v>
      </c>
      <c r="C45" s="6">
        <v>0.84</v>
      </c>
      <c r="D45" s="6">
        <v>1.0900000000000001</v>
      </c>
      <c r="E45" s="6">
        <v>1.29</v>
      </c>
      <c r="F45" s="6">
        <v>0.98</v>
      </c>
      <c r="G45" s="6">
        <v>0.93</v>
      </c>
      <c r="H45" s="6">
        <v>1.0900000000000001</v>
      </c>
      <c r="I45" s="6">
        <v>1.18</v>
      </c>
      <c r="J45" s="6">
        <v>0.72</v>
      </c>
      <c r="K45" s="6">
        <v>0.95</v>
      </c>
      <c r="L45" s="6">
        <v>1.1599999999999999</v>
      </c>
      <c r="M45" s="6">
        <v>1</v>
      </c>
      <c r="N45" s="6">
        <v>0.56999999999999995</v>
      </c>
      <c r="O45" s="6">
        <v>0.82</v>
      </c>
      <c r="P45" s="6">
        <v>1.1499999999999999</v>
      </c>
      <c r="Q45" s="6">
        <v>1.31</v>
      </c>
      <c r="R45" s="6">
        <v>0.78</v>
      </c>
      <c r="S45" s="6">
        <v>0.16</v>
      </c>
      <c r="T45" s="6">
        <v>1.23</v>
      </c>
      <c r="U45" s="6">
        <v>1.45</v>
      </c>
    </row>
    <row r="46" spans="1:21" ht="15.75" thickBot="1" x14ac:dyDescent="0.3">
      <c r="A46" s="3" t="s">
        <v>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thickBot="1" x14ac:dyDescent="0.3">
      <c r="A47" s="5" t="s">
        <v>66</v>
      </c>
      <c r="B47" s="6">
        <v>97.16</v>
      </c>
      <c r="C47" s="6">
        <v>98.37</v>
      </c>
      <c r="D47" s="6">
        <v>98.78</v>
      </c>
      <c r="E47" s="6">
        <v>94.23</v>
      </c>
      <c r="F47" s="6">
        <v>96.72</v>
      </c>
      <c r="G47" s="6">
        <v>98.75</v>
      </c>
      <c r="H47" s="6">
        <v>99.39</v>
      </c>
      <c r="I47" s="6">
        <v>99.29</v>
      </c>
      <c r="J47" s="6">
        <v>99.53</v>
      </c>
      <c r="K47" s="6">
        <v>99.67</v>
      </c>
      <c r="L47" s="6">
        <v>99.81</v>
      </c>
      <c r="M47" s="6">
        <v>99.77</v>
      </c>
      <c r="N47" s="6">
        <v>99.88</v>
      </c>
      <c r="O47" s="6">
        <v>99.75</v>
      </c>
      <c r="P47" s="6">
        <v>99.71</v>
      </c>
      <c r="Q47" s="6">
        <v>99.62</v>
      </c>
      <c r="R47" s="6">
        <v>99.74</v>
      </c>
      <c r="S47" s="6">
        <v>99.75</v>
      </c>
      <c r="T47" s="6">
        <v>99.8</v>
      </c>
      <c r="U47" s="6">
        <v>97.73</v>
      </c>
    </row>
    <row r="48" spans="1:21" ht="15.75" thickBot="1" x14ac:dyDescent="0.3">
      <c r="A48" s="5" t="s">
        <v>67</v>
      </c>
      <c r="B48" s="6">
        <v>36.94</v>
      </c>
      <c r="C48" s="6">
        <v>18.45</v>
      </c>
      <c r="D48" s="6">
        <v>19.87</v>
      </c>
      <c r="E48" s="6">
        <v>16.600000000000001</v>
      </c>
      <c r="F48" s="6">
        <v>20.36</v>
      </c>
      <c r="G48" s="6">
        <v>23.81</v>
      </c>
      <c r="H48" s="6">
        <v>24.85</v>
      </c>
      <c r="I48" s="6">
        <v>18.059999999999999</v>
      </c>
      <c r="J48" s="6">
        <v>22.29</v>
      </c>
      <c r="K48" s="6">
        <v>29.82</v>
      </c>
      <c r="L48" s="6">
        <v>30.4</v>
      </c>
      <c r="M48" s="6">
        <v>28.79</v>
      </c>
      <c r="N48" s="6">
        <v>32.450000000000003</v>
      </c>
      <c r="O48" s="6">
        <v>27.94</v>
      </c>
      <c r="P48" s="6">
        <v>21.68</v>
      </c>
      <c r="Q48" s="6">
        <v>13.67</v>
      </c>
      <c r="R48" s="6">
        <v>23.15</v>
      </c>
      <c r="S48" s="6">
        <v>26.38</v>
      </c>
      <c r="T48" s="6">
        <v>25.81</v>
      </c>
      <c r="U48" s="6">
        <v>16.05</v>
      </c>
    </row>
    <row r="49" spans="1:21" ht="15.75" thickBot="1" x14ac:dyDescent="0.3">
      <c r="A49" s="5" t="s">
        <v>68</v>
      </c>
      <c r="B49" s="6">
        <v>51.27</v>
      </c>
      <c r="C49" s="6">
        <v>32.85</v>
      </c>
      <c r="D49" s="6">
        <v>34.33</v>
      </c>
      <c r="E49" s="6">
        <v>31.77</v>
      </c>
      <c r="F49" s="6">
        <v>35.47</v>
      </c>
      <c r="G49" s="6">
        <v>38.29</v>
      </c>
      <c r="H49" s="6">
        <v>40.58</v>
      </c>
      <c r="I49" s="6">
        <v>34.33</v>
      </c>
      <c r="J49" s="6">
        <v>37.299999999999997</v>
      </c>
      <c r="K49" s="6">
        <v>45.97</v>
      </c>
      <c r="L49" s="6">
        <v>46.82</v>
      </c>
      <c r="M49" s="6">
        <v>40.57</v>
      </c>
      <c r="N49" s="6">
        <v>42.37</v>
      </c>
      <c r="O49" s="6">
        <v>39.4</v>
      </c>
      <c r="P49" s="6">
        <v>38.21</v>
      </c>
      <c r="Q49" s="6">
        <v>29.29</v>
      </c>
      <c r="R49" s="6">
        <v>37.71</v>
      </c>
      <c r="S49" s="6">
        <v>39.369999999999997</v>
      </c>
      <c r="T49" s="6">
        <v>42.95</v>
      </c>
      <c r="U49" s="6">
        <v>29.82</v>
      </c>
    </row>
    <row r="50" spans="1:21" ht="15.75" thickBot="1" x14ac:dyDescent="0.3">
      <c r="A50" s="5" t="s">
        <v>69</v>
      </c>
      <c r="B50" s="6">
        <v>48.73</v>
      </c>
      <c r="C50" s="6">
        <v>67.150000000000006</v>
      </c>
      <c r="D50" s="6">
        <v>65.67</v>
      </c>
      <c r="E50" s="6">
        <v>68.23</v>
      </c>
      <c r="F50" s="6">
        <v>64.53</v>
      </c>
      <c r="G50" s="6">
        <v>61.71</v>
      </c>
      <c r="H50" s="6">
        <v>59.42</v>
      </c>
      <c r="I50" s="6">
        <v>65.67</v>
      </c>
      <c r="J50" s="6">
        <v>62.7</v>
      </c>
      <c r="K50" s="6">
        <v>54.03</v>
      </c>
      <c r="L50" s="6">
        <v>53.18</v>
      </c>
      <c r="M50" s="6">
        <v>59.43</v>
      </c>
      <c r="N50" s="6">
        <v>57.63</v>
      </c>
      <c r="O50" s="6">
        <v>60.6</v>
      </c>
      <c r="P50" s="6">
        <v>61.79</v>
      </c>
      <c r="Q50" s="6">
        <v>70.709999999999994</v>
      </c>
      <c r="R50" s="6">
        <v>62.29</v>
      </c>
      <c r="S50" s="6">
        <v>60.63</v>
      </c>
      <c r="T50" s="6">
        <v>57.05</v>
      </c>
      <c r="U50" s="6">
        <v>70.180000000000007</v>
      </c>
    </row>
    <row r="51" spans="1:21" ht="15.75" thickBot="1" x14ac:dyDescent="0.3">
      <c r="A51" s="5" t="s">
        <v>70</v>
      </c>
      <c r="B51" s="6">
        <v>102.2</v>
      </c>
      <c r="C51" s="6">
        <v>48.13</v>
      </c>
      <c r="D51" s="6">
        <v>51.64</v>
      </c>
      <c r="E51" s="6">
        <v>43.88</v>
      </c>
      <c r="F51" s="6">
        <v>53.16</v>
      </c>
      <c r="G51" s="6">
        <v>61.28</v>
      </c>
      <c r="H51" s="6">
        <v>67.88</v>
      </c>
      <c r="I51" s="6">
        <v>51.9</v>
      </c>
      <c r="J51" s="6">
        <v>59.22</v>
      </c>
      <c r="K51" s="6">
        <v>84.79</v>
      </c>
      <c r="L51" s="6">
        <v>87.85</v>
      </c>
      <c r="M51" s="6">
        <v>68.12</v>
      </c>
      <c r="N51" s="6">
        <v>99.88</v>
      </c>
      <c r="O51" s="6">
        <v>99.75</v>
      </c>
      <c r="P51" s="6">
        <v>99.71</v>
      </c>
      <c r="Q51" s="6">
        <v>99.62</v>
      </c>
      <c r="R51" s="6">
        <v>99.74</v>
      </c>
      <c r="S51" s="6">
        <v>99.75</v>
      </c>
      <c r="T51" s="6">
        <v>99.8</v>
      </c>
      <c r="U51" s="6">
        <v>97.73</v>
      </c>
    </row>
    <row r="52" spans="1:21" ht="15.75" thickBot="1" x14ac:dyDescent="0.3">
      <c r="A52" s="5" t="s">
        <v>71</v>
      </c>
      <c r="B52" s="6">
        <v>75.790000000000006</v>
      </c>
      <c r="C52" s="6">
        <v>27.47</v>
      </c>
      <c r="D52" s="6">
        <v>30.25</v>
      </c>
      <c r="E52" s="6">
        <v>24.34</v>
      </c>
      <c r="F52" s="6">
        <v>31.55</v>
      </c>
      <c r="G52" s="6">
        <v>38.590000000000003</v>
      </c>
      <c r="H52" s="6">
        <v>41.82</v>
      </c>
      <c r="I52" s="6">
        <v>27.5</v>
      </c>
      <c r="J52" s="6">
        <v>35.549999999999997</v>
      </c>
      <c r="K52" s="6">
        <v>55.19</v>
      </c>
      <c r="L52" s="6">
        <v>57.16</v>
      </c>
      <c r="M52" s="6">
        <v>48.45</v>
      </c>
      <c r="N52" s="6">
        <v>56.31</v>
      </c>
      <c r="O52" s="6">
        <v>46.1</v>
      </c>
      <c r="P52" s="6">
        <v>35.090000000000003</v>
      </c>
      <c r="Q52" s="6">
        <v>19.329999999999998</v>
      </c>
      <c r="R52" s="6">
        <v>37.159999999999997</v>
      </c>
      <c r="S52" s="6">
        <v>43.51</v>
      </c>
      <c r="T52" s="6">
        <v>45.24</v>
      </c>
      <c r="U52" s="6">
        <v>22.87</v>
      </c>
    </row>
    <row r="53" spans="1:21" ht="15.75" thickBot="1" x14ac:dyDescent="0.3">
      <c r="A53" s="5" t="s">
        <v>72</v>
      </c>
      <c r="B53" s="6">
        <v>105.19</v>
      </c>
      <c r="C53" s="6">
        <v>48.93</v>
      </c>
      <c r="D53" s="6">
        <v>52.27</v>
      </c>
      <c r="E53" s="6">
        <v>46.56</v>
      </c>
      <c r="F53" s="6">
        <v>54.96</v>
      </c>
      <c r="G53" s="6">
        <v>62.06</v>
      </c>
      <c r="H53" s="6">
        <v>68.3</v>
      </c>
      <c r="I53" s="6">
        <v>52.27</v>
      </c>
      <c r="J53" s="6">
        <v>59.5</v>
      </c>
      <c r="K53" s="6">
        <v>85.07</v>
      </c>
      <c r="L53" s="6">
        <v>88.02</v>
      </c>
      <c r="M53" s="6">
        <v>68.28</v>
      </c>
      <c r="N53" s="6">
        <v>73.52</v>
      </c>
      <c r="O53" s="6">
        <v>65.010000000000005</v>
      </c>
      <c r="P53" s="6">
        <v>61.84</v>
      </c>
      <c r="Q53" s="6">
        <v>41.43</v>
      </c>
      <c r="R53" s="6">
        <v>60.54</v>
      </c>
      <c r="S53" s="6">
        <v>64.930000000000007</v>
      </c>
      <c r="T53" s="6">
        <v>75.3</v>
      </c>
      <c r="U53" s="6">
        <v>42.48</v>
      </c>
    </row>
    <row r="54" spans="1:21" ht="15.75" thickBot="1" x14ac:dyDescent="0.3">
      <c r="A54" s="3" t="s">
        <v>73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thickBot="1" x14ac:dyDescent="0.3">
      <c r="A55" s="5" t="s">
        <v>74</v>
      </c>
      <c r="B55" s="6">
        <v>0</v>
      </c>
      <c r="C55" s="6">
        <v>0</v>
      </c>
      <c r="D55" s="6">
        <v>0</v>
      </c>
      <c r="E55" s="6">
        <v>3.75</v>
      </c>
      <c r="F55" s="6">
        <v>0</v>
      </c>
      <c r="G55" s="6">
        <v>0</v>
      </c>
      <c r="H55" s="6">
        <v>0</v>
      </c>
      <c r="I55" s="6">
        <v>11.04</v>
      </c>
      <c r="J55" s="6">
        <v>0</v>
      </c>
      <c r="K55" s="6">
        <v>0</v>
      </c>
      <c r="L55" s="6">
        <v>0</v>
      </c>
      <c r="M55" s="6">
        <v>8.6999999999999993</v>
      </c>
      <c r="N55" s="6">
        <v>0</v>
      </c>
      <c r="O55" s="6">
        <v>0</v>
      </c>
      <c r="P55" s="6">
        <v>0</v>
      </c>
      <c r="Q55" s="6">
        <v>7.3</v>
      </c>
      <c r="R55" s="6"/>
      <c r="S55" s="6"/>
      <c r="T55" s="6"/>
      <c r="U55" s="6">
        <v>16.829999999999998</v>
      </c>
    </row>
    <row r="56" spans="1:21" ht="15.75" thickBot="1" x14ac:dyDescent="0.3">
      <c r="A56" s="5" t="s">
        <v>75</v>
      </c>
      <c r="B56" s="6">
        <v>0</v>
      </c>
      <c r="C56" s="6">
        <v>0</v>
      </c>
      <c r="D56" s="6">
        <v>0</v>
      </c>
      <c r="E56" s="6">
        <v>11.06</v>
      </c>
      <c r="F56" s="6">
        <v>0</v>
      </c>
      <c r="G56" s="6">
        <v>0</v>
      </c>
      <c r="H56" s="6">
        <v>0</v>
      </c>
      <c r="I56" s="6">
        <v>25.19</v>
      </c>
      <c r="J56" s="6">
        <v>0</v>
      </c>
      <c r="K56" s="6">
        <v>0</v>
      </c>
      <c r="L56" s="6">
        <v>0</v>
      </c>
      <c r="M56" s="6">
        <v>12.81</v>
      </c>
      <c r="N56" s="6">
        <v>0</v>
      </c>
      <c r="O56" s="6">
        <v>0</v>
      </c>
      <c r="P56" s="6">
        <v>0</v>
      </c>
      <c r="Q56" s="6">
        <v>22.09</v>
      </c>
      <c r="R56" s="6"/>
      <c r="S56" s="6"/>
      <c r="T56" s="6"/>
      <c r="U56" s="6">
        <v>51.33</v>
      </c>
    </row>
    <row r="57" spans="1:21" ht="15.75" thickBot="1" x14ac:dyDescent="0.3">
      <c r="A57" s="5" t="s">
        <v>76</v>
      </c>
      <c r="B57" s="6">
        <v>0</v>
      </c>
      <c r="C57" s="6">
        <v>0</v>
      </c>
      <c r="D57" s="6">
        <v>0</v>
      </c>
      <c r="E57" s="6">
        <v>-6.65</v>
      </c>
      <c r="F57" s="6">
        <v>0</v>
      </c>
      <c r="G57" s="6">
        <v>0</v>
      </c>
      <c r="H57" s="6">
        <v>0</v>
      </c>
      <c r="I57" s="6">
        <v>-5.33</v>
      </c>
      <c r="J57" s="6">
        <v>0</v>
      </c>
      <c r="K57" s="6">
        <v>0</v>
      </c>
      <c r="L57" s="6">
        <v>0</v>
      </c>
      <c r="M57" s="6">
        <v>6.09</v>
      </c>
      <c r="N57" s="6">
        <v>0</v>
      </c>
      <c r="O57" s="6">
        <v>0</v>
      </c>
      <c r="P57" s="6">
        <v>0</v>
      </c>
      <c r="Q57" s="6">
        <v>-8.8000000000000007</v>
      </c>
      <c r="R57" s="6"/>
      <c r="S57" s="6"/>
      <c r="T57" s="6"/>
      <c r="U57" s="6">
        <v>63.01</v>
      </c>
    </row>
    <row r="58" spans="1:21" ht="15.75" thickBot="1" x14ac:dyDescent="0.3">
      <c r="A58" s="5" t="s">
        <v>77</v>
      </c>
      <c r="B58" s="6">
        <v>3.6</v>
      </c>
      <c r="C58" s="6">
        <v>6.28</v>
      </c>
      <c r="D58" s="6">
        <v>8.98</v>
      </c>
      <c r="E58" s="6">
        <v>10.48</v>
      </c>
      <c r="F58" s="6">
        <v>8.19</v>
      </c>
      <c r="G58" s="6">
        <v>7.77</v>
      </c>
      <c r="H58" s="6">
        <v>11.06</v>
      </c>
      <c r="I58" s="6">
        <v>-0.96</v>
      </c>
      <c r="J58" s="6">
        <v>7.05</v>
      </c>
      <c r="K58" s="6">
        <v>14.88</v>
      </c>
      <c r="L58" s="6">
        <v>11.88</v>
      </c>
      <c r="M58" s="6">
        <v>7.0000000000000007E-2</v>
      </c>
      <c r="N58" s="6">
        <v>0.28000000000000003</v>
      </c>
      <c r="O58" s="6">
        <v>-2.66</v>
      </c>
      <c r="P58" s="6">
        <v>-4.01</v>
      </c>
      <c r="Q58" s="6">
        <v>-0.11</v>
      </c>
      <c r="R58" s="6"/>
      <c r="S58" s="6"/>
      <c r="T58" s="6"/>
      <c r="U58" s="6"/>
    </row>
    <row r="59" spans="1:21" ht="15.75" thickBot="1" x14ac:dyDescent="0.3">
      <c r="A59" s="5" t="s">
        <v>78</v>
      </c>
      <c r="B59" s="6">
        <v>4.3600000000000003</v>
      </c>
      <c r="C59" s="6">
        <v>4.0599999999999996</v>
      </c>
      <c r="D59" s="6">
        <v>6.61</v>
      </c>
      <c r="E59" s="6">
        <v>6.25</v>
      </c>
      <c r="F59" s="6">
        <v>4.4400000000000004</v>
      </c>
      <c r="G59" s="6">
        <v>4.04</v>
      </c>
      <c r="H59" s="6">
        <v>5.49</v>
      </c>
      <c r="I59" s="6">
        <v>-0.87</v>
      </c>
      <c r="J59" s="6">
        <v>3.23</v>
      </c>
      <c r="K59" s="6">
        <v>3.55</v>
      </c>
      <c r="L59" s="6">
        <v>5.75</v>
      </c>
      <c r="M59" s="6">
        <v>0.03</v>
      </c>
      <c r="N59" s="6">
        <v>0.45</v>
      </c>
      <c r="O59" s="6">
        <v>2.88</v>
      </c>
      <c r="P59" s="6">
        <v>6.29</v>
      </c>
      <c r="Q59" s="6">
        <v>-0.11</v>
      </c>
      <c r="R59" s="6"/>
      <c r="S59" s="6"/>
      <c r="T59" s="6"/>
      <c r="U59" s="6"/>
    </row>
    <row r="60" spans="1:21" ht="15.75" thickBot="1" x14ac:dyDescent="0.3">
      <c r="A60" s="5" t="s">
        <v>79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6.45</v>
      </c>
      <c r="R60" s="6"/>
      <c r="S60" s="6"/>
      <c r="T60" s="6"/>
      <c r="U60" s="6">
        <v>14.96</v>
      </c>
    </row>
    <row r="61" spans="1:21" ht="15.75" thickBot="1" x14ac:dyDescent="0.3">
      <c r="A61" s="5" t="s">
        <v>80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9.1199999999999992</v>
      </c>
      <c r="R61" s="6"/>
      <c r="S61" s="6"/>
      <c r="T61" s="6"/>
      <c r="U61" s="6">
        <v>21.31</v>
      </c>
    </row>
    <row r="62" spans="1:21" ht="15.75" thickBot="1" x14ac:dyDescent="0.3">
      <c r="A62" s="5" t="s">
        <v>81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80.8</v>
      </c>
      <c r="R62" s="6"/>
      <c r="S62" s="6"/>
      <c r="T62" s="6"/>
      <c r="U62" s="6">
        <v>186.9</v>
      </c>
    </row>
    <row r="63" spans="1:21" ht="15.75" thickBot="1" x14ac:dyDescent="0.3">
      <c r="A63" s="5" t="s">
        <v>82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22.01</v>
      </c>
      <c r="R63" s="6"/>
      <c r="S63" s="6"/>
      <c r="T63" s="6"/>
      <c r="U63" s="6">
        <v>50.17</v>
      </c>
    </row>
    <row r="64" spans="1:21" ht="15.75" thickBot="1" x14ac:dyDescent="0.3">
      <c r="A64" s="5" t="s">
        <v>83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18">
        <v>2306.9</v>
      </c>
      <c r="R64" s="6"/>
      <c r="S64" s="6"/>
      <c r="T64" s="6"/>
      <c r="U64" s="18">
        <v>7506.72</v>
      </c>
    </row>
    <row r="65" spans="1:21" ht="15.75" thickBot="1" x14ac:dyDescent="0.3">
      <c r="A65" s="3" t="s">
        <v>84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thickBot="1" x14ac:dyDescent="0.3">
      <c r="A66" s="5" t="s">
        <v>85</v>
      </c>
      <c r="B66" s="6">
        <v>82.94</v>
      </c>
      <c r="C66" s="6">
        <v>82.62</v>
      </c>
      <c r="D66" s="6">
        <v>82.45</v>
      </c>
      <c r="E66" s="6">
        <v>81.400000000000006</v>
      </c>
      <c r="F66" s="6">
        <v>81.88</v>
      </c>
      <c r="G66" s="6">
        <v>80.959999999999994</v>
      </c>
      <c r="H66" s="6">
        <v>79.680000000000007</v>
      </c>
      <c r="I66" s="6">
        <v>78.06</v>
      </c>
      <c r="J66" s="6">
        <v>78.540000000000006</v>
      </c>
      <c r="K66" s="6">
        <v>80.86</v>
      </c>
      <c r="L66" s="6">
        <v>80.78</v>
      </c>
      <c r="M66" s="6">
        <v>79.010000000000005</v>
      </c>
      <c r="N66" s="6">
        <v>82.75</v>
      </c>
      <c r="O66" s="6">
        <v>81.28</v>
      </c>
      <c r="P66" s="6">
        <v>79.849999999999994</v>
      </c>
      <c r="Q66" s="6">
        <v>81.55</v>
      </c>
      <c r="R66" s="6">
        <v>81.260000000000005</v>
      </c>
      <c r="S66" s="6">
        <v>82.22</v>
      </c>
      <c r="T66" s="6">
        <v>82.3</v>
      </c>
      <c r="U66" s="6">
        <v>82.64</v>
      </c>
    </row>
    <row r="67" spans="1:21" ht="15.75" thickBot="1" x14ac:dyDescent="0.3">
      <c r="A67" s="5" t="s">
        <v>86</v>
      </c>
      <c r="B67" s="6">
        <v>7.93</v>
      </c>
      <c r="C67" s="6">
        <v>8.02</v>
      </c>
      <c r="D67" s="6">
        <v>6.92</v>
      </c>
      <c r="E67" s="6">
        <v>6.8</v>
      </c>
      <c r="F67" s="6">
        <v>8.36</v>
      </c>
      <c r="G67" s="6">
        <v>8.51</v>
      </c>
      <c r="H67" s="6">
        <v>8.66</v>
      </c>
      <c r="I67" s="6">
        <v>7.68</v>
      </c>
      <c r="J67" s="6">
        <v>9.69</v>
      </c>
      <c r="K67" s="6">
        <v>8.66</v>
      </c>
      <c r="L67" s="6">
        <v>6.91</v>
      </c>
      <c r="M67" s="6">
        <v>7.36</v>
      </c>
      <c r="N67" s="6">
        <v>10.54</v>
      </c>
      <c r="O67" s="6">
        <v>8.1300000000000008</v>
      </c>
      <c r="P67" s="6">
        <v>7.61</v>
      </c>
      <c r="Q67" s="6">
        <v>7</v>
      </c>
      <c r="R67" s="6">
        <v>9.44</v>
      </c>
      <c r="S67" s="6">
        <v>28.6</v>
      </c>
      <c r="T67" s="6">
        <v>7.32</v>
      </c>
      <c r="U67" s="6">
        <v>6.33</v>
      </c>
    </row>
    <row r="68" spans="1:21" ht="15.75" thickBot="1" x14ac:dyDescent="0.3">
      <c r="A68" s="5" t="s">
        <v>87</v>
      </c>
      <c r="B68" s="6">
        <v>1.82</v>
      </c>
      <c r="C68" s="6">
        <v>2.0499999999999998</v>
      </c>
      <c r="D68" s="6">
        <v>1.83</v>
      </c>
      <c r="E68" s="6">
        <v>1.46</v>
      </c>
      <c r="F68" s="6">
        <v>2.29</v>
      </c>
      <c r="G68" s="6">
        <v>2.95</v>
      </c>
      <c r="H68" s="6">
        <v>2.92</v>
      </c>
      <c r="I68" s="6">
        <v>2.42</v>
      </c>
      <c r="J68" s="6">
        <v>3.92</v>
      </c>
      <c r="K68" s="6">
        <v>2.89</v>
      </c>
      <c r="L68" s="6">
        <v>2.5099999999999998</v>
      </c>
      <c r="M68" s="6">
        <v>2.56</v>
      </c>
      <c r="N68" s="6">
        <v>3.51</v>
      </c>
      <c r="O68" s="6">
        <v>2.88</v>
      </c>
      <c r="P68" s="6">
        <v>2.88</v>
      </c>
      <c r="Q68" s="6">
        <v>2.13</v>
      </c>
      <c r="R68" s="6">
        <v>2.81</v>
      </c>
      <c r="S68" s="6">
        <v>8.39</v>
      </c>
      <c r="T68" s="6">
        <v>1.7</v>
      </c>
      <c r="U68" s="6">
        <v>1.74</v>
      </c>
    </row>
    <row r="69" spans="1:21" ht="15.75" thickBot="1" x14ac:dyDescent="0.3">
      <c r="A69" s="5" t="s">
        <v>88</v>
      </c>
      <c r="B69" s="6">
        <v>0.71</v>
      </c>
      <c r="C69" s="6">
        <v>0.46</v>
      </c>
      <c r="D69" s="6">
        <v>0.3</v>
      </c>
      <c r="E69" s="6">
        <v>0.33</v>
      </c>
      <c r="F69" s="6">
        <v>0.35</v>
      </c>
      <c r="G69" s="6">
        <v>0.49</v>
      </c>
      <c r="H69" s="6">
        <v>0.52</v>
      </c>
      <c r="I69" s="6">
        <v>0.5</v>
      </c>
      <c r="J69" s="6">
        <v>0.72</v>
      </c>
      <c r="K69" s="6">
        <v>0.74</v>
      </c>
      <c r="L69" s="6">
        <v>0.77</v>
      </c>
      <c r="M69" s="6">
        <v>0.81</v>
      </c>
      <c r="N69" s="6">
        <v>1.61</v>
      </c>
      <c r="O69" s="6">
        <v>1.04</v>
      </c>
      <c r="P69" s="6">
        <v>0.5</v>
      </c>
      <c r="Q69" s="6">
        <v>0.32</v>
      </c>
      <c r="R69" s="6">
        <v>0.47</v>
      </c>
      <c r="S69" s="6">
        <v>3.16</v>
      </c>
      <c r="T69" s="6">
        <v>0.46</v>
      </c>
      <c r="U69" s="6">
        <v>0.3</v>
      </c>
    </row>
    <row r="70" spans="1:21" ht="15.75" thickBot="1" x14ac:dyDescent="0.3">
      <c r="A70" s="3" t="s">
        <v>89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thickBot="1" x14ac:dyDescent="0.3">
      <c r="A71" s="5" t="s">
        <v>90</v>
      </c>
      <c r="B71" s="6">
        <v>85.8</v>
      </c>
      <c r="C71" s="6">
        <v>85.65</v>
      </c>
      <c r="D71" s="6">
        <v>86.73</v>
      </c>
      <c r="E71" s="6">
        <v>82.6</v>
      </c>
      <c r="F71" s="6">
        <v>83.09</v>
      </c>
      <c r="G71" s="6">
        <v>81.94</v>
      </c>
      <c r="H71" s="6">
        <v>83.77</v>
      </c>
      <c r="I71" s="6">
        <v>82.34</v>
      </c>
      <c r="J71" s="6">
        <v>81.72</v>
      </c>
      <c r="K71" s="6">
        <v>83.88</v>
      </c>
      <c r="L71" s="6">
        <v>85.24</v>
      </c>
      <c r="M71" s="6">
        <v>84.6</v>
      </c>
      <c r="N71" s="6">
        <v>84.07</v>
      </c>
      <c r="O71" s="6">
        <v>83.87</v>
      </c>
      <c r="P71" s="6">
        <v>84.21</v>
      </c>
      <c r="Q71" s="6">
        <v>83.84</v>
      </c>
      <c r="R71" s="6">
        <v>85.81</v>
      </c>
      <c r="S71" s="6">
        <v>86.02</v>
      </c>
      <c r="T71" s="6">
        <v>87.42</v>
      </c>
      <c r="U71" s="6">
        <v>88.45</v>
      </c>
    </row>
    <row r="72" spans="1:21" ht="15.75" thickBot="1" x14ac:dyDescent="0.3">
      <c r="A72" s="5" t="s">
        <v>91</v>
      </c>
      <c r="B72" s="6">
        <v>1.3</v>
      </c>
      <c r="C72" s="6">
        <v>3.21</v>
      </c>
      <c r="D72" s="6">
        <v>8.6</v>
      </c>
      <c r="E72" s="6">
        <v>2.11</v>
      </c>
      <c r="F72" s="6">
        <v>2.29</v>
      </c>
      <c r="G72" s="6">
        <v>2.62</v>
      </c>
      <c r="H72" s="6">
        <v>3.92</v>
      </c>
      <c r="I72" s="6">
        <v>1.87</v>
      </c>
      <c r="J72" s="6">
        <v>2.2799999999999998</v>
      </c>
      <c r="K72" s="6">
        <v>1.51</v>
      </c>
      <c r="L72" s="6">
        <v>1.3</v>
      </c>
      <c r="M72" s="6">
        <v>4.26</v>
      </c>
      <c r="N72" s="6">
        <v>3.35</v>
      </c>
      <c r="O72" s="6">
        <v>3.42</v>
      </c>
      <c r="P72" s="6">
        <v>5.91</v>
      </c>
      <c r="Q72" s="6">
        <v>3.13</v>
      </c>
      <c r="R72" s="6">
        <v>3.17</v>
      </c>
      <c r="S72" s="6">
        <v>2.44</v>
      </c>
      <c r="T72" s="6">
        <v>3.88</v>
      </c>
      <c r="U72" s="6">
        <v>24.28</v>
      </c>
    </row>
    <row r="73" spans="1:21" ht="15.75" thickBot="1" x14ac:dyDescent="0.3">
      <c r="A73" s="5" t="s">
        <v>92</v>
      </c>
      <c r="B73" s="6">
        <v>0</v>
      </c>
      <c r="C73" s="6">
        <v>4.5999999999999996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/>
      <c r="S73" s="6"/>
      <c r="T73" s="6"/>
      <c r="U73" s="6"/>
    </row>
    <row r="74" spans="1:21" ht="15.75" thickBot="1" x14ac:dyDescent="0.3">
      <c r="A74" s="5" t="s">
        <v>93</v>
      </c>
      <c r="B74" s="6">
        <v>2.54</v>
      </c>
      <c r="C74" s="6">
        <v>2.4</v>
      </c>
      <c r="D74" s="6">
        <v>2.1800000000000002</v>
      </c>
      <c r="E74" s="6">
        <v>2.8</v>
      </c>
      <c r="F74" s="6">
        <v>2.96</v>
      </c>
      <c r="G74" s="6">
        <v>3.81</v>
      </c>
      <c r="H74" s="6">
        <v>3.33</v>
      </c>
      <c r="I74" s="6">
        <v>5.2</v>
      </c>
      <c r="J74" s="6">
        <v>4.1399999999999997</v>
      </c>
      <c r="K74" s="6">
        <v>5.16</v>
      </c>
      <c r="L74" s="6">
        <v>1.89</v>
      </c>
      <c r="M74" s="6">
        <v>1.96</v>
      </c>
      <c r="N74" s="6">
        <v>1.82</v>
      </c>
      <c r="O74" s="6">
        <v>2.2400000000000002</v>
      </c>
      <c r="P74" s="6">
        <v>1.4</v>
      </c>
      <c r="Q74" s="6">
        <v>1.77</v>
      </c>
      <c r="R74" s="6">
        <v>1.42</v>
      </c>
      <c r="S74" s="6">
        <v>1.66</v>
      </c>
      <c r="T74" s="6">
        <v>1.19</v>
      </c>
      <c r="U74" s="6">
        <v>1.3</v>
      </c>
    </row>
    <row r="75" spans="1:21" ht="15.75" thickBot="1" x14ac:dyDescent="0.3">
      <c r="A75" s="5" t="s">
        <v>94</v>
      </c>
      <c r="B75" s="6">
        <v>94.36</v>
      </c>
      <c r="C75" s="6">
        <v>87.69</v>
      </c>
      <c r="D75" s="6">
        <v>87.31</v>
      </c>
      <c r="E75" s="6">
        <v>93.16</v>
      </c>
      <c r="F75" s="6">
        <v>92.98</v>
      </c>
      <c r="G75" s="6">
        <v>91.83</v>
      </c>
      <c r="H75" s="6">
        <v>91.2</v>
      </c>
      <c r="I75" s="6">
        <v>91.67</v>
      </c>
      <c r="J75" s="6">
        <v>92.45</v>
      </c>
      <c r="K75" s="6">
        <v>92.12</v>
      </c>
      <c r="L75" s="6">
        <v>95.75</v>
      </c>
      <c r="M75" s="6">
        <v>92.84</v>
      </c>
      <c r="N75" s="6">
        <v>93.76</v>
      </c>
      <c r="O75" s="6">
        <v>93.22</v>
      </c>
      <c r="P75" s="6">
        <v>91.61</v>
      </c>
      <c r="Q75" s="6">
        <v>94.13</v>
      </c>
      <c r="R75" s="6">
        <v>94.56</v>
      </c>
      <c r="S75" s="6">
        <v>95.22</v>
      </c>
      <c r="T75" s="6">
        <v>94.21</v>
      </c>
      <c r="U75" s="6">
        <v>73.8</v>
      </c>
    </row>
    <row r="76" spans="1:21" ht="15.75" thickBot="1" x14ac:dyDescent="0.3">
      <c r="A76" s="5" t="s">
        <v>95</v>
      </c>
      <c r="B76" s="6">
        <v>1.8</v>
      </c>
      <c r="C76" s="6">
        <v>2.1</v>
      </c>
      <c r="D76" s="6">
        <v>1.91</v>
      </c>
      <c r="E76" s="6">
        <v>1.91</v>
      </c>
      <c r="F76" s="6">
        <v>1.76</v>
      </c>
      <c r="G76" s="6">
        <v>1.74</v>
      </c>
      <c r="H76" s="6">
        <v>1.56</v>
      </c>
      <c r="I76" s="6">
        <v>1.26</v>
      </c>
      <c r="J76" s="6">
        <v>1.1299999999999999</v>
      </c>
      <c r="K76" s="6">
        <v>1.21</v>
      </c>
      <c r="L76" s="6">
        <v>1.06</v>
      </c>
      <c r="M76" s="6">
        <v>0.95</v>
      </c>
      <c r="N76" s="6">
        <v>1.07</v>
      </c>
      <c r="O76" s="6">
        <v>1.1200000000000001</v>
      </c>
      <c r="P76" s="6">
        <v>1.07</v>
      </c>
      <c r="Q76" s="6">
        <v>0.98</v>
      </c>
      <c r="R76" s="6">
        <v>0.84</v>
      </c>
      <c r="S76" s="6">
        <v>0.69</v>
      </c>
      <c r="T76" s="6">
        <v>0.71</v>
      </c>
      <c r="U76" s="6">
        <v>0.62</v>
      </c>
    </row>
    <row r="77" spans="1:21" ht="15.75" thickBot="1" x14ac:dyDescent="0.3">
      <c r="A77" s="3" t="s">
        <v>96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thickBot="1" x14ac:dyDescent="0.3">
      <c r="A78" s="5" t="s">
        <v>97</v>
      </c>
      <c r="B78" s="6">
        <v>14.2</v>
      </c>
      <c r="C78" s="6">
        <v>14.35</v>
      </c>
      <c r="D78" s="6">
        <v>13.27</v>
      </c>
      <c r="E78" s="6">
        <v>17.399999999999999</v>
      </c>
      <c r="F78" s="6">
        <v>16.91</v>
      </c>
      <c r="G78" s="6">
        <v>18.059999999999999</v>
      </c>
      <c r="H78" s="6">
        <v>16.23</v>
      </c>
      <c r="I78" s="6">
        <v>17.66</v>
      </c>
      <c r="J78" s="6">
        <v>18.28</v>
      </c>
      <c r="K78" s="6">
        <v>16.12</v>
      </c>
      <c r="L78" s="6">
        <v>14.76</v>
      </c>
      <c r="M78" s="6">
        <v>15.4</v>
      </c>
      <c r="N78" s="6">
        <v>15.93</v>
      </c>
      <c r="O78" s="6">
        <v>16.13</v>
      </c>
      <c r="P78" s="6">
        <v>15.79</v>
      </c>
      <c r="Q78" s="6">
        <v>16.16</v>
      </c>
      <c r="R78" s="6">
        <v>14.19</v>
      </c>
      <c r="S78" s="6">
        <v>13.98</v>
      </c>
      <c r="T78" s="6">
        <v>12.58</v>
      </c>
      <c r="U78" s="6">
        <v>11.55</v>
      </c>
    </row>
    <row r="79" spans="1:21" ht="15.75" thickBot="1" x14ac:dyDescent="0.3">
      <c r="A79" s="5" t="s">
        <v>98</v>
      </c>
      <c r="B79" s="6">
        <v>11.41</v>
      </c>
      <c r="C79" s="6">
        <v>10.06</v>
      </c>
      <c r="D79" s="6">
        <v>10.85</v>
      </c>
      <c r="E79" s="6">
        <v>14.27</v>
      </c>
      <c r="F79" s="6">
        <v>13.41</v>
      </c>
      <c r="G79" s="6">
        <v>12.49</v>
      </c>
      <c r="H79" s="6">
        <v>11.41</v>
      </c>
      <c r="I79" s="6">
        <v>11.77</v>
      </c>
      <c r="J79" s="6">
        <v>12.41</v>
      </c>
      <c r="K79" s="6">
        <v>11.8</v>
      </c>
      <c r="L79" s="6">
        <v>10.74</v>
      </c>
      <c r="M79" s="6">
        <v>11.16</v>
      </c>
      <c r="N79" s="6">
        <v>11.5</v>
      </c>
      <c r="O79" s="6">
        <v>11.5</v>
      </c>
      <c r="P79" s="6">
        <v>10.98</v>
      </c>
      <c r="Q79" s="6">
        <v>11.28</v>
      </c>
      <c r="R79" s="6">
        <v>10.02</v>
      </c>
      <c r="S79" s="6">
        <v>9.9</v>
      </c>
      <c r="T79" s="6">
        <v>8.6300000000000008</v>
      </c>
      <c r="U79" s="6">
        <v>7.84</v>
      </c>
    </row>
    <row r="80" spans="1:21" ht="15.75" thickBot="1" x14ac:dyDescent="0.3">
      <c r="A80" s="5" t="s">
        <v>99</v>
      </c>
      <c r="B80" s="6">
        <v>49.45</v>
      </c>
      <c r="C80" s="6">
        <v>49.83</v>
      </c>
      <c r="D80" s="6">
        <v>42.23</v>
      </c>
      <c r="E80" s="6">
        <v>31.13</v>
      </c>
      <c r="F80" s="6">
        <v>32.659999999999997</v>
      </c>
      <c r="G80" s="6">
        <v>32.869999999999997</v>
      </c>
      <c r="H80" s="6">
        <v>31.41</v>
      </c>
      <c r="I80" s="6">
        <v>32.03</v>
      </c>
      <c r="J80" s="6">
        <v>28.96</v>
      </c>
      <c r="K80" s="6">
        <v>28.88</v>
      </c>
      <c r="L80" s="6">
        <v>28.56</v>
      </c>
      <c r="M80" s="6">
        <v>29.76</v>
      </c>
      <c r="N80" s="6">
        <v>30.27</v>
      </c>
      <c r="O80" s="6">
        <v>30.06</v>
      </c>
      <c r="P80" s="6">
        <v>30.19</v>
      </c>
      <c r="Q80" s="6">
        <v>29.48</v>
      </c>
      <c r="R80" s="6">
        <v>28.43</v>
      </c>
      <c r="S80" s="6">
        <v>27.84</v>
      </c>
      <c r="T80" s="6">
        <v>28.48</v>
      </c>
      <c r="U80" s="6">
        <v>27.64</v>
      </c>
    </row>
    <row r="81" spans="1:21" ht="15.75" thickBot="1" x14ac:dyDescent="0.3">
      <c r="A81" s="5" t="s">
        <v>100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/>
      <c r="S81" s="6"/>
      <c r="T81" s="6"/>
      <c r="U81" s="6"/>
    </row>
    <row r="82" spans="1:21" ht="15.75" thickBot="1" x14ac:dyDescent="0.3">
      <c r="A82" s="5" t="s">
        <v>101</v>
      </c>
      <c r="B82" s="6">
        <v>50.55</v>
      </c>
      <c r="C82" s="6">
        <v>50.17</v>
      </c>
      <c r="D82" s="6">
        <v>57.77</v>
      </c>
      <c r="E82" s="6">
        <v>68.87</v>
      </c>
      <c r="F82" s="6">
        <v>67.34</v>
      </c>
      <c r="G82" s="6">
        <v>67.13</v>
      </c>
      <c r="H82" s="6">
        <v>68.59</v>
      </c>
      <c r="I82" s="6">
        <v>67.97</v>
      </c>
      <c r="J82" s="6">
        <v>71.040000000000006</v>
      </c>
      <c r="K82" s="6">
        <v>71.12</v>
      </c>
      <c r="L82" s="6">
        <v>71.44</v>
      </c>
      <c r="M82" s="6">
        <v>70.239999999999995</v>
      </c>
      <c r="N82" s="6">
        <v>69.73</v>
      </c>
      <c r="O82" s="6">
        <v>69.94</v>
      </c>
      <c r="P82" s="6">
        <v>69.81</v>
      </c>
      <c r="Q82" s="6">
        <v>70.52</v>
      </c>
      <c r="R82" s="6">
        <v>71.569999999999993</v>
      </c>
      <c r="S82" s="6">
        <v>72.16</v>
      </c>
      <c r="T82" s="6">
        <v>71.52</v>
      </c>
      <c r="U82" s="6">
        <v>72.36</v>
      </c>
    </row>
    <row r="83" spans="1:21" x14ac:dyDescent="0.25">
      <c r="A83" s="5" t="s">
        <v>102</v>
      </c>
      <c r="B83" s="6">
        <v>6.04</v>
      </c>
      <c r="C83" s="6">
        <v>21.43</v>
      </c>
      <c r="D83" s="6">
        <v>1.98</v>
      </c>
      <c r="E83" s="6">
        <v>5.17</v>
      </c>
      <c r="F83" s="6">
        <v>8.27</v>
      </c>
      <c r="G83" s="6">
        <v>12.76</v>
      </c>
      <c r="H83" s="6">
        <v>9.4499999999999993</v>
      </c>
      <c r="I83" s="6">
        <v>15.56</v>
      </c>
      <c r="J83" s="6">
        <v>14.03</v>
      </c>
      <c r="K83" s="6">
        <v>3.17</v>
      </c>
      <c r="L83" s="6">
        <v>3.08</v>
      </c>
      <c r="M83" s="6">
        <v>3.17</v>
      </c>
      <c r="N83" s="6">
        <v>3.33</v>
      </c>
      <c r="O83" s="6">
        <v>3.28</v>
      </c>
      <c r="P83" s="6">
        <v>0</v>
      </c>
      <c r="Q83" s="6">
        <v>3.59</v>
      </c>
      <c r="R83" s="6">
        <v>3.64</v>
      </c>
      <c r="S83" s="6">
        <v>3.68</v>
      </c>
      <c r="T83" s="6">
        <v>3.38</v>
      </c>
      <c r="U83" s="6">
        <v>3.44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6EC-3ECE-4152-ADB7-B844CC3DA593}">
  <dimension ref="A1:I124"/>
  <sheetViews>
    <sheetView showGridLines="0" workbookViewId="0">
      <selection activeCell="A4" sqref="A4"/>
    </sheetView>
  </sheetViews>
  <sheetFormatPr defaultRowHeight="15" x14ac:dyDescent="0.25"/>
  <cols>
    <col min="1" max="1" width="53.42578125" bestFit="1" customWidth="1"/>
    <col min="2" max="6" width="15.5703125" customWidth="1"/>
  </cols>
  <sheetData>
    <row r="1" spans="1:6" ht="15.75" thickBot="1" x14ac:dyDescent="0.3">
      <c r="A1" s="1" t="s">
        <v>359</v>
      </c>
      <c r="B1" s="7">
        <v>2017</v>
      </c>
      <c r="C1" s="7">
        <v>2018</v>
      </c>
      <c r="D1" s="7">
        <v>2019</v>
      </c>
      <c r="E1" s="7">
        <v>2020</v>
      </c>
      <c r="F1" s="7">
        <v>2021</v>
      </c>
    </row>
    <row r="2" spans="1:6" ht="16.5" thickTop="1" thickBot="1" x14ac:dyDescent="0.3">
      <c r="A2" s="8" t="s">
        <v>103</v>
      </c>
      <c r="B2" s="9"/>
      <c r="C2" s="9"/>
      <c r="D2" s="9"/>
      <c r="E2" s="9"/>
      <c r="F2" s="9"/>
    </row>
    <row r="3" spans="1:6" ht="15.75" thickBot="1" x14ac:dyDescent="0.3">
      <c r="A3" s="63" t="s">
        <v>104</v>
      </c>
      <c r="B3" s="64">
        <v>20307435</v>
      </c>
      <c r="C3" s="64">
        <v>20559757</v>
      </c>
      <c r="D3" s="64">
        <v>24721565</v>
      </c>
      <c r="E3" s="64">
        <v>29665726</v>
      </c>
      <c r="F3" s="64">
        <v>36109911</v>
      </c>
    </row>
    <row r="4" spans="1:6" ht="15.75" thickBot="1" x14ac:dyDescent="0.3">
      <c r="A4" s="10" t="s">
        <v>105</v>
      </c>
      <c r="B4" s="15">
        <v>963336</v>
      </c>
      <c r="C4" s="15">
        <v>1522610</v>
      </c>
      <c r="D4" s="15">
        <v>2665195</v>
      </c>
      <c r="E4" s="15">
        <v>2111243</v>
      </c>
      <c r="F4" s="15">
        <v>2348552</v>
      </c>
    </row>
    <row r="5" spans="1:6" ht="15.75" thickBot="1" x14ac:dyDescent="0.3">
      <c r="A5" s="5" t="s">
        <v>128</v>
      </c>
      <c r="B5" s="16">
        <v>834436</v>
      </c>
      <c r="C5" s="16">
        <v>1072610</v>
      </c>
      <c r="D5" s="16">
        <v>2378584</v>
      </c>
      <c r="E5" s="16">
        <v>863853</v>
      </c>
      <c r="F5" s="16">
        <v>1187350</v>
      </c>
    </row>
    <row r="6" spans="1:6" ht="15.75" thickBot="1" x14ac:dyDescent="0.3">
      <c r="A6" s="5" t="s">
        <v>129</v>
      </c>
      <c r="B6" s="16">
        <v>128900</v>
      </c>
      <c r="C6" s="16">
        <v>450000</v>
      </c>
      <c r="D6" s="16">
        <v>286611</v>
      </c>
      <c r="E6" s="16">
        <v>1247390</v>
      </c>
      <c r="F6" s="16">
        <v>1161202</v>
      </c>
    </row>
    <row r="7" spans="1:6" ht="15.75" thickBot="1" x14ac:dyDescent="0.3">
      <c r="A7" s="10" t="s">
        <v>106</v>
      </c>
      <c r="B7" s="15">
        <v>10561714</v>
      </c>
      <c r="C7" s="15">
        <v>8673927</v>
      </c>
      <c r="D7" s="15">
        <v>12435744</v>
      </c>
      <c r="E7" s="15">
        <v>17313680</v>
      </c>
      <c r="F7" s="15">
        <v>21025736</v>
      </c>
    </row>
    <row r="8" spans="1:6" ht="15.75" thickBot="1" x14ac:dyDescent="0.3">
      <c r="A8" s="5" t="s">
        <v>130</v>
      </c>
      <c r="B8" s="16">
        <v>443131</v>
      </c>
      <c r="C8" s="16">
        <v>443154</v>
      </c>
      <c r="D8" s="16">
        <v>1153</v>
      </c>
      <c r="E8" s="16">
        <v>1124</v>
      </c>
      <c r="F8" s="16">
        <v>1120</v>
      </c>
    </row>
    <row r="9" spans="1:6" ht="15.75" thickBot="1" x14ac:dyDescent="0.3">
      <c r="A9" s="5" t="s">
        <v>131</v>
      </c>
      <c r="B9" s="6">
        <v>-676</v>
      </c>
      <c r="C9" s="6">
        <v>-606</v>
      </c>
      <c r="D9" s="6">
        <v>-841</v>
      </c>
      <c r="E9" s="6">
        <v>-937</v>
      </c>
      <c r="F9" s="6">
        <v>-666</v>
      </c>
    </row>
    <row r="10" spans="1:6" ht="15.75" thickBot="1" x14ac:dyDescent="0.3">
      <c r="A10" s="5" t="s">
        <v>132</v>
      </c>
      <c r="B10" s="16">
        <v>10119259</v>
      </c>
      <c r="C10" s="16">
        <v>8231378</v>
      </c>
      <c r="D10" s="16">
        <v>12435432</v>
      </c>
      <c r="E10" s="16">
        <v>17313492</v>
      </c>
      <c r="F10" s="16">
        <v>21025282</v>
      </c>
    </row>
    <row r="11" spans="1:6" ht="15.75" thickBot="1" x14ac:dyDescent="0.3">
      <c r="A11" s="10" t="s">
        <v>107</v>
      </c>
      <c r="B11" s="15">
        <v>4591703</v>
      </c>
      <c r="C11" s="15">
        <v>4639448</v>
      </c>
      <c r="D11" s="15">
        <v>4503155</v>
      </c>
      <c r="E11" s="15">
        <v>5187253</v>
      </c>
      <c r="F11" s="15">
        <v>5822029</v>
      </c>
    </row>
    <row r="12" spans="1:6" ht="15.75" thickBot="1" x14ac:dyDescent="0.3">
      <c r="A12" s="5" t="s">
        <v>133</v>
      </c>
      <c r="B12" s="16">
        <v>3613982</v>
      </c>
      <c r="C12" s="16">
        <v>3380017</v>
      </c>
      <c r="D12" s="16">
        <v>3474499</v>
      </c>
      <c r="E12" s="16">
        <v>4173563</v>
      </c>
      <c r="F12" s="16">
        <v>4367766</v>
      </c>
    </row>
    <row r="13" spans="1:6" ht="15.75" thickBot="1" x14ac:dyDescent="0.3">
      <c r="A13" s="5" t="s">
        <v>134</v>
      </c>
      <c r="B13" s="16">
        <v>622979</v>
      </c>
      <c r="C13" s="16">
        <v>876158</v>
      </c>
      <c r="D13" s="16">
        <v>576013</v>
      </c>
      <c r="E13" s="16">
        <v>546237</v>
      </c>
      <c r="F13" s="16">
        <v>655823</v>
      </c>
    </row>
    <row r="14" spans="1:6" ht="15.75" thickBot="1" x14ac:dyDescent="0.3">
      <c r="A14" s="5" t="s">
        <v>135</v>
      </c>
      <c r="B14" s="6"/>
      <c r="C14" s="6"/>
      <c r="D14" s="6"/>
      <c r="E14" s="6"/>
      <c r="F14" s="6"/>
    </row>
    <row r="15" spans="1:6" ht="15.75" thickBot="1" x14ac:dyDescent="0.3">
      <c r="A15" s="5" t="s">
        <v>136</v>
      </c>
      <c r="B15" s="6"/>
      <c r="C15" s="6"/>
      <c r="D15" s="6"/>
      <c r="E15" s="6"/>
      <c r="F15" s="6"/>
    </row>
    <row r="16" spans="1:6" ht="15.75" thickBot="1" x14ac:dyDescent="0.3">
      <c r="A16" s="5" t="s">
        <v>137</v>
      </c>
      <c r="B16" s="6"/>
      <c r="C16" s="6"/>
      <c r="D16" s="16">
        <v>31170</v>
      </c>
      <c r="E16" s="6">
        <v>150</v>
      </c>
      <c r="F16" s="6"/>
    </row>
    <row r="17" spans="1:6" ht="15.75" thickBot="1" x14ac:dyDescent="0.3">
      <c r="A17" s="5" t="s">
        <v>138</v>
      </c>
      <c r="B17" s="16">
        <v>367851</v>
      </c>
      <c r="C17" s="16">
        <v>394535</v>
      </c>
      <c r="D17" s="16">
        <v>438268</v>
      </c>
      <c r="E17" s="16">
        <v>483737</v>
      </c>
      <c r="F17" s="16">
        <v>810697</v>
      </c>
    </row>
    <row r="18" spans="1:6" ht="15.75" thickBot="1" x14ac:dyDescent="0.3">
      <c r="A18" s="5" t="s">
        <v>139</v>
      </c>
      <c r="B18" s="16">
        <v>-13194</v>
      </c>
      <c r="C18" s="16">
        <v>-11263</v>
      </c>
      <c r="D18" s="16">
        <v>-16795</v>
      </c>
      <c r="E18" s="16">
        <v>-16434</v>
      </c>
      <c r="F18" s="16">
        <v>-12257</v>
      </c>
    </row>
    <row r="19" spans="1:6" ht="15.75" thickBot="1" x14ac:dyDescent="0.3">
      <c r="A19" s="5" t="s">
        <v>140</v>
      </c>
      <c r="B19" s="6">
        <v>86</v>
      </c>
      <c r="C19" s="6"/>
      <c r="D19" s="6"/>
      <c r="E19" s="6"/>
      <c r="F19" s="6"/>
    </row>
    <row r="20" spans="1:6" ht="15.75" thickBot="1" x14ac:dyDescent="0.3">
      <c r="A20" s="10" t="s">
        <v>108</v>
      </c>
      <c r="B20" s="15">
        <v>4021059</v>
      </c>
      <c r="C20" s="15">
        <v>5525846</v>
      </c>
      <c r="D20" s="15">
        <v>4983044</v>
      </c>
      <c r="E20" s="15">
        <v>4905069</v>
      </c>
      <c r="F20" s="15">
        <v>6773072</v>
      </c>
    </row>
    <row r="21" spans="1:6" ht="15.75" thickBot="1" x14ac:dyDescent="0.3">
      <c r="A21" s="5" t="s">
        <v>141</v>
      </c>
      <c r="B21" s="16">
        <v>4041303</v>
      </c>
      <c r="C21" s="16">
        <v>5538304</v>
      </c>
      <c r="D21" s="16">
        <v>4996115</v>
      </c>
      <c r="E21" s="16">
        <v>4952849</v>
      </c>
      <c r="F21" s="16">
        <v>6820486</v>
      </c>
    </row>
    <row r="22" spans="1:6" ht="15.75" thickBot="1" x14ac:dyDescent="0.3">
      <c r="A22" s="5" t="s">
        <v>142</v>
      </c>
      <c r="B22" s="16">
        <v>-20244</v>
      </c>
      <c r="C22" s="16">
        <v>-12458</v>
      </c>
      <c r="D22" s="16">
        <v>-13070</v>
      </c>
      <c r="E22" s="16">
        <v>-47780</v>
      </c>
      <c r="F22" s="16">
        <v>-47415</v>
      </c>
    </row>
    <row r="23" spans="1:6" ht="15.75" thickBot="1" x14ac:dyDescent="0.3">
      <c r="A23" s="10" t="s">
        <v>109</v>
      </c>
      <c r="B23" s="15">
        <v>169623</v>
      </c>
      <c r="C23" s="15">
        <v>197926</v>
      </c>
      <c r="D23" s="15">
        <v>134427</v>
      </c>
      <c r="E23" s="15">
        <v>148481</v>
      </c>
      <c r="F23" s="15">
        <v>140523</v>
      </c>
    </row>
    <row r="24" spans="1:6" ht="15.75" thickBot="1" x14ac:dyDescent="0.3">
      <c r="A24" s="5" t="s">
        <v>143</v>
      </c>
      <c r="B24" s="16">
        <v>51933</v>
      </c>
      <c r="C24" s="16">
        <v>54821</v>
      </c>
      <c r="D24" s="16">
        <v>68634</v>
      </c>
      <c r="E24" s="16">
        <v>57415</v>
      </c>
      <c r="F24" s="16">
        <v>57273</v>
      </c>
    </row>
    <row r="25" spans="1:6" ht="15.75" thickBot="1" x14ac:dyDescent="0.3">
      <c r="A25" s="5" t="s">
        <v>144</v>
      </c>
      <c r="B25" s="16">
        <v>117133</v>
      </c>
      <c r="C25" s="16">
        <v>142642</v>
      </c>
      <c r="D25" s="16">
        <v>60876</v>
      </c>
      <c r="E25" s="16">
        <v>37159</v>
      </c>
      <c r="F25" s="16">
        <v>79012</v>
      </c>
    </row>
    <row r="26" spans="1:6" ht="15.75" thickBot="1" x14ac:dyDescent="0.3">
      <c r="A26" s="5" t="s">
        <v>145</v>
      </c>
      <c r="B26" s="6">
        <v>557</v>
      </c>
      <c r="C26" s="6"/>
      <c r="D26" s="6"/>
      <c r="E26" s="16">
        <v>53908</v>
      </c>
      <c r="F26" s="16">
        <v>4238</v>
      </c>
    </row>
    <row r="27" spans="1:6" ht="15.75" thickBot="1" x14ac:dyDescent="0.3">
      <c r="A27" s="5" t="s">
        <v>146</v>
      </c>
      <c r="B27" s="6"/>
      <c r="C27" s="6">
        <v>462</v>
      </c>
      <c r="D27" s="16">
        <v>4917</v>
      </c>
      <c r="E27" s="6"/>
      <c r="F27" s="6"/>
    </row>
    <row r="28" spans="1:6" ht="15.75" thickBot="1" x14ac:dyDescent="0.3">
      <c r="A28" s="5" t="s">
        <v>147</v>
      </c>
      <c r="B28" s="6"/>
      <c r="C28" s="6"/>
      <c r="D28" s="6"/>
      <c r="E28" s="6"/>
      <c r="F28" s="6"/>
    </row>
    <row r="29" spans="1:6" ht="15.75" thickBot="1" x14ac:dyDescent="0.3">
      <c r="A29" s="8" t="s">
        <v>110</v>
      </c>
      <c r="B29" s="17">
        <v>14359884</v>
      </c>
      <c r="C29" s="17">
        <v>16806352</v>
      </c>
      <c r="D29" s="17">
        <v>19978308</v>
      </c>
      <c r="E29" s="17">
        <v>18766755</v>
      </c>
      <c r="F29" s="17">
        <v>17222493</v>
      </c>
    </row>
    <row r="30" spans="1:6" ht="15.75" thickBot="1" x14ac:dyDescent="0.3">
      <c r="A30" s="10" t="s">
        <v>111</v>
      </c>
      <c r="B30" s="15">
        <v>53775</v>
      </c>
      <c r="C30" s="15">
        <v>88443</v>
      </c>
      <c r="D30" s="15">
        <v>21170</v>
      </c>
      <c r="E30" s="15">
        <v>19974</v>
      </c>
      <c r="F30" s="15">
        <v>16695</v>
      </c>
    </row>
    <row r="31" spans="1:6" ht="15.75" thickBot="1" x14ac:dyDescent="0.3">
      <c r="A31" s="5" t="s">
        <v>148</v>
      </c>
      <c r="B31" s="16">
        <v>29974</v>
      </c>
      <c r="C31" s="16">
        <v>67658</v>
      </c>
      <c r="D31" s="6"/>
      <c r="E31" s="6"/>
      <c r="F31" s="6"/>
    </row>
    <row r="32" spans="1:6" ht="15.75" thickBot="1" x14ac:dyDescent="0.3">
      <c r="A32" s="5" t="s">
        <v>149</v>
      </c>
      <c r="B32" s="6"/>
      <c r="C32" s="6"/>
      <c r="D32" s="6"/>
      <c r="E32" s="6"/>
      <c r="F32" s="6"/>
    </row>
    <row r="33" spans="1:9" ht="15.75" thickBot="1" x14ac:dyDescent="0.3">
      <c r="A33" s="5" t="s">
        <v>150</v>
      </c>
      <c r="B33" s="6"/>
      <c r="C33" s="6"/>
      <c r="D33" s="6"/>
      <c r="E33" s="6"/>
      <c r="F33" s="6"/>
    </row>
    <row r="34" spans="1:9" ht="15.75" thickBot="1" x14ac:dyDescent="0.3">
      <c r="A34" s="5" t="s">
        <v>151</v>
      </c>
      <c r="B34" s="6"/>
      <c r="C34" s="6"/>
      <c r="D34" s="6"/>
      <c r="E34" s="6"/>
      <c r="F34" s="6"/>
    </row>
    <row r="35" spans="1:9" ht="15.75" thickBot="1" x14ac:dyDescent="0.3">
      <c r="A35" s="5" t="s">
        <v>152</v>
      </c>
      <c r="B35" s="16">
        <v>5374</v>
      </c>
      <c r="C35" s="16">
        <v>3144</v>
      </c>
      <c r="D35" s="6">
        <v>545</v>
      </c>
      <c r="E35" s="6"/>
      <c r="F35" s="6"/>
    </row>
    <row r="36" spans="1:9" ht="15.75" thickBot="1" x14ac:dyDescent="0.3">
      <c r="A36" s="5" t="s">
        <v>153</v>
      </c>
      <c r="B36" s="16">
        <v>18427</v>
      </c>
      <c r="C36" s="16">
        <v>17641</v>
      </c>
      <c r="D36" s="16">
        <v>20625</v>
      </c>
      <c r="E36" s="16">
        <v>19974</v>
      </c>
      <c r="F36" s="16">
        <v>16695</v>
      </c>
    </row>
    <row r="37" spans="1:9" ht="15.75" thickBot="1" x14ac:dyDescent="0.3">
      <c r="A37" s="5" t="s">
        <v>154</v>
      </c>
      <c r="B37" s="6"/>
      <c r="C37" s="6"/>
      <c r="D37" s="6"/>
      <c r="E37" s="6"/>
      <c r="F37" s="6"/>
    </row>
    <row r="38" spans="1:9" ht="15.75" thickBot="1" x14ac:dyDescent="0.3">
      <c r="A38" s="10" t="s">
        <v>112</v>
      </c>
      <c r="B38" s="15">
        <v>10609309</v>
      </c>
      <c r="C38" s="15">
        <v>13365354</v>
      </c>
      <c r="D38" s="15">
        <v>14893540</v>
      </c>
      <c r="E38" s="15">
        <v>13853808</v>
      </c>
      <c r="F38" s="15">
        <v>12706599</v>
      </c>
    </row>
    <row r="39" spans="1:9" ht="15.75" thickBot="1" x14ac:dyDescent="0.3">
      <c r="A39" s="5" t="s">
        <v>155</v>
      </c>
      <c r="B39" s="16">
        <v>10290517</v>
      </c>
      <c r="C39" s="16">
        <v>13047771</v>
      </c>
      <c r="D39" s="16">
        <v>13743910</v>
      </c>
      <c r="E39" s="16">
        <v>12717307</v>
      </c>
      <c r="F39" s="16">
        <v>11620095</v>
      </c>
    </row>
    <row r="40" spans="1:9" ht="15.75" thickBot="1" x14ac:dyDescent="0.3">
      <c r="A40" s="5" t="s">
        <v>304</v>
      </c>
      <c r="B40" s="16">
        <v>18917436</v>
      </c>
      <c r="C40" s="16">
        <v>22952360</v>
      </c>
      <c r="D40" s="16">
        <v>26227436</v>
      </c>
      <c r="E40" s="16">
        <v>27037635</v>
      </c>
      <c r="F40" s="16">
        <v>27645343</v>
      </c>
    </row>
    <row r="41" spans="1:9" ht="15.75" thickBot="1" x14ac:dyDescent="0.3">
      <c r="A41" s="5" t="s">
        <v>305</v>
      </c>
      <c r="B41" s="16">
        <v>-8626919</v>
      </c>
      <c r="C41" s="16">
        <v>-9904589</v>
      </c>
      <c r="D41" s="16">
        <v>-12483527</v>
      </c>
      <c r="E41" s="16">
        <v>-14320328</v>
      </c>
      <c r="F41" s="16">
        <v>-16025248</v>
      </c>
      <c r="H41" s="49"/>
      <c r="I41" s="49"/>
    </row>
    <row r="42" spans="1:9" ht="15.75" thickBot="1" x14ac:dyDescent="0.3">
      <c r="A42" s="5" t="s">
        <v>156</v>
      </c>
      <c r="B42" s="6"/>
      <c r="C42" s="6"/>
      <c r="D42" s="6"/>
      <c r="E42" s="6"/>
      <c r="F42" s="6"/>
    </row>
    <row r="43" spans="1:9" ht="15.75" thickBot="1" x14ac:dyDescent="0.3">
      <c r="A43" s="5" t="s">
        <v>304</v>
      </c>
      <c r="B43" s="6"/>
      <c r="C43" s="6"/>
      <c r="D43" s="6"/>
      <c r="E43" s="6"/>
      <c r="F43" s="6"/>
    </row>
    <row r="44" spans="1:9" ht="15.75" thickBot="1" x14ac:dyDescent="0.3">
      <c r="A44" s="5" t="s">
        <v>305</v>
      </c>
      <c r="B44" s="6"/>
      <c r="C44" s="6"/>
      <c r="D44" s="6"/>
      <c r="E44" s="6"/>
      <c r="F44" s="6"/>
    </row>
    <row r="45" spans="1:9" ht="15.75" thickBot="1" x14ac:dyDescent="0.3">
      <c r="A45" s="5" t="s">
        <v>157</v>
      </c>
      <c r="B45" s="16">
        <v>318792</v>
      </c>
      <c r="C45" s="16">
        <v>317582</v>
      </c>
      <c r="D45" s="16">
        <v>1149631</v>
      </c>
      <c r="E45" s="16">
        <v>1136501</v>
      </c>
      <c r="F45" s="16">
        <v>1086504</v>
      </c>
    </row>
    <row r="46" spans="1:9" ht="15.75" thickBot="1" x14ac:dyDescent="0.3">
      <c r="A46" s="5" t="s">
        <v>304</v>
      </c>
      <c r="B46" s="16">
        <v>469549</v>
      </c>
      <c r="C46" s="16">
        <v>475569</v>
      </c>
      <c r="D46" s="16">
        <v>1297665</v>
      </c>
      <c r="E46" s="16">
        <v>1338629</v>
      </c>
      <c r="F46" s="16">
        <v>1341665</v>
      </c>
    </row>
    <row r="47" spans="1:9" ht="15.75" thickBot="1" x14ac:dyDescent="0.3">
      <c r="A47" s="5" t="s">
        <v>305</v>
      </c>
      <c r="B47" s="16">
        <v>-150757</v>
      </c>
      <c r="C47" s="16">
        <v>-157987</v>
      </c>
      <c r="D47" s="16">
        <v>-148034</v>
      </c>
      <c r="E47" s="16">
        <v>-202128</v>
      </c>
      <c r="F47" s="16">
        <v>-255161</v>
      </c>
      <c r="H47" s="49"/>
      <c r="I47" s="49"/>
    </row>
    <row r="48" spans="1:9" ht="15.75" thickBot="1" x14ac:dyDescent="0.3">
      <c r="A48" s="10" t="s">
        <v>113</v>
      </c>
      <c r="B48" s="15">
        <v>95273</v>
      </c>
      <c r="C48" s="15">
        <v>90248</v>
      </c>
      <c r="D48" s="15">
        <v>62018</v>
      </c>
      <c r="E48" s="15">
        <v>59997</v>
      </c>
      <c r="F48" s="15">
        <v>60050</v>
      </c>
    </row>
    <row r="49" spans="1:6" ht="15.75" thickBot="1" x14ac:dyDescent="0.3">
      <c r="A49" s="5" t="s">
        <v>158</v>
      </c>
      <c r="B49" s="16">
        <v>143341</v>
      </c>
      <c r="C49" s="16">
        <v>147320</v>
      </c>
      <c r="D49" s="16">
        <v>81481</v>
      </c>
      <c r="E49" s="16">
        <v>81481</v>
      </c>
      <c r="F49" s="16">
        <v>98823</v>
      </c>
    </row>
    <row r="50" spans="1:6" ht="15.75" thickBot="1" x14ac:dyDescent="0.3">
      <c r="A50" s="5" t="s">
        <v>159</v>
      </c>
      <c r="B50" s="16">
        <v>-48068</v>
      </c>
      <c r="C50" s="16">
        <v>-57072</v>
      </c>
      <c r="D50" s="16">
        <v>-19463</v>
      </c>
      <c r="E50" s="16">
        <v>-21484</v>
      </c>
      <c r="F50" s="16">
        <v>-38773</v>
      </c>
    </row>
    <row r="51" spans="1:6" ht="15.75" thickBot="1" x14ac:dyDescent="0.3">
      <c r="A51" s="10" t="s">
        <v>114</v>
      </c>
      <c r="B51" s="15">
        <v>1928569</v>
      </c>
      <c r="C51" s="15">
        <v>868246</v>
      </c>
      <c r="D51" s="15">
        <v>943846</v>
      </c>
      <c r="E51" s="15">
        <v>1062634</v>
      </c>
      <c r="F51" s="15">
        <v>1130024</v>
      </c>
    </row>
    <row r="52" spans="1:6" ht="15.75" thickBot="1" x14ac:dyDescent="0.3">
      <c r="A52" s="5" t="s">
        <v>160</v>
      </c>
      <c r="B52" s="16">
        <v>181678</v>
      </c>
      <c r="C52" s="16">
        <v>214398</v>
      </c>
      <c r="D52" s="16">
        <v>249634</v>
      </c>
      <c r="E52" s="16">
        <v>268812</v>
      </c>
      <c r="F52" s="16">
        <v>295205</v>
      </c>
    </row>
    <row r="53" spans="1:6" ht="15.75" thickBot="1" x14ac:dyDescent="0.3">
      <c r="A53" s="5" t="s">
        <v>161</v>
      </c>
      <c r="B53" s="16">
        <v>1746891</v>
      </c>
      <c r="C53" s="16">
        <v>653848</v>
      </c>
      <c r="D53" s="16">
        <v>694212</v>
      </c>
      <c r="E53" s="16">
        <v>793821</v>
      </c>
      <c r="F53" s="16">
        <v>834819</v>
      </c>
    </row>
    <row r="54" spans="1:6" ht="15.75" thickBot="1" x14ac:dyDescent="0.3">
      <c r="A54" s="10" t="s">
        <v>115</v>
      </c>
      <c r="B54" s="15">
        <v>555498</v>
      </c>
      <c r="C54" s="15">
        <v>1068661</v>
      </c>
      <c r="D54" s="15">
        <v>986676</v>
      </c>
      <c r="E54" s="15">
        <v>973441</v>
      </c>
      <c r="F54" s="15">
        <v>743862</v>
      </c>
    </row>
    <row r="55" spans="1:6" ht="15.75" thickBot="1" x14ac:dyDescent="0.3">
      <c r="A55" s="5" t="s">
        <v>162</v>
      </c>
      <c r="B55" s="6"/>
      <c r="C55" s="6"/>
      <c r="D55" s="6"/>
      <c r="E55" s="6"/>
      <c r="F55" s="6"/>
    </row>
    <row r="56" spans="1:6" ht="15.75" thickBot="1" x14ac:dyDescent="0.3">
      <c r="A56" s="5" t="s">
        <v>163</v>
      </c>
      <c r="B56" s="16">
        <v>481283</v>
      </c>
      <c r="C56" s="16">
        <v>497499</v>
      </c>
      <c r="D56" s="16">
        <v>688113</v>
      </c>
      <c r="E56" s="16">
        <v>686486</v>
      </c>
      <c r="F56" s="16">
        <v>661024</v>
      </c>
    </row>
    <row r="57" spans="1:6" ht="15.75" thickBot="1" x14ac:dyDescent="0.3">
      <c r="A57" s="5" t="s">
        <v>164</v>
      </c>
      <c r="B57" s="16">
        <v>82337</v>
      </c>
      <c r="C57" s="16">
        <v>72084</v>
      </c>
      <c r="D57" s="16">
        <v>104537</v>
      </c>
      <c r="E57" s="16">
        <v>101924</v>
      </c>
      <c r="F57" s="16">
        <v>101921</v>
      </c>
    </row>
    <row r="58" spans="1:6" ht="15.75" thickBot="1" x14ac:dyDescent="0.3">
      <c r="A58" s="5" t="s">
        <v>165</v>
      </c>
      <c r="B58" s="16">
        <v>-8121</v>
      </c>
      <c r="C58" s="6">
        <v>-922</v>
      </c>
      <c r="D58" s="16">
        <v>-5973</v>
      </c>
      <c r="E58" s="16">
        <v>-14969</v>
      </c>
      <c r="F58" s="16">
        <v>-19083</v>
      </c>
    </row>
    <row r="59" spans="1:6" ht="15.75" thickBot="1" x14ac:dyDescent="0.3">
      <c r="A59" s="5" t="s">
        <v>166</v>
      </c>
      <c r="B59" s="6"/>
      <c r="C59" s="16">
        <v>500000</v>
      </c>
      <c r="D59" s="16">
        <v>200000</v>
      </c>
      <c r="E59" s="16">
        <v>200000</v>
      </c>
      <c r="F59" s="6"/>
    </row>
    <row r="60" spans="1:6" ht="15.75" thickBot="1" x14ac:dyDescent="0.3">
      <c r="A60" s="5" t="s">
        <v>167</v>
      </c>
      <c r="B60" s="6"/>
      <c r="C60" s="6"/>
      <c r="D60" s="6"/>
      <c r="E60" s="6"/>
      <c r="F60" s="6"/>
    </row>
    <row r="61" spans="1:6" ht="15.75" thickBot="1" x14ac:dyDescent="0.3">
      <c r="A61" s="10" t="s">
        <v>116</v>
      </c>
      <c r="B61" s="15">
        <v>642530</v>
      </c>
      <c r="C61" s="15">
        <v>787060</v>
      </c>
      <c r="D61" s="15">
        <v>704998</v>
      </c>
      <c r="E61" s="15">
        <v>738353</v>
      </c>
      <c r="F61" s="15">
        <v>752256</v>
      </c>
    </row>
    <row r="62" spans="1:6" ht="15.75" thickBot="1" x14ac:dyDescent="0.3">
      <c r="A62" s="5" t="s">
        <v>168</v>
      </c>
      <c r="B62" s="16">
        <v>612135</v>
      </c>
      <c r="C62" s="16">
        <v>750599</v>
      </c>
      <c r="D62" s="16">
        <v>678630</v>
      </c>
      <c r="E62" s="16">
        <v>713499</v>
      </c>
      <c r="F62" s="16">
        <v>725108</v>
      </c>
    </row>
    <row r="63" spans="1:6" ht="15.75" thickBot="1" x14ac:dyDescent="0.3">
      <c r="A63" s="5" t="s">
        <v>169</v>
      </c>
      <c r="B63" s="16">
        <v>30395</v>
      </c>
      <c r="C63" s="16">
        <v>36461</v>
      </c>
      <c r="D63" s="16">
        <v>26367</v>
      </c>
      <c r="E63" s="16">
        <v>24854</v>
      </c>
      <c r="F63" s="16">
        <v>27148</v>
      </c>
    </row>
    <row r="64" spans="1:6" ht="15.75" thickBot="1" x14ac:dyDescent="0.3">
      <c r="A64" s="5" t="s">
        <v>170</v>
      </c>
      <c r="B64" s="6"/>
      <c r="C64" s="6"/>
      <c r="D64" s="6"/>
      <c r="E64" s="6"/>
      <c r="F64" s="6"/>
    </row>
    <row r="65" spans="1:6" ht="15.75" thickBot="1" x14ac:dyDescent="0.3">
      <c r="A65" s="5" t="s">
        <v>171</v>
      </c>
      <c r="B65" s="6"/>
      <c r="C65" s="6"/>
      <c r="D65" s="6"/>
      <c r="E65" s="6"/>
      <c r="F65" s="6"/>
    </row>
    <row r="66" spans="1:6" ht="15.75" thickBot="1" x14ac:dyDescent="0.3">
      <c r="A66" s="10" t="s">
        <v>117</v>
      </c>
      <c r="B66" s="15">
        <v>474930</v>
      </c>
      <c r="C66" s="15">
        <v>538340</v>
      </c>
      <c r="D66" s="15">
        <v>2366060</v>
      </c>
      <c r="E66" s="15">
        <v>2058548</v>
      </c>
      <c r="F66" s="15">
        <v>1813008</v>
      </c>
    </row>
    <row r="67" spans="1:6" ht="15.75" thickBot="1" x14ac:dyDescent="0.3">
      <c r="A67" s="8" t="s">
        <v>118</v>
      </c>
      <c r="B67" s="17">
        <v>34667319</v>
      </c>
      <c r="C67" s="17">
        <v>37366109</v>
      </c>
      <c r="D67" s="17">
        <v>44699873</v>
      </c>
      <c r="E67" s="17">
        <v>48432481</v>
      </c>
      <c r="F67" s="17">
        <v>53332403</v>
      </c>
    </row>
    <row r="68" spans="1:6" ht="15.75" thickBot="1" x14ac:dyDescent="0.3">
      <c r="A68" s="8" t="s">
        <v>119</v>
      </c>
      <c r="B68" s="9"/>
      <c r="C68" s="9"/>
      <c r="D68" s="9"/>
      <c r="E68" s="9"/>
      <c r="F68" s="9"/>
    </row>
    <row r="69" spans="1:6" ht="15.75" thickBot="1" x14ac:dyDescent="0.3">
      <c r="A69" s="8" t="s">
        <v>120</v>
      </c>
      <c r="B69" s="17">
        <v>10794261</v>
      </c>
      <c r="C69" s="17">
        <v>11094739</v>
      </c>
      <c r="D69" s="17">
        <v>14968618</v>
      </c>
      <c r="E69" s="17">
        <v>14785358</v>
      </c>
      <c r="F69" s="17">
        <v>17482289</v>
      </c>
    </row>
    <row r="70" spans="1:6" ht="15.75" thickBot="1" x14ac:dyDescent="0.3">
      <c r="A70" s="10" t="s">
        <v>121</v>
      </c>
      <c r="B70" s="15">
        <v>10195563</v>
      </c>
      <c r="C70" s="15">
        <v>10639592</v>
      </c>
      <c r="D70" s="15">
        <v>14442852</v>
      </c>
      <c r="E70" s="15">
        <v>14212646</v>
      </c>
      <c r="F70" s="15">
        <v>17068417</v>
      </c>
    </row>
    <row r="71" spans="1:6" ht="15.75" thickBot="1" x14ac:dyDescent="0.3">
      <c r="A71" s="5" t="s">
        <v>172</v>
      </c>
      <c r="B71" s="16">
        <v>3965691</v>
      </c>
      <c r="C71" s="16">
        <v>3991065</v>
      </c>
      <c r="D71" s="16">
        <v>3648446</v>
      </c>
      <c r="E71" s="16">
        <v>3199186</v>
      </c>
      <c r="F71" s="16">
        <v>4213888</v>
      </c>
    </row>
    <row r="72" spans="1:6" ht="15.75" thickBot="1" x14ac:dyDescent="0.3">
      <c r="A72" s="5" t="s">
        <v>173</v>
      </c>
      <c r="B72" s="16">
        <v>360182</v>
      </c>
      <c r="C72" s="16">
        <v>535553</v>
      </c>
      <c r="D72" s="16">
        <v>245248</v>
      </c>
      <c r="E72" s="16">
        <v>111160</v>
      </c>
      <c r="F72" s="16">
        <v>66036</v>
      </c>
    </row>
    <row r="73" spans="1:6" ht="15.75" thickBot="1" x14ac:dyDescent="0.3">
      <c r="A73" s="5" t="s">
        <v>174</v>
      </c>
      <c r="B73" s="16">
        <v>383314</v>
      </c>
      <c r="C73" s="16">
        <v>341669</v>
      </c>
      <c r="D73" s="16">
        <v>619394</v>
      </c>
      <c r="E73" s="16">
        <v>659550</v>
      </c>
      <c r="F73" s="16">
        <v>648147</v>
      </c>
    </row>
    <row r="74" spans="1:6" ht="15.75" thickBot="1" x14ac:dyDescent="0.3">
      <c r="A74" s="5" t="s">
        <v>175</v>
      </c>
      <c r="B74" s="16">
        <v>205723</v>
      </c>
      <c r="C74" s="16">
        <v>215271</v>
      </c>
      <c r="D74" s="16">
        <v>239521</v>
      </c>
      <c r="E74" s="16">
        <v>279673</v>
      </c>
      <c r="F74" s="16">
        <v>304672</v>
      </c>
    </row>
    <row r="75" spans="1:6" ht="15.75" thickBot="1" x14ac:dyDescent="0.3">
      <c r="A75" s="5" t="s">
        <v>176</v>
      </c>
      <c r="B75" s="16">
        <v>1528288</v>
      </c>
      <c r="C75" s="16">
        <v>1437233</v>
      </c>
      <c r="D75" s="16">
        <v>1738322</v>
      </c>
      <c r="E75" s="16">
        <v>1910214</v>
      </c>
      <c r="F75" s="16">
        <v>1817263</v>
      </c>
    </row>
    <row r="76" spans="1:6" ht="15.75" thickBot="1" x14ac:dyDescent="0.3">
      <c r="A76" s="5" t="s">
        <v>177</v>
      </c>
      <c r="B76" s="6"/>
      <c r="C76" s="6"/>
      <c r="D76" s="6"/>
      <c r="E76" s="6"/>
      <c r="F76" s="6"/>
    </row>
    <row r="77" spans="1:6" ht="15.75" thickBot="1" x14ac:dyDescent="0.3">
      <c r="A77" s="5" t="s">
        <v>178</v>
      </c>
      <c r="B77" s="6"/>
      <c r="C77" s="6"/>
      <c r="D77" s="6"/>
      <c r="E77" s="6"/>
      <c r="F77" s="6"/>
    </row>
    <row r="78" spans="1:6" ht="15.75" thickBot="1" x14ac:dyDescent="0.3">
      <c r="A78" s="5" t="s">
        <v>179</v>
      </c>
      <c r="B78" s="16">
        <v>7345</v>
      </c>
      <c r="C78" s="16">
        <v>6911</v>
      </c>
      <c r="D78" s="16">
        <v>2111</v>
      </c>
      <c r="E78" s="16">
        <v>15927</v>
      </c>
      <c r="F78" s="16">
        <v>3983</v>
      </c>
    </row>
    <row r="79" spans="1:6" ht="15.75" thickBot="1" x14ac:dyDescent="0.3">
      <c r="A79" s="5" t="s">
        <v>180</v>
      </c>
      <c r="B79" s="16">
        <v>2783824</v>
      </c>
      <c r="C79" s="16">
        <v>2540328</v>
      </c>
      <c r="D79" s="16">
        <v>1956364</v>
      </c>
      <c r="E79" s="16">
        <v>145835</v>
      </c>
      <c r="F79" s="16">
        <v>114417</v>
      </c>
    </row>
    <row r="80" spans="1:6" ht="15.75" thickBot="1" x14ac:dyDescent="0.3">
      <c r="A80" s="5" t="s">
        <v>181</v>
      </c>
      <c r="B80" s="16">
        <v>268102</v>
      </c>
      <c r="C80" s="16">
        <v>1060048</v>
      </c>
      <c r="D80" s="16">
        <v>5351461</v>
      </c>
      <c r="E80" s="16">
        <v>7316497</v>
      </c>
      <c r="F80" s="16">
        <v>9382354</v>
      </c>
    </row>
    <row r="81" spans="1:6" ht="15.75" thickBot="1" x14ac:dyDescent="0.3">
      <c r="A81" s="5" t="s">
        <v>182</v>
      </c>
      <c r="B81" s="6">
        <v>604</v>
      </c>
      <c r="C81" s="16">
        <v>4502</v>
      </c>
      <c r="D81" s="16">
        <v>8049</v>
      </c>
      <c r="E81" s="16">
        <v>15278</v>
      </c>
      <c r="F81" s="16">
        <v>10291</v>
      </c>
    </row>
    <row r="82" spans="1:6" ht="15.75" thickBot="1" x14ac:dyDescent="0.3">
      <c r="A82" s="5" t="s">
        <v>183</v>
      </c>
      <c r="B82" s="16">
        <v>692490</v>
      </c>
      <c r="C82" s="16">
        <v>507013</v>
      </c>
      <c r="D82" s="16">
        <v>633937</v>
      </c>
      <c r="E82" s="16">
        <v>559326</v>
      </c>
      <c r="F82" s="16">
        <v>507366</v>
      </c>
    </row>
    <row r="83" spans="1:6" ht="15.75" thickBot="1" x14ac:dyDescent="0.3">
      <c r="A83" s="5" t="s">
        <v>184</v>
      </c>
      <c r="B83" s="6"/>
      <c r="C83" s="6"/>
      <c r="D83" s="6"/>
      <c r="E83" s="6"/>
      <c r="F83" s="6"/>
    </row>
    <row r="84" spans="1:6" ht="15.75" thickBot="1" x14ac:dyDescent="0.3">
      <c r="A84" s="5" t="s">
        <v>185</v>
      </c>
      <c r="B84" s="6"/>
      <c r="C84" s="6"/>
      <c r="D84" s="6"/>
      <c r="E84" s="6"/>
      <c r="F84" s="6"/>
    </row>
    <row r="85" spans="1:6" ht="15.75" thickBot="1" x14ac:dyDescent="0.3">
      <c r="A85" s="10" t="s">
        <v>122</v>
      </c>
      <c r="B85" s="15">
        <v>598698</v>
      </c>
      <c r="C85" s="15">
        <v>455147</v>
      </c>
      <c r="D85" s="15">
        <v>525766</v>
      </c>
      <c r="E85" s="15">
        <v>572712</v>
      </c>
      <c r="F85" s="15">
        <v>413872</v>
      </c>
    </row>
    <row r="86" spans="1:6" ht="15.75" thickBot="1" x14ac:dyDescent="0.3">
      <c r="A86" s="5" t="s">
        <v>186</v>
      </c>
      <c r="B86" s="6"/>
      <c r="C86" s="6"/>
      <c r="D86" s="6">
        <v>428</v>
      </c>
      <c r="E86" s="6"/>
      <c r="F86" s="6"/>
    </row>
    <row r="87" spans="1:6" ht="15.75" thickBot="1" x14ac:dyDescent="0.3">
      <c r="A87" s="5" t="s">
        <v>187</v>
      </c>
      <c r="B87" s="6"/>
      <c r="C87" s="6"/>
      <c r="D87" s="6"/>
      <c r="E87" s="6"/>
      <c r="F87" s="6"/>
    </row>
    <row r="88" spans="1:6" ht="15.75" thickBot="1" x14ac:dyDescent="0.3">
      <c r="A88" s="5" t="s">
        <v>188</v>
      </c>
      <c r="B88" s="6"/>
      <c r="C88" s="16">
        <v>2055</v>
      </c>
      <c r="D88" s="6"/>
      <c r="E88" s="6"/>
      <c r="F88" s="6"/>
    </row>
    <row r="89" spans="1:6" ht="15.75" thickBot="1" x14ac:dyDescent="0.3">
      <c r="A89" s="5" t="s">
        <v>189</v>
      </c>
      <c r="B89" s="6"/>
      <c r="C89" s="6"/>
      <c r="D89" s="6"/>
      <c r="E89" s="6"/>
      <c r="F89" s="6"/>
    </row>
    <row r="90" spans="1:6" ht="15.75" thickBot="1" x14ac:dyDescent="0.3">
      <c r="A90" s="5" t="s">
        <v>190</v>
      </c>
      <c r="B90" s="6"/>
      <c r="C90" s="6"/>
      <c r="D90" s="6"/>
      <c r="E90" s="6"/>
      <c r="F90" s="6"/>
    </row>
    <row r="91" spans="1:6" ht="15.75" thickBot="1" x14ac:dyDescent="0.3">
      <c r="A91" s="5" t="s">
        <v>191</v>
      </c>
      <c r="B91" s="16">
        <v>1040</v>
      </c>
      <c r="C91" s="6">
        <v>416</v>
      </c>
      <c r="D91" s="6"/>
      <c r="E91" s="6"/>
      <c r="F91" s="6"/>
    </row>
    <row r="92" spans="1:6" ht="15.75" thickBot="1" x14ac:dyDescent="0.3">
      <c r="A92" s="5" t="s">
        <v>192</v>
      </c>
      <c r="B92" s="16">
        <v>16568</v>
      </c>
      <c r="C92" s="16">
        <v>29607</v>
      </c>
      <c r="D92" s="16">
        <v>27419</v>
      </c>
      <c r="E92" s="16">
        <v>59731</v>
      </c>
      <c r="F92" s="16">
        <v>21901</v>
      </c>
    </row>
    <row r="93" spans="1:6" ht="15.75" thickBot="1" x14ac:dyDescent="0.3">
      <c r="A93" s="5" t="s">
        <v>193</v>
      </c>
      <c r="B93" s="16">
        <v>274949</v>
      </c>
      <c r="C93" s="16">
        <v>215799</v>
      </c>
      <c r="D93" s="16">
        <v>122993</v>
      </c>
      <c r="E93" s="16">
        <v>167422</v>
      </c>
      <c r="F93" s="16">
        <v>75636</v>
      </c>
    </row>
    <row r="94" spans="1:6" ht="15.75" thickBot="1" x14ac:dyDescent="0.3">
      <c r="A94" s="5" t="s">
        <v>194</v>
      </c>
      <c r="B94" s="6"/>
      <c r="C94" s="6"/>
      <c r="D94" s="6"/>
      <c r="E94" s="6"/>
      <c r="F94" s="6"/>
    </row>
    <row r="95" spans="1:6" ht="15.75" thickBot="1" x14ac:dyDescent="0.3">
      <c r="A95" s="5" t="s">
        <v>195</v>
      </c>
      <c r="B95" s="6"/>
      <c r="C95" s="6"/>
      <c r="D95" s="6"/>
      <c r="E95" s="6"/>
      <c r="F95" s="6"/>
    </row>
    <row r="96" spans="1:6" ht="15.75" thickBot="1" x14ac:dyDescent="0.3">
      <c r="A96" s="5" t="s">
        <v>196</v>
      </c>
      <c r="B96" s="16">
        <v>203618</v>
      </c>
      <c r="C96" s="16">
        <v>204758</v>
      </c>
      <c r="D96" s="16">
        <v>374927</v>
      </c>
      <c r="E96" s="16">
        <v>345559</v>
      </c>
      <c r="F96" s="16">
        <v>316335</v>
      </c>
    </row>
    <row r="97" spans="1:6" ht="15.75" thickBot="1" x14ac:dyDescent="0.3">
      <c r="A97" s="5" t="s">
        <v>197</v>
      </c>
      <c r="B97" s="16">
        <v>102523</v>
      </c>
      <c r="C97" s="16">
        <v>2513</v>
      </c>
      <c r="D97" s="6"/>
      <c r="E97" s="6"/>
      <c r="F97" s="6"/>
    </row>
    <row r="98" spans="1:6" ht="15.75" thickBot="1" x14ac:dyDescent="0.3">
      <c r="A98" s="5" t="s">
        <v>198</v>
      </c>
      <c r="B98" s="6"/>
      <c r="C98" s="6"/>
      <c r="D98" s="6"/>
      <c r="E98" s="6"/>
      <c r="F98" s="6"/>
    </row>
    <row r="99" spans="1:6" ht="15.75" thickBot="1" x14ac:dyDescent="0.3">
      <c r="A99" s="5" t="s">
        <v>199</v>
      </c>
      <c r="B99" s="6"/>
      <c r="C99" s="6"/>
      <c r="D99" s="6"/>
      <c r="E99" s="6"/>
      <c r="F99" s="6"/>
    </row>
    <row r="100" spans="1:6" ht="15.75" thickBot="1" x14ac:dyDescent="0.3">
      <c r="A100" s="8" t="s">
        <v>123</v>
      </c>
      <c r="B100" s="17">
        <v>23873058</v>
      </c>
      <c r="C100" s="17">
        <v>26271369</v>
      </c>
      <c r="D100" s="17">
        <v>29731255</v>
      </c>
      <c r="E100" s="17">
        <v>33647122</v>
      </c>
      <c r="F100" s="17">
        <v>35850114</v>
      </c>
    </row>
    <row r="101" spans="1:6" ht="15.75" thickBot="1" x14ac:dyDescent="0.3">
      <c r="A101" s="10" t="s">
        <v>124</v>
      </c>
      <c r="B101" s="15">
        <v>23873058</v>
      </c>
      <c r="C101" s="15">
        <v>26271369</v>
      </c>
      <c r="D101" s="15">
        <v>29731255</v>
      </c>
      <c r="E101" s="15">
        <v>33647122</v>
      </c>
      <c r="F101" s="15">
        <v>35850114</v>
      </c>
    </row>
    <row r="102" spans="1:6" ht="15.75" thickBot="1" x14ac:dyDescent="0.3">
      <c r="A102" s="5" t="s">
        <v>200</v>
      </c>
      <c r="B102" s="16">
        <v>14514534</v>
      </c>
      <c r="C102" s="16">
        <v>17416878</v>
      </c>
      <c r="D102" s="16">
        <v>17416878</v>
      </c>
      <c r="E102" s="16">
        <v>20899554</v>
      </c>
      <c r="F102" s="16">
        <v>20899554</v>
      </c>
    </row>
    <row r="103" spans="1:6" ht="15.75" thickBot="1" x14ac:dyDescent="0.3">
      <c r="A103" s="5" t="s">
        <v>306</v>
      </c>
      <c r="B103" s="16">
        <v>14514534</v>
      </c>
      <c r="C103" s="16">
        <v>17416878</v>
      </c>
      <c r="D103" s="16">
        <v>17416878</v>
      </c>
      <c r="E103" s="16">
        <v>20899554</v>
      </c>
      <c r="F103" s="16">
        <v>20899554</v>
      </c>
    </row>
    <row r="104" spans="1:6" ht="15.75" thickBot="1" x14ac:dyDescent="0.3">
      <c r="A104" s="5" t="s">
        <v>307</v>
      </c>
      <c r="B104" s="6"/>
      <c r="C104" s="6"/>
      <c r="D104" s="6"/>
      <c r="E104" s="6"/>
      <c r="F104" s="6"/>
    </row>
    <row r="105" spans="1:6" ht="15.75" thickBot="1" x14ac:dyDescent="0.3">
      <c r="A105" s="5" t="s">
        <v>201</v>
      </c>
      <c r="B105" s="16">
        <v>260700</v>
      </c>
      <c r="C105" s="6"/>
      <c r="D105" s="6"/>
      <c r="E105" s="6"/>
      <c r="F105" s="16">
        <v>34111</v>
      </c>
    </row>
    <row r="106" spans="1:6" ht="15.75" thickBot="1" x14ac:dyDescent="0.3">
      <c r="A106" s="5" t="s">
        <v>202</v>
      </c>
      <c r="B106" s="6"/>
      <c r="C106" s="6"/>
      <c r="D106" s="6"/>
      <c r="E106" s="6"/>
      <c r="F106" s="6"/>
    </row>
    <row r="107" spans="1:6" ht="15.75" thickBot="1" x14ac:dyDescent="0.3">
      <c r="A107" s="5" t="s">
        <v>203</v>
      </c>
      <c r="B107" s="6"/>
      <c r="C107" s="6"/>
      <c r="D107" s="6"/>
      <c r="E107" s="16">
        <v>202658</v>
      </c>
      <c r="F107" s="16">
        <v>202658</v>
      </c>
    </row>
    <row r="108" spans="1:6" ht="15.75" thickBot="1" x14ac:dyDescent="0.3">
      <c r="A108" s="5" t="s">
        <v>204</v>
      </c>
      <c r="B108" s="16">
        <v>-7160</v>
      </c>
      <c r="C108" s="16">
        <v>-10486</v>
      </c>
      <c r="D108" s="16">
        <v>-11645</v>
      </c>
      <c r="E108" s="16">
        <v>-11645</v>
      </c>
      <c r="F108" s="6"/>
    </row>
    <row r="109" spans="1:6" ht="15.75" thickBot="1" x14ac:dyDescent="0.3">
      <c r="A109" s="5" t="s">
        <v>205</v>
      </c>
      <c r="B109" s="6"/>
      <c r="C109" s="6"/>
      <c r="D109" s="6"/>
      <c r="E109" s="6"/>
      <c r="F109" s="6"/>
    </row>
    <row r="110" spans="1:6" ht="15.75" thickBot="1" x14ac:dyDescent="0.3">
      <c r="A110" s="5" t="s">
        <v>206</v>
      </c>
      <c r="B110" s="16">
        <v>18367</v>
      </c>
      <c r="C110" s="16">
        <v>27636</v>
      </c>
      <c r="D110" s="16">
        <v>23174</v>
      </c>
      <c r="E110" s="16">
        <v>10647</v>
      </c>
      <c r="F110" s="6">
        <v>254</v>
      </c>
    </row>
    <row r="111" spans="1:6" ht="15.75" thickBot="1" x14ac:dyDescent="0.3">
      <c r="A111" s="5" t="s">
        <v>207</v>
      </c>
      <c r="B111" s="16">
        <v>2851905</v>
      </c>
      <c r="C111" s="16">
        <v>1191672</v>
      </c>
      <c r="D111" s="16">
        <v>2200188</v>
      </c>
      <c r="E111" s="16">
        <v>3286242</v>
      </c>
      <c r="F111" s="16">
        <v>4352441</v>
      </c>
    </row>
    <row r="112" spans="1:6" ht="15.75" thickBot="1" x14ac:dyDescent="0.3">
      <c r="A112" s="5" t="s">
        <v>208</v>
      </c>
      <c r="B112" s="6"/>
      <c r="C112" s="6"/>
      <c r="D112" s="6"/>
      <c r="E112" s="6"/>
      <c r="F112" s="6"/>
    </row>
    <row r="113" spans="1:6" ht="15.75" thickBot="1" x14ac:dyDescent="0.3">
      <c r="A113" s="5" t="s">
        <v>209</v>
      </c>
      <c r="B113" s="6"/>
      <c r="C113" s="6"/>
      <c r="D113" s="6"/>
      <c r="E113" s="6"/>
      <c r="F113" s="6"/>
    </row>
    <row r="114" spans="1:6" ht="15.75" thickBot="1" x14ac:dyDescent="0.3">
      <c r="A114" s="5" t="s">
        <v>210</v>
      </c>
      <c r="B114" s="16">
        <v>5736921</v>
      </c>
      <c r="C114" s="16">
        <v>7155434</v>
      </c>
      <c r="D114" s="16">
        <v>7875462</v>
      </c>
      <c r="E114" s="16">
        <v>6909726</v>
      </c>
      <c r="F114" s="16">
        <v>7594260</v>
      </c>
    </row>
    <row r="115" spans="1:6" ht="15.75" thickBot="1" x14ac:dyDescent="0.3">
      <c r="A115" s="5" t="s">
        <v>308</v>
      </c>
      <c r="B115" s="16">
        <v>2646644</v>
      </c>
      <c r="C115" s="16">
        <v>3560051</v>
      </c>
      <c r="D115" s="16">
        <v>4543347</v>
      </c>
      <c r="E115" s="16">
        <v>1578061</v>
      </c>
      <c r="F115" s="16">
        <v>2521098</v>
      </c>
    </row>
    <row r="116" spans="1:6" ht="15.75" thickBot="1" x14ac:dyDescent="0.3">
      <c r="A116" s="5" t="s">
        <v>309</v>
      </c>
      <c r="B116" s="16">
        <v>3090277</v>
      </c>
      <c r="C116" s="16">
        <v>3595384</v>
      </c>
      <c r="D116" s="16">
        <v>3332116</v>
      </c>
      <c r="E116" s="16">
        <v>5331665</v>
      </c>
      <c r="F116" s="16">
        <v>5073162</v>
      </c>
    </row>
    <row r="117" spans="1:6" ht="15.75" thickBot="1" x14ac:dyDescent="0.3">
      <c r="A117" s="5" t="s">
        <v>211</v>
      </c>
      <c r="B117" s="6"/>
      <c r="C117" s="6"/>
      <c r="D117" s="6"/>
      <c r="E117" s="6"/>
      <c r="F117" s="6"/>
    </row>
    <row r="118" spans="1:6" ht="15.75" thickBot="1" x14ac:dyDescent="0.3">
      <c r="A118" s="5" t="s">
        <v>212</v>
      </c>
      <c r="B118" s="16">
        <v>497790</v>
      </c>
      <c r="C118" s="16">
        <v>490235</v>
      </c>
      <c r="D118" s="16">
        <v>2227197</v>
      </c>
      <c r="E118" s="16">
        <v>2349939</v>
      </c>
      <c r="F118" s="16">
        <v>2766835</v>
      </c>
    </row>
    <row r="119" spans="1:6" ht="15.75" thickBot="1" x14ac:dyDescent="0.3">
      <c r="A119" s="5" t="s">
        <v>213</v>
      </c>
      <c r="B119" s="6"/>
      <c r="C119" s="6"/>
      <c r="D119" s="6"/>
      <c r="E119" s="6"/>
      <c r="F119" s="6"/>
    </row>
    <row r="120" spans="1:6" ht="15.75" thickBot="1" x14ac:dyDescent="0.3">
      <c r="A120" s="10" t="s">
        <v>125</v>
      </c>
      <c r="B120" s="11"/>
      <c r="C120" s="11"/>
      <c r="D120" s="11"/>
      <c r="E120" s="11"/>
      <c r="F120" s="11"/>
    </row>
    <row r="121" spans="1:6" ht="15.75" thickBot="1" x14ac:dyDescent="0.3">
      <c r="A121" s="5" t="s">
        <v>214</v>
      </c>
      <c r="B121" s="6"/>
      <c r="C121" s="6"/>
      <c r="D121" s="6"/>
      <c r="E121" s="6"/>
      <c r="F121" s="6"/>
    </row>
    <row r="122" spans="1:6" ht="15.75" thickBot="1" x14ac:dyDescent="0.3">
      <c r="A122" s="5" t="s">
        <v>215</v>
      </c>
      <c r="B122" s="6"/>
      <c r="C122" s="6"/>
      <c r="D122" s="6"/>
      <c r="E122" s="6"/>
      <c r="F122" s="6"/>
    </row>
    <row r="123" spans="1:6" ht="15.75" thickBot="1" x14ac:dyDescent="0.3">
      <c r="A123" s="8" t="s">
        <v>126</v>
      </c>
      <c r="B123" s="9"/>
      <c r="C123" s="9"/>
      <c r="D123" s="9"/>
      <c r="E123" s="9"/>
      <c r="F123" s="9"/>
    </row>
    <row r="124" spans="1:6" x14ac:dyDescent="0.25">
      <c r="A124" s="8" t="s">
        <v>127</v>
      </c>
      <c r="B124" s="17">
        <v>34667319</v>
      </c>
      <c r="C124" s="17">
        <v>37366109</v>
      </c>
      <c r="D124" s="17">
        <v>44699873</v>
      </c>
      <c r="E124" s="17">
        <v>48432481</v>
      </c>
      <c r="F124" s="17">
        <v>53332403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69A-1B25-428D-B5C9-116EDA00095A}">
  <dimension ref="A1:F51"/>
  <sheetViews>
    <sheetView showGridLines="0" workbookViewId="0">
      <selection activeCell="F9" sqref="F9"/>
    </sheetView>
  </sheetViews>
  <sheetFormatPr defaultRowHeight="15" x14ac:dyDescent="0.25"/>
  <cols>
    <col min="1" max="1" width="89.42578125" bestFit="1" customWidth="1"/>
    <col min="2" max="6" width="18.42578125" customWidth="1"/>
  </cols>
  <sheetData>
    <row r="1" spans="1:6" ht="15.75" thickBot="1" x14ac:dyDescent="0.3">
      <c r="A1" s="1" t="s">
        <v>240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241</v>
      </c>
      <c r="B2" s="11"/>
      <c r="C2" s="11"/>
      <c r="D2" s="11"/>
      <c r="E2" s="11"/>
      <c r="F2" s="11"/>
    </row>
    <row r="3" spans="1:6" ht="15.75" thickBot="1" x14ac:dyDescent="0.3">
      <c r="A3" s="10" t="s">
        <v>242</v>
      </c>
      <c r="B3" s="15">
        <v>12228945</v>
      </c>
      <c r="C3" s="15">
        <v>12051696</v>
      </c>
      <c r="D3" s="15">
        <v>12795710</v>
      </c>
      <c r="E3" s="15">
        <v>13518536</v>
      </c>
      <c r="F3" s="15">
        <v>12922235</v>
      </c>
    </row>
    <row r="4" spans="1:6" ht="15.75" thickBot="1" x14ac:dyDescent="0.3">
      <c r="A4" s="10" t="s">
        <v>243</v>
      </c>
      <c r="B4" s="11"/>
      <c r="C4" s="11"/>
      <c r="D4" s="11"/>
      <c r="E4" s="11"/>
      <c r="F4" s="11"/>
    </row>
    <row r="5" spans="1:6" ht="15.75" thickBot="1" x14ac:dyDescent="0.3">
      <c r="A5" s="5" t="s">
        <v>244</v>
      </c>
      <c r="B5" s="16">
        <v>1299870</v>
      </c>
      <c r="C5" s="16">
        <v>1626632</v>
      </c>
      <c r="D5" s="16">
        <v>1948073</v>
      </c>
      <c r="E5" s="16">
        <v>2817015</v>
      </c>
      <c r="F5" s="16">
        <v>2366878</v>
      </c>
    </row>
    <row r="6" spans="1:6" ht="15.75" thickBot="1" x14ac:dyDescent="0.3">
      <c r="A6" s="5" t="s">
        <v>245</v>
      </c>
      <c r="B6" s="16">
        <v>9212</v>
      </c>
      <c r="C6" s="16">
        <v>-91866</v>
      </c>
      <c r="D6" s="16">
        <v>7333</v>
      </c>
      <c r="E6" s="16">
        <v>49504</v>
      </c>
      <c r="F6" s="16">
        <v>33466</v>
      </c>
    </row>
    <row r="7" spans="1:6" ht="15.75" thickBot="1" x14ac:dyDescent="0.3">
      <c r="A7" s="5" t="s">
        <v>246</v>
      </c>
      <c r="B7" s="16">
        <v>3716</v>
      </c>
      <c r="C7" s="16">
        <v>-1358</v>
      </c>
      <c r="D7" s="16">
        <v>6458</v>
      </c>
      <c r="E7" s="6">
        <v>637</v>
      </c>
      <c r="F7" s="16">
        <v>-1658</v>
      </c>
    </row>
    <row r="8" spans="1:6" ht="15.75" thickBot="1" x14ac:dyDescent="0.3">
      <c r="A8" s="5" t="s">
        <v>247</v>
      </c>
      <c r="B8" s="16">
        <v>-67134</v>
      </c>
      <c r="C8" s="16">
        <v>-576618</v>
      </c>
      <c r="D8" s="16">
        <v>-1513</v>
      </c>
      <c r="E8" s="16">
        <v>-1439172</v>
      </c>
      <c r="F8" s="16">
        <v>-987153</v>
      </c>
    </row>
    <row r="9" spans="1:6" ht="15.75" thickBot="1" x14ac:dyDescent="0.3">
      <c r="A9" s="5" t="s">
        <v>248</v>
      </c>
      <c r="B9" s="16">
        <v>29439</v>
      </c>
      <c r="C9" s="16">
        <v>51367</v>
      </c>
      <c r="D9" s="16">
        <v>108825</v>
      </c>
      <c r="E9" s="16">
        <v>143818</v>
      </c>
      <c r="F9" s="16">
        <v>88799</v>
      </c>
    </row>
    <row r="10" spans="1:6" ht="15.75" thickBot="1" x14ac:dyDescent="0.3">
      <c r="A10" s="5" t="s">
        <v>249</v>
      </c>
      <c r="B10" s="16">
        <v>11626</v>
      </c>
      <c r="C10" s="6"/>
      <c r="D10" s="16">
        <v>43964</v>
      </c>
      <c r="E10" s="6"/>
      <c r="F10" s="6"/>
    </row>
    <row r="11" spans="1:6" ht="15.75" thickBot="1" x14ac:dyDescent="0.3">
      <c r="A11" s="5" t="s">
        <v>250</v>
      </c>
      <c r="B11" s="16">
        <v>-770128</v>
      </c>
      <c r="C11" s="6"/>
      <c r="D11" s="16">
        <v>-726648</v>
      </c>
      <c r="E11" s="6"/>
      <c r="F11" s="6"/>
    </row>
    <row r="12" spans="1:6" ht="15.75" thickBot="1" x14ac:dyDescent="0.3">
      <c r="A12" s="5" t="s">
        <v>251</v>
      </c>
      <c r="B12" s="16">
        <v>24621</v>
      </c>
      <c r="C12" s="6"/>
      <c r="D12" s="16">
        <v>67952</v>
      </c>
      <c r="E12" s="6"/>
      <c r="F12" s="6"/>
    </row>
    <row r="13" spans="1:6" ht="15.75" thickBot="1" x14ac:dyDescent="0.3">
      <c r="A13" s="5" t="s">
        <v>252</v>
      </c>
      <c r="B13" s="6"/>
      <c r="C13" s="6"/>
      <c r="D13" s="16">
        <v>5717</v>
      </c>
      <c r="E13" s="6"/>
      <c r="F13" s="16">
        <v>-70747</v>
      </c>
    </row>
    <row r="14" spans="1:6" ht="15.75" thickBot="1" x14ac:dyDescent="0.3">
      <c r="A14" s="10" t="s">
        <v>253</v>
      </c>
      <c r="B14" s="15">
        <v>12770169</v>
      </c>
      <c r="C14" s="15">
        <v>13059853</v>
      </c>
      <c r="D14" s="15">
        <v>14255870</v>
      </c>
      <c r="E14" s="15">
        <v>15090339</v>
      </c>
      <c r="F14" s="15">
        <v>14351819</v>
      </c>
    </row>
    <row r="15" spans="1:6" ht="15.75" thickBot="1" x14ac:dyDescent="0.3">
      <c r="A15" s="5" t="s">
        <v>254</v>
      </c>
      <c r="B15" s="16">
        <v>-1599146</v>
      </c>
      <c r="C15" s="16">
        <v>-108536</v>
      </c>
      <c r="D15" s="16">
        <v>373595</v>
      </c>
      <c r="E15" s="16">
        <v>-714955</v>
      </c>
      <c r="F15" s="16">
        <v>-516851</v>
      </c>
    </row>
    <row r="16" spans="1:6" ht="15.75" thickBot="1" x14ac:dyDescent="0.3">
      <c r="A16" s="5" t="s">
        <v>255</v>
      </c>
      <c r="B16" s="16">
        <v>318470</v>
      </c>
      <c r="C16" s="16">
        <v>-1685437</v>
      </c>
      <c r="D16" s="16">
        <v>401995</v>
      </c>
      <c r="E16" s="16">
        <v>-270075</v>
      </c>
      <c r="F16" s="16">
        <v>-2260681</v>
      </c>
    </row>
    <row r="17" spans="1:6" ht="15.75" thickBot="1" x14ac:dyDescent="0.3">
      <c r="A17" s="5" t="s">
        <v>256</v>
      </c>
      <c r="B17" s="16">
        <v>958730</v>
      </c>
      <c r="C17" s="16">
        <v>-14513</v>
      </c>
      <c r="D17" s="16">
        <v>-399803</v>
      </c>
      <c r="E17" s="16">
        <v>-212798</v>
      </c>
      <c r="F17" s="16">
        <v>1484048</v>
      </c>
    </row>
    <row r="18" spans="1:6" ht="15.75" thickBot="1" x14ac:dyDescent="0.3">
      <c r="A18" s="5" t="s">
        <v>257</v>
      </c>
      <c r="B18" s="16">
        <v>-10000</v>
      </c>
      <c r="C18" s="16">
        <v>68659</v>
      </c>
      <c r="D18" s="16">
        <v>16409</v>
      </c>
      <c r="E18" s="16">
        <v>23641</v>
      </c>
      <c r="F18" s="6">
        <v>116</v>
      </c>
    </row>
    <row r="19" spans="1:6" ht="15.75" thickBot="1" x14ac:dyDescent="0.3">
      <c r="A19" s="5" t="s">
        <v>258</v>
      </c>
      <c r="B19" s="6"/>
      <c r="C19" s="6"/>
      <c r="D19" s="16">
        <v>-4480</v>
      </c>
      <c r="E19" s="6">
        <v>23</v>
      </c>
      <c r="F19" s="6"/>
    </row>
    <row r="20" spans="1:6" ht="15.75" thickBot="1" x14ac:dyDescent="0.3">
      <c r="A20" s="5" t="s">
        <v>259</v>
      </c>
      <c r="B20" s="16">
        <v>-65131</v>
      </c>
      <c r="C20" s="16">
        <v>-110740</v>
      </c>
      <c r="D20" s="16">
        <v>-227917</v>
      </c>
      <c r="E20" s="16">
        <v>-212769</v>
      </c>
      <c r="F20" s="16">
        <v>-98340</v>
      </c>
    </row>
    <row r="21" spans="1:6" ht="15.75" thickBot="1" x14ac:dyDescent="0.3">
      <c r="A21" s="5" t="s">
        <v>260</v>
      </c>
      <c r="B21" s="16">
        <v>-1933510</v>
      </c>
      <c r="C21" s="16">
        <v>-1879580</v>
      </c>
      <c r="D21" s="16">
        <v>-2033592</v>
      </c>
      <c r="E21" s="16">
        <v>-2286331</v>
      </c>
      <c r="F21" s="16">
        <v>-2356598</v>
      </c>
    </row>
    <row r="22" spans="1:6" ht="15.75" thickBot="1" x14ac:dyDescent="0.3">
      <c r="A22" s="5" t="s">
        <v>261</v>
      </c>
      <c r="B22" s="6"/>
      <c r="C22" s="6">
        <v>149</v>
      </c>
      <c r="D22" s="6"/>
      <c r="E22" s="6"/>
      <c r="F22" s="6"/>
    </row>
    <row r="23" spans="1:6" ht="15.75" thickBot="1" x14ac:dyDescent="0.3">
      <c r="A23" s="5" t="s">
        <v>262</v>
      </c>
      <c r="B23" s="16">
        <v>-837987</v>
      </c>
      <c r="C23" s="16">
        <v>-1189616</v>
      </c>
      <c r="D23" s="16">
        <v>-972149</v>
      </c>
      <c r="E23" s="16">
        <v>-1236907</v>
      </c>
      <c r="F23" s="16">
        <v>-1171541</v>
      </c>
    </row>
    <row r="24" spans="1:6" ht="15.75" thickBot="1" x14ac:dyDescent="0.3">
      <c r="A24" s="5" t="s">
        <v>263</v>
      </c>
      <c r="B24" s="16">
        <v>9601595</v>
      </c>
      <c r="C24" s="16">
        <v>8140239</v>
      </c>
      <c r="D24" s="16">
        <v>11409929</v>
      </c>
      <c r="E24" s="16">
        <v>10180169</v>
      </c>
      <c r="F24" s="16">
        <v>9431974</v>
      </c>
    </row>
    <row r="25" spans="1:6" ht="15.75" thickBot="1" x14ac:dyDescent="0.3">
      <c r="A25" s="10" t="s">
        <v>264</v>
      </c>
      <c r="B25" s="11"/>
      <c r="C25" s="11"/>
      <c r="D25" s="11"/>
      <c r="E25" s="11"/>
      <c r="F25" s="11"/>
    </row>
    <row r="26" spans="1:6" ht="15.75" thickBot="1" x14ac:dyDescent="0.3">
      <c r="A26" s="5" t="s">
        <v>265</v>
      </c>
      <c r="B26" s="16">
        <v>-2672989</v>
      </c>
      <c r="C26" s="16">
        <v>-3185795</v>
      </c>
      <c r="D26" s="16">
        <v>-2158249</v>
      </c>
      <c r="E26" s="16">
        <v>-1264817</v>
      </c>
      <c r="F26" s="16">
        <v>-1531025</v>
      </c>
    </row>
    <row r="27" spans="1:6" ht="15.75" thickBot="1" x14ac:dyDescent="0.3">
      <c r="A27" s="5" t="s">
        <v>266</v>
      </c>
      <c r="B27" s="16">
        <v>120711</v>
      </c>
      <c r="C27" s="16">
        <v>94476</v>
      </c>
      <c r="D27" s="16">
        <v>114090</v>
      </c>
      <c r="E27" s="16">
        <v>150343</v>
      </c>
      <c r="F27" s="16">
        <v>133905</v>
      </c>
    </row>
    <row r="28" spans="1:6" ht="15.75" thickBot="1" x14ac:dyDescent="0.3">
      <c r="A28" s="5" t="s">
        <v>267</v>
      </c>
      <c r="B28" s="6"/>
      <c r="C28" s="16">
        <v>1199162</v>
      </c>
      <c r="D28" s="16">
        <v>-3215380</v>
      </c>
      <c r="E28" s="16">
        <v>-4881271</v>
      </c>
      <c r="F28" s="16">
        <v>-3514466</v>
      </c>
    </row>
    <row r="29" spans="1:6" ht="15.75" thickBot="1" x14ac:dyDescent="0.3">
      <c r="A29" s="5" t="s">
        <v>268</v>
      </c>
      <c r="B29" s="16">
        <v>301872</v>
      </c>
      <c r="C29" s="16">
        <v>193016</v>
      </c>
      <c r="D29" s="16">
        <v>2598</v>
      </c>
      <c r="E29" s="16">
        <v>31566</v>
      </c>
      <c r="F29" s="6">
        <v>150</v>
      </c>
    </row>
    <row r="30" spans="1:6" ht="15.75" thickBot="1" x14ac:dyDescent="0.3">
      <c r="A30" s="5" t="s">
        <v>269</v>
      </c>
      <c r="B30" s="16">
        <v>-86830</v>
      </c>
      <c r="C30" s="16">
        <v>-147107</v>
      </c>
      <c r="D30" s="16">
        <v>-2158238</v>
      </c>
      <c r="E30" s="6">
        <v>-8</v>
      </c>
      <c r="F30" s="16">
        <v>-23228</v>
      </c>
    </row>
    <row r="31" spans="1:6" ht="15.75" thickBot="1" x14ac:dyDescent="0.3">
      <c r="A31" s="5" t="s">
        <v>270</v>
      </c>
      <c r="B31" s="16">
        <v>23329</v>
      </c>
      <c r="C31" s="16">
        <v>18468</v>
      </c>
      <c r="D31" s="16">
        <v>1513</v>
      </c>
      <c r="E31" s="16">
        <v>21632</v>
      </c>
      <c r="F31" s="16">
        <v>1337</v>
      </c>
    </row>
    <row r="32" spans="1:6" ht="15.75" thickBot="1" x14ac:dyDescent="0.3">
      <c r="A32" s="5" t="s">
        <v>271</v>
      </c>
      <c r="B32" s="16">
        <v>754960</v>
      </c>
      <c r="C32" s="16">
        <v>782637</v>
      </c>
      <c r="D32" s="16">
        <v>665791</v>
      </c>
      <c r="E32" s="16">
        <v>1140546</v>
      </c>
      <c r="F32" s="16">
        <v>1000079</v>
      </c>
    </row>
    <row r="33" spans="1:6" ht="15.75" thickBot="1" x14ac:dyDescent="0.3">
      <c r="A33" s="5" t="s">
        <v>272</v>
      </c>
      <c r="B33" s="16">
        <v>-218249</v>
      </c>
      <c r="C33" s="6"/>
      <c r="D33" s="6"/>
      <c r="E33" s="6"/>
      <c r="F33" s="6"/>
    </row>
    <row r="34" spans="1:6" ht="15.75" thickBot="1" x14ac:dyDescent="0.3">
      <c r="A34" s="5" t="s">
        <v>273</v>
      </c>
      <c r="B34" s="6"/>
      <c r="C34" s="6"/>
      <c r="D34" s="6"/>
      <c r="E34" s="6"/>
      <c r="F34" s="6"/>
    </row>
    <row r="35" spans="1:6" ht="15.75" thickBot="1" x14ac:dyDescent="0.3">
      <c r="A35" s="5" t="s">
        <v>274</v>
      </c>
      <c r="B35" s="16">
        <v>6206</v>
      </c>
      <c r="C35" s="6"/>
      <c r="D35" s="6"/>
      <c r="E35" s="6"/>
      <c r="F35" s="6"/>
    </row>
    <row r="36" spans="1:6" ht="15.75" thickBot="1" x14ac:dyDescent="0.3">
      <c r="A36" s="5" t="s">
        <v>275</v>
      </c>
      <c r="B36" s="6"/>
      <c r="C36" s="6"/>
      <c r="D36" s="6"/>
      <c r="E36" s="6"/>
      <c r="F36" s="6"/>
    </row>
    <row r="37" spans="1:6" ht="15.75" thickBot="1" x14ac:dyDescent="0.3">
      <c r="A37" s="5" t="s">
        <v>276</v>
      </c>
      <c r="B37" s="16">
        <v>-1770989</v>
      </c>
      <c r="C37" s="16">
        <v>-1045145</v>
      </c>
      <c r="D37" s="16">
        <v>-6747875</v>
      </c>
      <c r="E37" s="16">
        <v>-4802010</v>
      </c>
      <c r="F37" s="16">
        <v>-3933248</v>
      </c>
    </row>
    <row r="38" spans="1:6" ht="15.75" thickBot="1" x14ac:dyDescent="0.3">
      <c r="A38" s="10" t="s">
        <v>277</v>
      </c>
      <c r="B38" s="11"/>
      <c r="C38" s="11"/>
      <c r="D38" s="11"/>
      <c r="E38" s="11"/>
      <c r="F38" s="11"/>
    </row>
    <row r="39" spans="1:6" ht="15.75" thickBot="1" x14ac:dyDescent="0.3">
      <c r="A39" s="5" t="s">
        <v>278</v>
      </c>
      <c r="B39" s="6"/>
      <c r="C39" s="6"/>
      <c r="D39" s="16">
        <v>127769</v>
      </c>
      <c r="E39" s="6"/>
      <c r="F39" s="16">
        <v>317861</v>
      </c>
    </row>
    <row r="40" spans="1:6" ht="15.75" thickBot="1" x14ac:dyDescent="0.3">
      <c r="A40" s="5" t="s">
        <v>279</v>
      </c>
      <c r="B40" s="16">
        <v>-5983</v>
      </c>
      <c r="C40" s="16">
        <v>-3326</v>
      </c>
      <c r="D40" s="16">
        <v>-1159</v>
      </c>
      <c r="E40" s="16">
        <v>-14364</v>
      </c>
      <c r="F40" s="6"/>
    </row>
    <row r="41" spans="1:6" ht="15.75" thickBot="1" x14ac:dyDescent="0.3">
      <c r="A41" s="5" t="s">
        <v>280</v>
      </c>
      <c r="B41" s="16">
        <v>2777050</v>
      </c>
      <c r="C41" s="16">
        <v>4827980</v>
      </c>
      <c r="D41" s="16">
        <v>10426775</v>
      </c>
      <c r="E41" s="16">
        <v>7769145</v>
      </c>
      <c r="F41" s="16">
        <v>9596960</v>
      </c>
    </row>
    <row r="42" spans="1:6" ht="15.75" thickBot="1" x14ac:dyDescent="0.3">
      <c r="A42" s="5" t="s">
        <v>281</v>
      </c>
      <c r="B42" s="16">
        <v>-4224187</v>
      </c>
      <c r="C42" s="16">
        <v>-4103589</v>
      </c>
      <c r="D42" s="16">
        <v>-6233113</v>
      </c>
      <c r="E42" s="16">
        <v>-5753602</v>
      </c>
      <c r="F42" s="16">
        <v>-7551460</v>
      </c>
    </row>
    <row r="43" spans="1:6" ht="15.75" thickBot="1" x14ac:dyDescent="0.3">
      <c r="A43" s="5" t="s">
        <v>282</v>
      </c>
      <c r="B43" s="6"/>
      <c r="C43" s="6"/>
      <c r="D43" s="6"/>
      <c r="E43" s="6"/>
      <c r="F43" s="6"/>
    </row>
    <row r="44" spans="1:6" ht="15.75" thickBot="1" x14ac:dyDescent="0.3">
      <c r="A44" s="5" t="s">
        <v>283</v>
      </c>
      <c r="B44" s="16">
        <v>-5805808</v>
      </c>
      <c r="C44" s="16">
        <v>-7256172</v>
      </c>
      <c r="D44" s="16">
        <v>-7836251</v>
      </c>
      <c r="E44" s="16">
        <v>-7927712</v>
      </c>
      <c r="F44" s="16">
        <v>-7620758</v>
      </c>
    </row>
    <row r="45" spans="1:6" ht="15.75" thickBot="1" x14ac:dyDescent="0.3">
      <c r="A45" s="5" t="s">
        <v>284</v>
      </c>
      <c r="B45" s="6"/>
      <c r="C45" s="6"/>
      <c r="D45" s="6"/>
      <c r="E45" s="6"/>
      <c r="F45" s="6"/>
    </row>
    <row r="46" spans="1:6" ht="15.75" thickBot="1" x14ac:dyDescent="0.3">
      <c r="A46" s="5" t="s">
        <v>285</v>
      </c>
      <c r="B46" s="16">
        <v>-276417</v>
      </c>
      <c r="C46" s="6"/>
      <c r="D46" s="6"/>
      <c r="E46" s="6"/>
      <c r="F46" s="6"/>
    </row>
    <row r="47" spans="1:6" ht="15.75" thickBot="1" x14ac:dyDescent="0.3">
      <c r="A47" s="5" t="s">
        <v>286</v>
      </c>
      <c r="B47" s="16">
        <v>-7535345</v>
      </c>
      <c r="C47" s="16">
        <v>-6535107</v>
      </c>
      <c r="D47" s="16">
        <v>-3515979</v>
      </c>
      <c r="E47" s="16">
        <v>-5926534</v>
      </c>
      <c r="F47" s="16">
        <v>-5257398</v>
      </c>
    </row>
    <row r="48" spans="1:6" ht="15.75" thickBot="1" x14ac:dyDescent="0.3">
      <c r="A48" s="10" t="s">
        <v>287</v>
      </c>
      <c r="B48" s="15">
        <v>295260</v>
      </c>
      <c r="C48" s="15">
        <v>559987</v>
      </c>
      <c r="D48" s="15">
        <v>1146075</v>
      </c>
      <c r="E48" s="15">
        <v>-548374</v>
      </c>
      <c r="F48" s="15">
        <v>241328</v>
      </c>
    </row>
    <row r="49" spans="1:6" ht="15.75" thickBot="1" x14ac:dyDescent="0.3">
      <c r="A49" s="10" t="s">
        <v>288</v>
      </c>
      <c r="B49" s="15">
        <v>655423</v>
      </c>
      <c r="C49" s="15">
        <v>963336</v>
      </c>
      <c r="D49" s="15">
        <v>1522610</v>
      </c>
      <c r="E49" s="15">
        <v>2665195</v>
      </c>
      <c r="F49" s="15">
        <v>2111243</v>
      </c>
    </row>
    <row r="50" spans="1:6" ht="15.75" thickBot="1" x14ac:dyDescent="0.3">
      <c r="A50" s="5" t="s">
        <v>289</v>
      </c>
      <c r="B50" s="16">
        <v>12653</v>
      </c>
      <c r="C50" s="6">
        <v>-713</v>
      </c>
      <c r="D50" s="16">
        <v>-3491</v>
      </c>
      <c r="E50" s="16">
        <v>-5577</v>
      </c>
      <c r="F50" s="16">
        <v>-4019</v>
      </c>
    </row>
    <row r="51" spans="1:6" x14ac:dyDescent="0.25">
      <c r="A51" s="10" t="s">
        <v>290</v>
      </c>
      <c r="B51" s="15">
        <v>963336</v>
      </c>
      <c r="C51" s="15">
        <v>1522610</v>
      </c>
      <c r="D51" s="15">
        <v>2665195</v>
      </c>
      <c r="E51" s="15">
        <v>2111243</v>
      </c>
      <c r="F51" s="15">
        <v>2348552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028-2A3B-4391-BA15-4FFE7C701624}">
  <dimension ref="A1:F25"/>
  <sheetViews>
    <sheetView showGridLines="0" workbookViewId="0">
      <selection activeCell="K9" sqref="K9"/>
    </sheetView>
  </sheetViews>
  <sheetFormatPr defaultRowHeight="15" x14ac:dyDescent="0.25"/>
  <cols>
    <col min="1" max="1" width="55.28515625" bestFit="1" customWidth="1"/>
    <col min="2" max="6" width="13.42578125" customWidth="1"/>
  </cols>
  <sheetData>
    <row r="1" spans="1:6" ht="15.75" thickBot="1" x14ac:dyDescent="0.3">
      <c r="A1" s="1" t="s">
        <v>359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216</v>
      </c>
      <c r="B2" s="15">
        <v>51134900</v>
      </c>
      <c r="C2" s="15">
        <v>52629230</v>
      </c>
      <c r="D2" s="15">
        <v>56400230</v>
      </c>
      <c r="E2" s="15">
        <v>59722908</v>
      </c>
      <c r="F2" s="15">
        <v>61012074</v>
      </c>
    </row>
    <row r="3" spans="1:6" ht="15.75" thickBot="1" x14ac:dyDescent="0.3">
      <c r="A3" s="5" t="s">
        <v>217</v>
      </c>
      <c r="B3" s="16">
        <v>93824</v>
      </c>
      <c r="C3" s="16">
        <v>67280</v>
      </c>
      <c r="D3" s="16">
        <v>82107</v>
      </c>
      <c r="E3" s="16">
        <v>86622</v>
      </c>
      <c r="F3" s="16">
        <v>92909</v>
      </c>
    </row>
    <row r="4" spans="1:6" ht="15.75" thickBot="1" x14ac:dyDescent="0.3">
      <c r="A4" s="10" t="s">
        <v>218</v>
      </c>
      <c r="B4" s="15">
        <v>51041076</v>
      </c>
      <c r="C4" s="15">
        <v>52561950</v>
      </c>
      <c r="D4" s="15">
        <v>56318123</v>
      </c>
      <c r="E4" s="15">
        <v>59636286</v>
      </c>
      <c r="F4" s="15">
        <v>60919165</v>
      </c>
    </row>
    <row r="5" spans="1:6" ht="15.75" thickBot="1" x14ac:dyDescent="0.3">
      <c r="A5" s="5" t="s">
        <v>219</v>
      </c>
      <c r="B5" s="16">
        <v>26806931</v>
      </c>
      <c r="C5" s="16">
        <v>27950544</v>
      </c>
      <c r="D5" s="16">
        <v>29745906</v>
      </c>
      <c r="E5" s="16">
        <v>31967663</v>
      </c>
      <c r="F5" s="16">
        <v>34640863</v>
      </c>
    </row>
    <row r="6" spans="1:6" ht="15.75" thickBot="1" x14ac:dyDescent="0.3">
      <c r="A6" s="10" t="s">
        <v>220</v>
      </c>
      <c r="B6" s="15">
        <v>24234145</v>
      </c>
      <c r="C6" s="15">
        <v>24611406</v>
      </c>
      <c r="D6" s="15">
        <v>26572217</v>
      </c>
      <c r="E6" s="15">
        <v>27668623</v>
      </c>
      <c r="F6" s="15">
        <v>26278301</v>
      </c>
    </row>
    <row r="7" spans="1:6" ht="15.75" thickBot="1" x14ac:dyDescent="0.3">
      <c r="A7" s="5" t="s">
        <v>221</v>
      </c>
      <c r="B7" s="16">
        <v>816317</v>
      </c>
      <c r="C7" s="16">
        <v>759917</v>
      </c>
      <c r="D7" s="16">
        <v>807317</v>
      </c>
      <c r="E7" s="16">
        <v>1581093</v>
      </c>
      <c r="F7" s="16">
        <v>1214684</v>
      </c>
    </row>
    <row r="8" spans="1:6" ht="15.75" thickBot="1" x14ac:dyDescent="0.3">
      <c r="A8" s="5" t="s">
        <v>222</v>
      </c>
      <c r="B8" s="16">
        <v>87038</v>
      </c>
      <c r="C8" s="16">
        <v>118007</v>
      </c>
      <c r="D8" s="16">
        <v>186970</v>
      </c>
      <c r="E8" s="16">
        <v>308569</v>
      </c>
      <c r="F8" s="16">
        <v>202338</v>
      </c>
    </row>
    <row r="9" spans="1:6" ht="15.75" thickBot="1" x14ac:dyDescent="0.3">
      <c r="A9" s="5" t="s">
        <v>223</v>
      </c>
      <c r="B9" s="16">
        <v>29439</v>
      </c>
      <c r="C9" s="16">
        <v>51367</v>
      </c>
      <c r="D9" s="16">
        <v>108825</v>
      </c>
      <c r="E9" s="16">
        <v>143818</v>
      </c>
      <c r="F9" s="16">
        <v>88799</v>
      </c>
    </row>
    <row r="10" spans="1:6" ht="15.75" thickBot="1" x14ac:dyDescent="0.3">
      <c r="A10" s="5" t="s">
        <v>224</v>
      </c>
      <c r="B10" s="16">
        <v>67134</v>
      </c>
      <c r="C10" s="16">
        <v>22434</v>
      </c>
      <c r="D10" s="16">
        <v>-5717</v>
      </c>
      <c r="E10" s="16">
        <v>3882</v>
      </c>
      <c r="F10" s="16">
        <v>-45044</v>
      </c>
    </row>
    <row r="11" spans="1:6" ht="15.75" thickBot="1" x14ac:dyDescent="0.3">
      <c r="A11" s="5" t="s">
        <v>225</v>
      </c>
      <c r="B11" s="16">
        <v>11536534</v>
      </c>
      <c r="C11" s="16">
        <v>12265937</v>
      </c>
      <c r="D11" s="16">
        <v>12993455</v>
      </c>
      <c r="E11" s="16">
        <v>13447493</v>
      </c>
      <c r="F11" s="16">
        <v>12950670</v>
      </c>
    </row>
    <row r="12" spans="1:6" ht="15.75" thickBot="1" x14ac:dyDescent="0.3">
      <c r="A12" s="5" t="s">
        <v>226</v>
      </c>
      <c r="B12" s="16">
        <v>1267606</v>
      </c>
      <c r="C12" s="16">
        <v>1133300</v>
      </c>
      <c r="D12" s="16">
        <v>1396302</v>
      </c>
      <c r="E12" s="16">
        <v>1958155</v>
      </c>
      <c r="F12" s="16">
        <v>1567312</v>
      </c>
    </row>
    <row r="13" spans="1:6" ht="15.75" thickBot="1" x14ac:dyDescent="0.3">
      <c r="A13" s="10" t="s">
        <v>227</v>
      </c>
      <c r="B13" s="15">
        <v>12226418</v>
      </c>
      <c r="C13" s="15">
        <v>11876513</v>
      </c>
      <c r="D13" s="15">
        <v>12797090</v>
      </c>
      <c r="E13" s="15">
        <v>13539381</v>
      </c>
      <c r="F13" s="15">
        <v>12727620</v>
      </c>
    </row>
    <row r="14" spans="1:6" ht="15.75" thickBot="1" x14ac:dyDescent="0.3">
      <c r="A14" s="5" t="s">
        <v>228</v>
      </c>
      <c r="B14" s="16">
        <v>213081</v>
      </c>
      <c r="C14" s="16">
        <v>450247</v>
      </c>
      <c r="D14" s="16">
        <v>249446</v>
      </c>
      <c r="E14" s="16">
        <v>212386</v>
      </c>
      <c r="F14" s="16">
        <v>422823</v>
      </c>
    </row>
    <row r="15" spans="1:6" ht="15.75" thickBot="1" x14ac:dyDescent="0.3">
      <c r="A15" s="5" t="s">
        <v>229</v>
      </c>
      <c r="B15" s="16">
        <v>210553</v>
      </c>
      <c r="C15" s="16">
        <v>275065</v>
      </c>
      <c r="D15" s="16">
        <v>250827</v>
      </c>
      <c r="E15" s="16">
        <v>233231</v>
      </c>
      <c r="F15" s="16">
        <v>228208</v>
      </c>
    </row>
    <row r="16" spans="1:6" ht="15.75" thickBot="1" x14ac:dyDescent="0.3">
      <c r="A16" s="10" t="s">
        <v>230</v>
      </c>
      <c r="B16" s="15">
        <v>2527</v>
      </c>
      <c r="C16" s="15">
        <v>175183</v>
      </c>
      <c r="D16" s="15">
        <v>-1380</v>
      </c>
      <c r="E16" s="15">
        <v>-20845</v>
      </c>
      <c r="F16" s="15">
        <v>194616</v>
      </c>
    </row>
    <row r="17" spans="1:6" ht="15.75" thickBot="1" x14ac:dyDescent="0.3">
      <c r="A17" s="10" t="s">
        <v>231</v>
      </c>
      <c r="B17" s="11"/>
      <c r="C17" s="11"/>
      <c r="D17" s="11"/>
      <c r="E17" s="11"/>
      <c r="F17" s="11"/>
    </row>
    <row r="18" spans="1:6" ht="15.75" thickBot="1" x14ac:dyDescent="0.3">
      <c r="A18" s="10" t="s">
        <v>232</v>
      </c>
      <c r="B18" s="15">
        <v>12228945</v>
      </c>
      <c r="C18" s="15">
        <v>12051696</v>
      </c>
      <c r="D18" s="15">
        <v>12795710</v>
      </c>
      <c r="E18" s="15">
        <v>13518536</v>
      </c>
      <c r="F18" s="15">
        <v>12922235</v>
      </c>
    </row>
    <row r="19" spans="1:6" ht="15.75" thickBot="1" x14ac:dyDescent="0.3">
      <c r="A19" s="5" t="s">
        <v>233</v>
      </c>
      <c r="B19" s="16">
        <v>1967067</v>
      </c>
      <c r="C19" s="16">
        <v>1874905</v>
      </c>
      <c r="D19" s="16">
        <v>2238366</v>
      </c>
      <c r="E19" s="16">
        <v>2310674</v>
      </c>
      <c r="F19" s="16">
        <v>2320982</v>
      </c>
    </row>
    <row r="20" spans="1:6" ht="15.75" thickBot="1" x14ac:dyDescent="0.3">
      <c r="A20" s="5" t="s">
        <v>234</v>
      </c>
      <c r="B20" s="16">
        <v>-16296</v>
      </c>
      <c r="C20" s="16">
        <v>-28839</v>
      </c>
      <c r="D20" s="16">
        <v>3012</v>
      </c>
      <c r="E20" s="16">
        <v>-27870</v>
      </c>
      <c r="F20" s="16">
        <v>-31282</v>
      </c>
    </row>
    <row r="21" spans="1:6" ht="15.75" thickBot="1" x14ac:dyDescent="0.3">
      <c r="A21" s="10" t="s">
        <v>235</v>
      </c>
      <c r="B21" s="15">
        <v>10278175</v>
      </c>
      <c r="C21" s="15">
        <v>10205630</v>
      </c>
      <c r="D21" s="15">
        <v>10554332</v>
      </c>
      <c r="E21" s="15">
        <v>11235732</v>
      </c>
      <c r="F21" s="15">
        <v>10632536</v>
      </c>
    </row>
    <row r="22" spans="1:6" ht="15.75" thickBot="1" x14ac:dyDescent="0.3">
      <c r="A22" s="5" t="s">
        <v>236</v>
      </c>
      <c r="B22" s="16">
        <v>-17491</v>
      </c>
      <c r="C22" s="16">
        <v>-21651</v>
      </c>
      <c r="D22" s="16">
        <v>-26844</v>
      </c>
      <c r="E22" s="16">
        <v>136795</v>
      </c>
      <c r="F22" s="16">
        <v>100059</v>
      </c>
    </row>
    <row r="23" spans="1:6" ht="15.75" thickBot="1" x14ac:dyDescent="0.3">
      <c r="A23" s="5" t="s">
        <v>237</v>
      </c>
      <c r="B23" s="16">
        <v>10295665</v>
      </c>
      <c r="C23" s="16">
        <v>10227281</v>
      </c>
      <c r="D23" s="16">
        <v>10581176</v>
      </c>
      <c r="E23" s="16">
        <v>11098937</v>
      </c>
      <c r="F23" s="16">
        <v>10532477</v>
      </c>
    </row>
    <row r="24" spans="1:6" ht="15.75" thickBot="1" x14ac:dyDescent="0.3">
      <c r="A24" s="5" t="s">
        <v>238</v>
      </c>
      <c r="B24" s="16">
        <v>6355</v>
      </c>
      <c r="C24" s="16">
        <v>5295</v>
      </c>
      <c r="D24" s="16">
        <v>5478</v>
      </c>
      <c r="E24" s="16">
        <v>4770</v>
      </c>
      <c r="F24" s="16">
        <v>4517</v>
      </c>
    </row>
    <row r="25" spans="1:6" x14ac:dyDescent="0.25">
      <c r="A25" s="5" t="s">
        <v>239</v>
      </c>
      <c r="B25" s="6"/>
      <c r="C25" s="6"/>
      <c r="D25" s="6"/>
      <c r="E25" s="6"/>
      <c r="F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BA-8EF5-4E4A-9B9F-B43DC6A1706B}">
  <dimension ref="A2:O93"/>
  <sheetViews>
    <sheetView showGridLines="0" tabSelected="1" zoomScale="115" zoomScaleNormal="115" workbookViewId="0">
      <selection activeCell="C6" sqref="C6"/>
    </sheetView>
  </sheetViews>
  <sheetFormatPr defaultRowHeight="14.25" outlineLevelRow="1" x14ac:dyDescent="0.2"/>
  <cols>
    <col min="1" max="1" width="4.7109375" style="12" customWidth="1"/>
    <col min="2" max="2" width="9.140625" style="12"/>
    <col min="3" max="3" width="11.85546875" style="12" bestFit="1" customWidth="1"/>
    <col min="4" max="4" width="10.7109375" style="12" customWidth="1"/>
    <col min="5" max="15" width="14.140625" style="12" customWidth="1"/>
    <col min="16" max="16384" width="9.140625" style="12"/>
  </cols>
  <sheetData>
    <row r="2" spans="1:15" ht="23.25" x14ac:dyDescent="0.35">
      <c r="B2" s="45" t="s">
        <v>369</v>
      </c>
    </row>
    <row r="4" spans="1:15" x14ac:dyDescent="0.2">
      <c r="A4" s="12" t="s">
        <v>293</v>
      </c>
      <c r="B4" s="12" t="s">
        <v>291</v>
      </c>
      <c r="C4" s="19" t="s">
        <v>359</v>
      </c>
      <c r="F4" s="12" t="s">
        <v>345</v>
      </c>
      <c r="H4" s="20">
        <f ca="1">O83</f>
        <v>87.656172446787352</v>
      </c>
    </row>
    <row r="5" spans="1:15" x14ac:dyDescent="0.2">
      <c r="B5" s="12" t="s">
        <v>292</v>
      </c>
      <c r="C5" s="21">
        <v>44746</v>
      </c>
      <c r="F5" s="12" t="s">
        <v>346</v>
      </c>
      <c r="H5" s="20">
        <v>75.2</v>
      </c>
    </row>
    <row r="7" spans="1:15" ht="15" x14ac:dyDescent="0.25">
      <c r="A7" s="12" t="s">
        <v>293</v>
      </c>
      <c r="B7" s="22" t="s">
        <v>294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5" x14ac:dyDescent="0.25">
      <c r="B8" s="13" t="s">
        <v>325</v>
      </c>
      <c r="F8" s="13" t="s">
        <v>321</v>
      </c>
      <c r="I8" s="13" t="s">
        <v>322</v>
      </c>
      <c r="L8" s="13" t="s">
        <v>323</v>
      </c>
    </row>
    <row r="9" spans="1:15" x14ac:dyDescent="0.2">
      <c r="B9" s="12" t="s">
        <v>326</v>
      </c>
      <c r="D9" s="70">
        <v>2</v>
      </c>
      <c r="F9" s="12" t="s">
        <v>332</v>
      </c>
      <c r="G9" s="67">
        <v>4.4999999999999998E-2</v>
      </c>
      <c r="I9" s="12" t="s">
        <v>332</v>
      </c>
      <c r="J9" s="67">
        <v>0.05</v>
      </c>
      <c r="L9" s="12" t="s">
        <v>332</v>
      </c>
      <c r="M9" s="67">
        <v>0.06</v>
      </c>
    </row>
    <row r="10" spans="1:15" x14ac:dyDescent="0.2">
      <c r="B10" s="12" t="s">
        <v>327</v>
      </c>
      <c r="D10" s="70">
        <v>2</v>
      </c>
      <c r="F10" s="12" t="s">
        <v>331</v>
      </c>
      <c r="G10" s="67">
        <v>0.04</v>
      </c>
      <c r="I10" s="12" t="s">
        <v>331</v>
      </c>
      <c r="J10" s="67">
        <v>0.05</v>
      </c>
      <c r="L10" s="12" t="s">
        <v>331</v>
      </c>
      <c r="M10" s="67">
        <v>0.06</v>
      </c>
    </row>
    <row r="11" spans="1:15" x14ac:dyDescent="0.2">
      <c r="B11" s="12" t="s">
        <v>313</v>
      </c>
      <c r="D11" s="70">
        <v>2</v>
      </c>
      <c r="F11" s="12" t="s">
        <v>333</v>
      </c>
      <c r="G11" s="68">
        <f>J11-1%</f>
        <v>0.21810270197010823</v>
      </c>
      <c r="I11" s="12" t="s">
        <v>333</v>
      </c>
      <c r="J11" s="67">
        <f>AVERAGE(E26:I26)</f>
        <v>0.22810270197010823</v>
      </c>
      <c r="L11" s="12" t="s">
        <v>333</v>
      </c>
      <c r="M11" s="67">
        <f>J11+1%</f>
        <v>0.23810270197010824</v>
      </c>
    </row>
    <row r="12" spans="1:15" x14ac:dyDescent="0.2">
      <c r="D12" s="71"/>
      <c r="F12" s="12" t="s">
        <v>334</v>
      </c>
      <c r="G12" s="68">
        <v>0.19</v>
      </c>
      <c r="I12" s="12" t="s">
        <v>334</v>
      </c>
      <c r="J12" s="67">
        <v>0.2</v>
      </c>
      <c r="L12" s="12" t="s">
        <v>334</v>
      </c>
      <c r="M12" s="67">
        <v>0.21</v>
      </c>
    </row>
    <row r="13" spans="1:15" x14ac:dyDescent="0.2">
      <c r="B13" s="12" t="s">
        <v>328</v>
      </c>
      <c r="D13" s="70">
        <v>2</v>
      </c>
      <c r="G13" s="46"/>
      <c r="I13" s="12" t="s">
        <v>302</v>
      </c>
      <c r="J13" s="67">
        <v>0.17</v>
      </c>
      <c r="M13" s="69"/>
    </row>
    <row r="14" spans="1:15" x14ac:dyDescent="0.2">
      <c r="B14" s="12" t="s">
        <v>329</v>
      </c>
      <c r="D14" s="70">
        <v>2</v>
      </c>
      <c r="G14" s="46"/>
      <c r="I14" s="12" t="s">
        <v>310</v>
      </c>
      <c r="J14" s="67">
        <f>AVERAGE(E62:I62)</f>
        <v>3.5365927456516386E-2</v>
      </c>
      <c r="M14" s="69"/>
    </row>
    <row r="15" spans="1:15" x14ac:dyDescent="0.2">
      <c r="F15" s="12" t="s">
        <v>370</v>
      </c>
      <c r="G15" s="67">
        <v>0.04</v>
      </c>
      <c r="I15" s="12" t="s">
        <v>370</v>
      </c>
      <c r="J15" s="67">
        <v>0.03</v>
      </c>
      <c r="L15" s="12" t="s">
        <v>370</v>
      </c>
      <c r="M15" s="67">
        <v>2.5000000000000001E-2</v>
      </c>
    </row>
    <row r="16" spans="1:15" x14ac:dyDescent="0.2">
      <c r="B16" s="12" t="s">
        <v>330</v>
      </c>
      <c r="F16" s="12" t="s">
        <v>336</v>
      </c>
      <c r="G16" s="67">
        <v>3.5000000000000003E-2</v>
      </c>
      <c r="I16" s="12" t="s">
        <v>336</v>
      </c>
      <c r="J16" s="67">
        <v>0.03</v>
      </c>
      <c r="L16" s="12" t="s">
        <v>336</v>
      </c>
      <c r="M16" s="67">
        <v>0.02</v>
      </c>
    </row>
    <row r="17" spans="1:15" x14ac:dyDescent="0.2">
      <c r="B17" s="12" t="s">
        <v>328</v>
      </c>
      <c r="D17" s="47">
        <f>CHOOSE(D13,G18,J18,M18)</f>
        <v>8.0484814032279473E-2</v>
      </c>
      <c r="G17" s="69"/>
      <c r="I17" s="12" t="s">
        <v>335</v>
      </c>
      <c r="J17" s="67">
        <f>AVERAGE(F71:I71)</f>
        <v>-1.6740881238599598E-2</v>
      </c>
      <c r="M17" s="69"/>
    </row>
    <row r="18" spans="1:15" x14ac:dyDescent="0.2">
      <c r="B18" s="12" t="s">
        <v>329</v>
      </c>
      <c r="D18" s="47">
        <f>CHOOSE(D14,G19,J19,M19)</f>
        <v>0.03</v>
      </c>
      <c r="F18" s="12" t="s">
        <v>328</v>
      </c>
      <c r="G18" s="67">
        <f>J18+1%</f>
        <v>9.0484814032279468E-2</v>
      </c>
      <c r="I18" s="12" t="s">
        <v>328</v>
      </c>
      <c r="J18" s="67">
        <f>WACC!B13</f>
        <v>8.0484814032279473E-2</v>
      </c>
      <c r="L18" s="12" t="s">
        <v>328</v>
      </c>
      <c r="M18" s="67">
        <f>J18-1%</f>
        <v>7.0484814032279478E-2</v>
      </c>
    </row>
    <row r="19" spans="1:15" x14ac:dyDescent="0.2">
      <c r="F19" s="12" t="s">
        <v>329</v>
      </c>
      <c r="G19" s="67">
        <f>J19-0.5%</f>
        <v>2.4999999999999998E-2</v>
      </c>
      <c r="I19" s="12" t="s">
        <v>329</v>
      </c>
      <c r="J19" s="67">
        <v>0.03</v>
      </c>
      <c r="L19" s="12" t="s">
        <v>329</v>
      </c>
      <c r="M19" s="67">
        <f>J19+0.5%</f>
        <v>3.4999999999999996E-2</v>
      </c>
    </row>
    <row r="21" spans="1:15" ht="15" x14ac:dyDescent="0.25">
      <c r="A21" s="12" t="s">
        <v>293</v>
      </c>
      <c r="B21" s="22" t="s">
        <v>295</v>
      </c>
      <c r="C21" s="22"/>
      <c r="D21" s="22"/>
      <c r="E21" s="22">
        <v>2017</v>
      </c>
      <c r="F21" s="22">
        <f>E21+1</f>
        <v>2018</v>
      </c>
      <c r="G21" s="22">
        <f t="shared" ref="G21:O43" si="0">F21+1</f>
        <v>2019</v>
      </c>
      <c r="H21" s="22">
        <f t="shared" si="0"/>
        <v>2020</v>
      </c>
      <c r="I21" s="22">
        <f t="shared" si="0"/>
        <v>2021</v>
      </c>
      <c r="J21" s="22">
        <f t="shared" si="0"/>
        <v>2022</v>
      </c>
      <c r="K21" s="22">
        <f t="shared" si="0"/>
        <v>2023</v>
      </c>
      <c r="L21" s="22">
        <f t="shared" si="0"/>
        <v>2024</v>
      </c>
      <c r="M21" s="22">
        <f t="shared" si="0"/>
        <v>2025</v>
      </c>
      <c r="N21" s="22">
        <f>M21+1</f>
        <v>2026</v>
      </c>
      <c r="O21" s="22">
        <f t="shared" si="0"/>
        <v>2027</v>
      </c>
    </row>
    <row r="22" spans="1:15" outlineLevel="1" x14ac:dyDescent="0.2">
      <c r="B22" s="12" t="s">
        <v>298</v>
      </c>
      <c r="E22" s="23">
        <f>KQKD!B2</f>
        <v>51134900</v>
      </c>
      <c r="F22" s="23">
        <f>KQKD!C2</f>
        <v>52629230</v>
      </c>
      <c r="G22" s="23">
        <f>KQKD!D2</f>
        <v>56400230</v>
      </c>
      <c r="H22" s="23">
        <f>KQKD!E2</f>
        <v>59722908</v>
      </c>
      <c r="I22" s="23">
        <f>KQKD!F2</f>
        <v>61012074</v>
      </c>
      <c r="J22" s="24">
        <f t="shared" ref="J22:O22" si="1">I22*(1+J23)</f>
        <v>63778571.398155704</v>
      </c>
      <c r="K22" s="24">
        <f t="shared" si="1"/>
        <v>66670511.308788568</v>
      </c>
      <c r="L22" s="24">
        <f t="shared" si="1"/>
        <v>69693581.727104038</v>
      </c>
      <c r="M22" s="24">
        <f t="shared" si="1"/>
        <v>72853728.561584458</v>
      </c>
      <c r="N22" s="24">
        <f t="shared" si="1"/>
        <v>76157167.328664646</v>
      </c>
      <c r="O22" s="24">
        <f t="shared" si="1"/>
        <v>79610395.37768425</v>
      </c>
    </row>
    <row r="23" spans="1:15" outlineLevel="1" x14ac:dyDescent="0.2">
      <c r="B23" s="12" t="s">
        <v>299</v>
      </c>
      <c r="F23" s="25">
        <f>F22/E22-1</f>
        <v>2.9223289768827154E-2</v>
      </c>
      <c r="G23" s="25">
        <f>G22/F22-1</f>
        <v>7.1652197837589471E-2</v>
      </c>
      <c r="H23" s="25">
        <f>H22/G22-1</f>
        <v>5.8912490250482952E-2</v>
      </c>
      <c r="I23" s="25">
        <f>I22/H22-1</f>
        <v>2.1585787483757501E-2</v>
      </c>
      <c r="J23" s="26">
        <f>AVERAGE(F23:I23)</f>
        <v>4.534344133516427E-2</v>
      </c>
      <c r="K23" s="26">
        <f>$J$23</f>
        <v>4.534344133516427E-2</v>
      </c>
      <c r="L23" s="26">
        <f>$J$23</f>
        <v>4.534344133516427E-2</v>
      </c>
      <c r="M23" s="26">
        <f>$J$23</f>
        <v>4.534344133516427E-2</v>
      </c>
      <c r="N23" s="26">
        <f>$J$23</f>
        <v>4.534344133516427E-2</v>
      </c>
      <c r="O23" s="26">
        <f>$J$23</f>
        <v>4.534344133516427E-2</v>
      </c>
    </row>
    <row r="24" spans="1:15" outlineLevel="1" x14ac:dyDescent="0.2"/>
    <row r="25" spans="1:15" outlineLevel="1" x14ac:dyDescent="0.2">
      <c r="B25" s="12" t="s">
        <v>300</v>
      </c>
      <c r="E25" s="27">
        <f>KQKD!B18+KQKD!B9</f>
        <v>12258384</v>
      </c>
      <c r="F25" s="27">
        <f>KQKD!C18+KQKD!C9</f>
        <v>12103063</v>
      </c>
      <c r="G25" s="27">
        <f>KQKD!D18+KQKD!D9</f>
        <v>12904535</v>
      </c>
      <c r="H25" s="27">
        <f>KQKD!E18+KQKD!E9</f>
        <v>13662354</v>
      </c>
      <c r="I25" s="27">
        <f>KQKD!F18+KQKD!F9</f>
        <v>13011034</v>
      </c>
      <c r="J25" s="24">
        <f>J22*J26</f>
        <v>14362729.215064095</v>
      </c>
      <c r="K25" s="24">
        <f t="shared" ref="K25:M25" si="2">K22*K26</f>
        <v>15013984.784640204</v>
      </c>
      <c r="L25" s="24">
        <f t="shared" si="2"/>
        <v>15694770.522929588</v>
      </c>
      <c r="M25" s="24">
        <f t="shared" si="2"/>
        <v>16406425.429404913</v>
      </c>
      <c r="N25" s="24">
        <f>N22*N26</f>
        <v>17150349.21838288</v>
      </c>
      <c r="O25" s="24">
        <f>O22*O26</f>
        <v>17928005.072044209</v>
      </c>
    </row>
    <row r="26" spans="1:15" outlineLevel="1" x14ac:dyDescent="0.2">
      <c r="B26" s="12" t="s">
        <v>301</v>
      </c>
      <c r="E26" s="25">
        <f>E25/E22</f>
        <v>0.2397263708347919</v>
      </c>
      <c r="F26" s="25">
        <f>F25/F22</f>
        <v>0.22996846049239178</v>
      </c>
      <c r="G26" s="25">
        <f t="shared" ref="G26:I26" si="3">G25/G22</f>
        <v>0.22880287899535162</v>
      </c>
      <c r="H26" s="25">
        <f t="shared" si="3"/>
        <v>0.22876237037888375</v>
      </c>
      <c r="I26" s="25">
        <f t="shared" si="3"/>
        <v>0.21325342914912218</v>
      </c>
      <c r="J26" s="26">
        <f>AVERAGE(F26:I26)</f>
        <v>0.22519678475393734</v>
      </c>
      <c r="K26" s="26">
        <f>$J$26</f>
        <v>0.22519678475393734</v>
      </c>
      <c r="L26" s="26">
        <f>$J$26</f>
        <v>0.22519678475393734</v>
      </c>
      <c r="M26" s="26">
        <f>$J$26</f>
        <v>0.22519678475393734</v>
      </c>
      <c r="N26" s="26">
        <f>$J$26</f>
        <v>0.22519678475393734</v>
      </c>
      <c r="O26" s="26">
        <f>$J$26</f>
        <v>0.22519678475393734</v>
      </c>
    </row>
    <row r="27" spans="1:15" outlineLevel="1" x14ac:dyDescent="0.2"/>
    <row r="28" spans="1:15" outlineLevel="1" x14ac:dyDescent="0.2">
      <c r="B28" s="12" t="s">
        <v>302</v>
      </c>
      <c r="E28" s="27">
        <f>KQKD!B19</f>
        <v>1967067</v>
      </c>
      <c r="F28" s="27">
        <f>KQKD!C19</f>
        <v>1874905</v>
      </c>
      <c r="G28" s="27">
        <f>KQKD!D19</f>
        <v>2238366</v>
      </c>
      <c r="H28" s="27">
        <f>KQKD!E19</f>
        <v>2310674</v>
      </c>
      <c r="I28" s="27">
        <f>KQKD!F19</f>
        <v>2320982</v>
      </c>
      <c r="J28" s="28">
        <f>J25*J29</f>
        <v>2426870.7995191342</v>
      </c>
      <c r="K28" s="28">
        <f t="shared" ref="K28:O28" si="4">K25*K29</f>
        <v>2536913.4732451532</v>
      </c>
      <c r="L28" s="28">
        <f t="shared" si="4"/>
        <v>2651945.8604916329</v>
      </c>
      <c r="M28" s="28">
        <f t="shared" si="4"/>
        <v>2772194.2120408672</v>
      </c>
      <c r="N28" s="28">
        <f t="shared" si="4"/>
        <v>2897895.0376642239</v>
      </c>
      <c r="O28" s="28">
        <f t="shared" si="4"/>
        <v>3029295.5713000163</v>
      </c>
    </row>
    <row r="29" spans="1:15" outlineLevel="1" x14ac:dyDescent="0.2">
      <c r="B29" s="12" t="s">
        <v>303</v>
      </c>
      <c r="E29" s="29">
        <f>E28/E25</f>
        <v>0.1604670729844978</v>
      </c>
      <c r="F29" s="29">
        <f t="shared" ref="F29:I29" si="5">F28/F25</f>
        <v>0.15491161204399251</v>
      </c>
      <c r="G29" s="29">
        <f t="shared" si="5"/>
        <v>0.17345576574436816</v>
      </c>
      <c r="H29" s="29">
        <f t="shared" si="5"/>
        <v>0.16912707722256354</v>
      </c>
      <c r="I29" s="29">
        <f t="shared" si="5"/>
        <v>0.17838566865631125</v>
      </c>
      <c r="J29" s="26">
        <f>AVERAGE(F29:I29)</f>
        <v>0.16897003091680887</v>
      </c>
      <c r="K29" s="26">
        <f>$J$29</f>
        <v>0.16897003091680887</v>
      </c>
      <c r="L29" s="26">
        <f>$J$29</f>
        <v>0.16897003091680887</v>
      </c>
      <c r="M29" s="26">
        <f>$J$29</f>
        <v>0.16897003091680887</v>
      </c>
      <c r="N29" s="26">
        <f>$J$29</f>
        <v>0.16897003091680887</v>
      </c>
      <c r="O29" s="26">
        <f>$J$29</f>
        <v>0.16897003091680887</v>
      </c>
    </row>
    <row r="30" spans="1:15" outlineLevel="1" x14ac:dyDescent="0.2"/>
    <row r="31" spans="1:15" ht="15" x14ac:dyDescent="0.25">
      <c r="A31" s="12" t="s">
        <v>293</v>
      </c>
      <c r="B31" s="22" t="s">
        <v>296</v>
      </c>
      <c r="C31" s="22"/>
      <c r="D31" s="22"/>
      <c r="E31" s="22">
        <v>2017</v>
      </c>
      <c r="F31" s="22">
        <f>E31+1</f>
        <v>2018</v>
      </c>
      <c r="G31" s="22">
        <f t="shared" si="0"/>
        <v>2019</v>
      </c>
      <c r="H31" s="22">
        <f t="shared" si="0"/>
        <v>2020</v>
      </c>
      <c r="I31" s="22">
        <f t="shared" si="0"/>
        <v>2021</v>
      </c>
      <c r="J31" s="22">
        <f t="shared" si="0"/>
        <v>2022</v>
      </c>
      <c r="K31" s="22">
        <f t="shared" si="0"/>
        <v>2023</v>
      </c>
      <c r="L31" s="22">
        <f t="shared" si="0"/>
        <v>2024</v>
      </c>
      <c r="M31" s="22">
        <f t="shared" si="0"/>
        <v>2025</v>
      </c>
      <c r="N31" s="22">
        <f>M31+1</f>
        <v>2026</v>
      </c>
      <c r="O31" s="22">
        <f t="shared" si="0"/>
        <v>2027</v>
      </c>
    </row>
    <row r="32" spans="1:15" outlineLevel="1" x14ac:dyDescent="0.2">
      <c r="B32" s="12" t="s">
        <v>310</v>
      </c>
      <c r="E32" s="27">
        <f>LCTT!B5</f>
        <v>1299870</v>
      </c>
      <c r="F32" s="27">
        <f>LCTT!C5</f>
        <v>1626632</v>
      </c>
      <c r="G32" s="27">
        <f>LCTT!D5</f>
        <v>1948073</v>
      </c>
      <c r="H32" s="27">
        <f>LCTT!E5</f>
        <v>2817015</v>
      </c>
      <c r="I32" s="27">
        <f>LCTT!F5</f>
        <v>2366878</v>
      </c>
    </row>
    <row r="33" spans="1:15" outlineLevel="1" x14ac:dyDescent="0.2">
      <c r="B33" s="12" t="s">
        <v>311</v>
      </c>
      <c r="E33" s="25">
        <f>E32/E22</f>
        <v>2.5420407588554978E-2</v>
      </c>
      <c r="F33" s="25">
        <f t="shared" ref="F33:I33" si="6">F32/F22</f>
        <v>3.0907387396699515E-2</v>
      </c>
      <c r="G33" s="25">
        <f t="shared" si="6"/>
        <v>3.4540160563175007E-2</v>
      </c>
      <c r="H33" s="25">
        <f t="shared" si="6"/>
        <v>4.7168081634604932E-2</v>
      </c>
      <c r="I33" s="25">
        <f t="shared" si="6"/>
        <v>3.8793600099547507E-2</v>
      </c>
    </row>
    <row r="34" spans="1:15" outlineLevel="1" x14ac:dyDescent="0.2">
      <c r="B34" s="12" t="s">
        <v>312</v>
      </c>
      <c r="E34" s="29">
        <f>E32/E36</f>
        <v>0.50929796832476715</v>
      </c>
      <c r="F34" s="29">
        <f t="shared" ref="F34:I34" si="7">F32/F36</f>
        <v>0.5261935115722447</v>
      </c>
      <c r="G34" s="29">
        <f t="shared" si="7"/>
        <v>0.95299485020490093</v>
      </c>
      <c r="H34" s="29">
        <f t="shared" si="7"/>
        <v>2.5276632743339009</v>
      </c>
      <c r="I34" s="29">
        <f t="shared" si="7"/>
        <v>1.6941121736142923</v>
      </c>
    </row>
    <row r="35" spans="1:15" outlineLevel="1" x14ac:dyDescent="0.2"/>
    <row r="36" spans="1:15" outlineLevel="1" x14ac:dyDescent="0.2">
      <c r="B36" s="12" t="s">
        <v>313</v>
      </c>
      <c r="E36" s="27">
        <f>-(LCTT!B26+LCTT!B27)</f>
        <v>2552278</v>
      </c>
      <c r="F36" s="27">
        <f>-(LCTT!C26+LCTT!C27)</f>
        <v>3091319</v>
      </c>
      <c r="G36" s="27">
        <f>-(LCTT!D26+LCTT!D27)</f>
        <v>2044159</v>
      </c>
      <c r="H36" s="27">
        <f>-(LCTT!E26+LCTT!E27)</f>
        <v>1114474</v>
      </c>
      <c r="I36" s="27">
        <f>-(LCTT!F26+LCTT!F27)</f>
        <v>1397120</v>
      </c>
    </row>
    <row r="37" spans="1:15" outlineLevel="1" x14ac:dyDescent="0.2">
      <c r="B37" s="12" t="s">
        <v>314</v>
      </c>
      <c r="E37" s="25">
        <f>E36/E22</f>
        <v>4.9912642832977083E-2</v>
      </c>
      <c r="F37" s="25">
        <f t="shared" ref="F37:I37" si="8">F36/F22</f>
        <v>5.8737682462768316E-2</v>
      </c>
      <c r="G37" s="25">
        <f t="shared" si="8"/>
        <v>3.6243806097953857E-2</v>
      </c>
      <c r="H37" s="25">
        <f t="shared" si="8"/>
        <v>1.8660745722562606E-2</v>
      </c>
      <c r="I37" s="25">
        <f t="shared" si="8"/>
        <v>2.2899074042295301E-2</v>
      </c>
    </row>
    <row r="38" spans="1:15" outlineLevel="1" x14ac:dyDescent="0.2"/>
    <row r="39" spans="1:15" outlineLevel="1" x14ac:dyDescent="0.2">
      <c r="B39" s="12" t="s">
        <v>315</v>
      </c>
      <c r="E39" s="27"/>
      <c r="F39" s="27">
        <f>SUM(LCTT!C15:C18)</f>
        <v>-1739827</v>
      </c>
      <c r="G39" s="27">
        <f>SUM(LCTT!D15:D18)</f>
        <v>392196</v>
      </c>
      <c r="H39" s="27">
        <f>SUM(LCTT!E15:E18)</f>
        <v>-1174187</v>
      </c>
      <c r="I39" s="27">
        <f>SUM(LCTT!F15:F18)</f>
        <v>-1293368</v>
      </c>
    </row>
    <row r="40" spans="1:15" outlineLevel="1" x14ac:dyDescent="0.2">
      <c r="B40" s="12" t="s">
        <v>314</v>
      </c>
      <c r="E40" s="25"/>
      <c r="F40" s="25">
        <f t="shared" ref="F40:G40" si="9">F39/F22</f>
        <v>-3.3058188386947712E-2</v>
      </c>
      <c r="G40" s="25">
        <f t="shared" si="9"/>
        <v>6.9538014295331772E-3</v>
      </c>
      <c r="H40" s="25">
        <f>H39/H22</f>
        <v>-1.9660579823072247E-2</v>
      </c>
      <c r="I40" s="25">
        <f>I39/I22</f>
        <v>-2.119855817391161E-2</v>
      </c>
    </row>
    <row r="41" spans="1:15" outlineLevel="1" x14ac:dyDescent="0.2">
      <c r="B41" s="12" t="s">
        <v>316</v>
      </c>
      <c r="F41" s="25">
        <f>F39/(F22-E22)</f>
        <v>-1.1642856664859838</v>
      </c>
      <c r="G41" s="25">
        <f t="shared" ref="G41" si="10">G39/(G22-F22)</f>
        <v>0.10400318217979315</v>
      </c>
      <c r="H41" s="25">
        <f>H39/(H22-G22)</f>
        <v>-0.35338573283357583</v>
      </c>
      <c r="I41" s="25">
        <f>I39/(I22-H22)</f>
        <v>-1.0032594716273933</v>
      </c>
    </row>
    <row r="42" spans="1:15" outlineLevel="1" x14ac:dyDescent="0.2">
      <c r="J42" s="12">
        <f t="shared" ref="J42:O42" si="11">J43-$I$43</f>
        <v>1</v>
      </c>
      <c r="K42" s="12">
        <f t="shared" si="11"/>
        <v>2</v>
      </c>
      <c r="L42" s="12">
        <f t="shared" si="11"/>
        <v>3</v>
      </c>
      <c r="M42" s="12">
        <f t="shared" si="11"/>
        <v>4</v>
      </c>
      <c r="N42" s="12">
        <f t="shared" si="11"/>
        <v>5</v>
      </c>
      <c r="O42" s="12">
        <f t="shared" si="11"/>
        <v>6</v>
      </c>
    </row>
    <row r="43" spans="1:15" ht="15" x14ac:dyDescent="0.25">
      <c r="A43" s="12" t="s">
        <v>293</v>
      </c>
      <c r="B43" s="22" t="s">
        <v>297</v>
      </c>
      <c r="C43" s="22"/>
      <c r="D43" s="22"/>
      <c r="E43" s="22">
        <v>2017</v>
      </c>
      <c r="F43" s="22">
        <f>E43+1</f>
        <v>2018</v>
      </c>
      <c r="G43" s="22">
        <f t="shared" si="0"/>
        <v>2019</v>
      </c>
      <c r="H43" s="22">
        <f t="shared" si="0"/>
        <v>2020</v>
      </c>
      <c r="I43" s="22">
        <f t="shared" si="0"/>
        <v>2021</v>
      </c>
      <c r="J43" s="22">
        <f t="shared" si="0"/>
        <v>2022</v>
      </c>
      <c r="K43" s="22">
        <f t="shared" si="0"/>
        <v>2023</v>
      </c>
      <c r="L43" s="22">
        <f t="shared" si="0"/>
        <v>2024</v>
      </c>
      <c r="M43" s="22">
        <f t="shared" si="0"/>
        <v>2025</v>
      </c>
      <c r="N43" s="22">
        <f>M43+1</f>
        <v>2026</v>
      </c>
      <c r="O43" s="22">
        <f t="shared" si="0"/>
        <v>2027</v>
      </c>
    </row>
    <row r="44" spans="1:15" x14ac:dyDescent="0.2">
      <c r="B44" s="12" t="s">
        <v>298</v>
      </c>
      <c r="E44" s="30">
        <f>E22</f>
        <v>51134900</v>
      </c>
      <c r="F44" s="30">
        <f t="shared" ref="F44:I44" si="12">F22</f>
        <v>52629230</v>
      </c>
      <c r="G44" s="30">
        <f t="shared" si="12"/>
        <v>56400230</v>
      </c>
      <c r="H44" s="30">
        <f t="shared" si="12"/>
        <v>59722908</v>
      </c>
      <c r="I44" s="30">
        <f t="shared" si="12"/>
        <v>61012074</v>
      </c>
      <c r="J44" s="30">
        <f ca="1">I44*(1+J45)</f>
        <v>64062677.700000003</v>
      </c>
      <c r="K44" s="30">
        <f t="shared" ref="K44:O44" ca="1" si="13">J44*(1+K45)</f>
        <v>67265811.585000008</v>
      </c>
      <c r="L44" s="30">
        <f t="shared" ca="1" si="13"/>
        <v>70629102.164250016</v>
      </c>
      <c r="M44" s="30">
        <f t="shared" ca="1" si="13"/>
        <v>74160557.272462517</v>
      </c>
      <c r="N44" s="30">
        <f ca="1">M44*(1+N45)</f>
        <v>77868585.136085644</v>
      </c>
      <c r="O44" s="30">
        <f t="shared" ca="1" si="13"/>
        <v>81762014.392889932</v>
      </c>
    </row>
    <row r="45" spans="1:15" x14ac:dyDescent="0.2">
      <c r="B45" s="12" t="s">
        <v>299</v>
      </c>
      <c r="E45" s="26"/>
      <c r="F45" s="25">
        <f>F44/E44-1</f>
        <v>2.9223289768827154E-2</v>
      </c>
      <c r="G45" s="25">
        <f t="shared" ref="G45:I45" si="14">G44/F44-1</f>
        <v>7.1652197837589471E-2</v>
      </c>
      <c r="H45" s="25">
        <f t="shared" si="14"/>
        <v>5.8912490250482952E-2</v>
      </c>
      <c r="I45" s="25">
        <f t="shared" si="14"/>
        <v>2.1585787483757501E-2</v>
      </c>
      <c r="J45" s="25">
        <f ca="1">OFFSET(J45,$D$9,0)</f>
        <v>0.05</v>
      </c>
      <c r="K45" s="25">
        <f t="shared" ref="K45:O45" ca="1" si="15">OFFSET(K45,$D$9,0)</f>
        <v>0.05</v>
      </c>
      <c r="L45" s="25">
        <f t="shared" ca="1" si="15"/>
        <v>0.05</v>
      </c>
      <c r="M45" s="25">
        <f t="shared" ca="1" si="15"/>
        <v>0.05</v>
      </c>
      <c r="N45" s="25">
        <f t="shared" ca="1" si="15"/>
        <v>0.05</v>
      </c>
      <c r="O45" s="25">
        <f t="shared" ca="1" si="15"/>
        <v>0.05</v>
      </c>
    </row>
    <row r="46" spans="1:15" x14ac:dyDescent="0.2">
      <c r="B46" s="12" t="s">
        <v>321</v>
      </c>
      <c r="E46" s="26"/>
      <c r="F46" s="26"/>
      <c r="G46" s="26"/>
      <c r="H46" s="26"/>
      <c r="I46" s="26"/>
      <c r="J46" s="31">
        <f>G9</f>
        <v>4.4999999999999998E-2</v>
      </c>
      <c r="K46" s="32">
        <f>J46-(J47-K47)</f>
        <v>4.4999999999999998E-2</v>
      </c>
      <c r="L46" s="32">
        <f>K46-($K$46-$O$46)/($O$43-$K$43)</f>
        <v>4.3749999999999997E-2</v>
      </c>
      <c r="M46" s="32">
        <f>L46-($K$46-$O$46)/($O$43-$K$43)</f>
        <v>4.2499999999999996E-2</v>
      </c>
      <c r="N46" s="32">
        <f>M46-($K$46-$O$46)/($O$43-$K$43)</f>
        <v>4.1249999999999995E-2</v>
      </c>
      <c r="O46" s="33">
        <f>G10</f>
        <v>0.04</v>
      </c>
    </row>
    <row r="47" spans="1:15" x14ac:dyDescent="0.2">
      <c r="B47" s="12" t="s">
        <v>322</v>
      </c>
      <c r="E47" s="26"/>
      <c r="F47" s="26"/>
      <c r="G47" s="26"/>
      <c r="H47" s="26"/>
      <c r="I47" s="26"/>
      <c r="J47" s="31">
        <f>J9</f>
        <v>0.05</v>
      </c>
      <c r="K47" s="34">
        <f>J47-($J$47-$O$47)/($O$43-$K$43)</f>
        <v>0.05</v>
      </c>
      <c r="L47" s="34">
        <f>K47-($J$47-$O$47)/($O$43-$K$43)</f>
        <v>0.05</v>
      </c>
      <c r="M47" s="34">
        <f>L47-($J$47-$O$47)/($O$43-$K$43)</f>
        <v>0.05</v>
      </c>
      <c r="N47" s="34">
        <f>M47-($J$47-$O$47)/($O$43-$K$43)</f>
        <v>0.05</v>
      </c>
      <c r="O47" s="35">
        <f>J10</f>
        <v>0.05</v>
      </c>
    </row>
    <row r="48" spans="1:15" x14ac:dyDescent="0.2">
      <c r="B48" s="12" t="s">
        <v>323</v>
      </c>
      <c r="E48" s="26"/>
      <c r="F48" s="26"/>
      <c r="G48" s="26"/>
      <c r="H48" s="26"/>
      <c r="I48" s="26"/>
      <c r="J48" s="31">
        <f>M9</f>
        <v>0.06</v>
      </c>
      <c r="K48" s="36">
        <f>J48-(J47-K47)</f>
        <v>0.06</v>
      </c>
      <c r="L48" s="34">
        <f>K48-($K$48-$O$48)/($O$43-$K$43)</f>
        <v>0.06</v>
      </c>
      <c r="M48" s="34">
        <f>L48-($K$48-$O$48)/($O$43-$K$43)</f>
        <v>0.06</v>
      </c>
      <c r="N48" s="34">
        <f>M48-($K$48-$O$48)/($O$43-$K$43)</f>
        <v>0.06</v>
      </c>
      <c r="O48" s="35">
        <f>M10</f>
        <v>0.06</v>
      </c>
    </row>
    <row r="50" spans="2:15" x14ac:dyDescent="0.2">
      <c r="B50" s="12" t="s">
        <v>300</v>
      </c>
      <c r="E50" s="30">
        <f>E25</f>
        <v>12258384</v>
      </c>
      <c r="F50" s="30">
        <f t="shared" ref="F50:I50" si="16">F25</f>
        <v>12103063</v>
      </c>
      <c r="G50" s="30">
        <f t="shared" si="16"/>
        <v>12904535</v>
      </c>
      <c r="H50" s="30">
        <f t="shared" si="16"/>
        <v>13662354</v>
      </c>
      <c r="I50" s="30">
        <f t="shared" si="16"/>
        <v>13011034</v>
      </c>
      <c r="J50" s="30">
        <f ca="1">J51*J44</f>
        <v>14612869.878810199</v>
      </c>
      <c r="K50" s="30">
        <f t="shared" ref="K50:O50" ca="1" si="17">K51*K44</f>
        <v>14965443.161600567</v>
      </c>
      <c r="L50" s="30">
        <f t="shared" ca="1" si="17"/>
        <v>15316741.597972948</v>
      </c>
      <c r="M50" s="30">
        <f t="shared" ca="1" si="17"/>
        <v>15665756.270078564</v>
      </c>
      <c r="N50" s="30">
        <f t="shared" ca="1" si="17"/>
        <v>16011380.555399809</v>
      </c>
      <c r="O50" s="30">
        <f t="shared" ca="1" si="17"/>
        <v>16352402.878577987</v>
      </c>
    </row>
    <row r="51" spans="2:15" x14ac:dyDescent="0.2">
      <c r="B51" s="12" t="s">
        <v>320</v>
      </c>
      <c r="E51" s="25">
        <f>E50/E44</f>
        <v>0.2397263708347919</v>
      </c>
      <c r="F51" s="25">
        <f t="shared" ref="F51:I51" si="18">F50/F44</f>
        <v>0.22996846049239178</v>
      </c>
      <c r="G51" s="25">
        <f t="shared" si="18"/>
        <v>0.22880287899535162</v>
      </c>
      <c r="H51" s="25">
        <f t="shared" si="18"/>
        <v>0.22876237037888375</v>
      </c>
      <c r="I51" s="25">
        <f t="shared" si="18"/>
        <v>0.21325342914912218</v>
      </c>
      <c r="J51" s="25">
        <f ca="1">OFFSET(J51,$D$10,0)</f>
        <v>0.22810270197010823</v>
      </c>
      <c r="K51" s="25">
        <f t="shared" ref="K51:O51" ca="1" si="19">OFFSET(K51,$D$10,0)</f>
        <v>0.22248216157608658</v>
      </c>
      <c r="L51" s="25">
        <f t="shared" ca="1" si="19"/>
        <v>0.21686162118206492</v>
      </c>
      <c r="M51" s="25">
        <f t="shared" ca="1" si="19"/>
        <v>0.21124108078804327</v>
      </c>
      <c r="N51" s="25">
        <f t="shared" ca="1" si="19"/>
        <v>0.20562054039402161</v>
      </c>
      <c r="O51" s="25">
        <f t="shared" ca="1" si="19"/>
        <v>0.2</v>
      </c>
    </row>
    <row r="52" spans="2:15" x14ac:dyDescent="0.2">
      <c r="B52" s="12" t="s">
        <v>321</v>
      </c>
      <c r="J52" s="31">
        <f>G11</f>
        <v>0.21810270197010823</v>
      </c>
      <c r="K52" s="37">
        <f>J52+($O$52-$J$52)/($O$43-$J$43)</f>
        <v>0.21248216157608657</v>
      </c>
      <c r="L52" s="37">
        <f>K52+($O$52-$J$52)/($O$43-$J$43)</f>
        <v>0.20686162118206491</v>
      </c>
      <c r="M52" s="37">
        <f>L52+($O$52-$J$52)/($O$43-$J$43)</f>
        <v>0.20124108078804326</v>
      </c>
      <c r="N52" s="37">
        <f>M52+($O$52-$J$52)/($O$43-$J$43)</f>
        <v>0.1956205403940216</v>
      </c>
      <c r="O52" s="33">
        <f>G12</f>
        <v>0.19</v>
      </c>
    </row>
    <row r="53" spans="2:15" x14ac:dyDescent="0.2">
      <c r="B53" s="12" t="s">
        <v>322</v>
      </c>
      <c r="J53" s="31">
        <f>J11</f>
        <v>0.22810270197010823</v>
      </c>
      <c r="K53" s="37">
        <f>J53+($O$53-$J$53)/($O$43-$J$43)</f>
        <v>0.22248216157608658</v>
      </c>
      <c r="L53" s="37">
        <f>K53+($O$53-$J$53)/($O$43-$J$43)</f>
        <v>0.21686162118206492</v>
      </c>
      <c r="M53" s="37">
        <f>L53+($O$53-$J$53)/($O$43-$J$43)</f>
        <v>0.21124108078804327</v>
      </c>
      <c r="N53" s="37">
        <f>M53+($O$53-$J$53)/($O$43-$J$43)</f>
        <v>0.20562054039402161</v>
      </c>
      <c r="O53" s="35">
        <f>J12</f>
        <v>0.2</v>
      </c>
    </row>
    <row r="54" spans="2:15" x14ac:dyDescent="0.2">
      <c r="B54" s="12" t="s">
        <v>323</v>
      </c>
      <c r="J54" s="31">
        <f>M11</f>
        <v>0.23810270197010824</v>
      </c>
      <c r="K54" s="36">
        <f>J54+($O$54-$J$54)/($O$43-$J$43)</f>
        <v>0.23248216157608659</v>
      </c>
      <c r="L54" s="36">
        <f>K54+($O$54-$J$54)/($O$43-$J$43)</f>
        <v>0.22686162118206493</v>
      </c>
      <c r="M54" s="36">
        <f>L54+($O$54-$J$54)/($O$43-$J$43)</f>
        <v>0.22124108078804328</v>
      </c>
      <c r="N54" s="36">
        <f>M54+($O$54-$J$54)/($O$43-$J$43)</f>
        <v>0.21562054039402162</v>
      </c>
      <c r="O54" s="35">
        <f>M12</f>
        <v>0.21</v>
      </c>
    </row>
    <row r="56" spans="2:15" x14ac:dyDescent="0.2">
      <c r="B56" s="12" t="s">
        <v>302</v>
      </c>
      <c r="E56" s="30">
        <f>E28</f>
        <v>1967067</v>
      </c>
      <c r="F56" s="30">
        <f t="shared" ref="F56:I56" si="20">F28</f>
        <v>1874905</v>
      </c>
      <c r="G56" s="30">
        <f t="shared" si="20"/>
        <v>2238366</v>
      </c>
      <c r="H56" s="30">
        <f t="shared" si="20"/>
        <v>2310674</v>
      </c>
      <c r="I56" s="30">
        <f t="shared" si="20"/>
        <v>2320982</v>
      </c>
      <c r="J56" s="30">
        <f ca="1">J57*J50</f>
        <v>2484187.8793977341</v>
      </c>
      <c r="K56" s="30">
        <f t="shared" ref="K56:O56" ca="1" si="21">K57*K50</f>
        <v>2544125.3374720966</v>
      </c>
      <c r="L56" s="30">
        <f t="shared" ca="1" si="21"/>
        <v>2603846.0716554015</v>
      </c>
      <c r="M56" s="30">
        <f t="shared" ca="1" si="21"/>
        <v>2663178.5659133559</v>
      </c>
      <c r="N56" s="30">
        <f t="shared" ca="1" si="21"/>
        <v>2721934.6944179679</v>
      </c>
      <c r="O56" s="30">
        <f t="shared" ca="1" si="21"/>
        <v>2779908.489358258</v>
      </c>
    </row>
    <row r="57" spans="2:15" x14ac:dyDescent="0.2">
      <c r="B57" s="12" t="s">
        <v>324</v>
      </c>
      <c r="E57" s="25">
        <f>E56/E50</f>
        <v>0.1604670729844978</v>
      </c>
      <c r="F57" s="25">
        <f t="shared" ref="F57:I57" si="22">F56/F50</f>
        <v>0.15491161204399251</v>
      </c>
      <c r="G57" s="25">
        <f t="shared" si="22"/>
        <v>0.17345576574436816</v>
      </c>
      <c r="H57" s="25">
        <f t="shared" si="22"/>
        <v>0.16912707722256354</v>
      </c>
      <c r="I57" s="25">
        <f t="shared" si="22"/>
        <v>0.17838566865631125</v>
      </c>
      <c r="J57" s="25">
        <f>J13</f>
        <v>0.17</v>
      </c>
      <c r="K57" s="25">
        <f>J57</f>
        <v>0.17</v>
      </c>
      <c r="L57" s="25">
        <f t="shared" ref="L57:O57" si="23">K57</f>
        <v>0.17</v>
      </c>
      <c r="M57" s="25">
        <f t="shared" si="23"/>
        <v>0.17</v>
      </c>
      <c r="N57" s="25">
        <f t="shared" si="23"/>
        <v>0.17</v>
      </c>
      <c r="O57" s="25">
        <f t="shared" si="23"/>
        <v>0.17</v>
      </c>
    </row>
    <row r="59" spans="2:15" ht="15" x14ac:dyDescent="0.25">
      <c r="B59" s="38" t="s">
        <v>317</v>
      </c>
      <c r="C59" s="38"/>
      <c r="D59" s="38"/>
      <c r="E59" s="38"/>
      <c r="F59" s="38"/>
      <c r="G59" s="38"/>
      <c r="H59" s="38"/>
      <c r="I59" s="38"/>
      <c r="J59" s="39">
        <f t="shared" ref="J59:O59" ca="1" si="24">J50-J56</f>
        <v>12128681.999412466</v>
      </c>
      <c r="K59" s="39">
        <f t="shared" ca="1" si="24"/>
        <v>12421317.824128471</v>
      </c>
      <c r="L59" s="39">
        <f t="shared" ca="1" si="24"/>
        <v>12712895.526317546</v>
      </c>
      <c r="M59" s="39">
        <f t="shared" ca="1" si="24"/>
        <v>13002577.704165209</v>
      </c>
      <c r="N59" s="39">
        <f t="shared" ca="1" si="24"/>
        <v>13289445.860981841</v>
      </c>
      <c r="O59" s="39">
        <f t="shared" ca="1" si="24"/>
        <v>13572494.389219729</v>
      </c>
    </row>
    <row r="61" spans="2:15" x14ac:dyDescent="0.2">
      <c r="B61" s="12" t="s">
        <v>310</v>
      </c>
      <c r="E61" s="30">
        <f>E32</f>
        <v>1299870</v>
      </c>
      <c r="F61" s="30">
        <f>F32</f>
        <v>1626632</v>
      </c>
      <c r="G61" s="30">
        <f>G32</f>
        <v>1948073</v>
      </c>
      <c r="H61" s="30">
        <f>H32</f>
        <v>2817015</v>
      </c>
      <c r="I61" s="30">
        <f>I32</f>
        <v>2366878</v>
      </c>
      <c r="J61" s="30">
        <f t="shared" ref="J61:O61" ca="1" si="25">J62*J44</f>
        <v>2265636.01220839</v>
      </c>
      <c r="K61" s="30">
        <f t="shared" ca="1" si="25"/>
        <v>2378917.8128188099</v>
      </c>
      <c r="L61" s="30">
        <f t="shared" ca="1" si="25"/>
        <v>2497863.7034597504</v>
      </c>
      <c r="M61" s="30">
        <f t="shared" ca="1" si="25"/>
        <v>2622756.888632738</v>
      </c>
      <c r="N61" s="30">
        <f t="shared" ca="1" si="25"/>
        <v>2753894.7330643749</v>
      </c>
      <c r="O61" s="30">
        <f t="shared" ca="1" si="25"/>
        <v>2891589.4697175939</v>
      </c>
    </row>
    <row r="62" spans="2:15" x14ac:dyDescent="0.2">
      <c r="B62" s="12" t="s">
        <v>314</v>
      </c>
      <c r="E62" s="25">
        <f>E61/E44</f>
        <v>2.5420407588554978E-2</v>
      </c>
      <c r="F62" s="25">
        <f>F61/F44</f>
        <v>3.0907387396699515E-2</v>
      </c>
      <c r="G62" s="25">
        <f>G61/G44</f>
        <v>3.4540160563175007E-2</v>
      </c>
      <c r="H62" s="25">
        <f>H61/H44</f>
        <v>4.7168081634604932E-2</v>
      </c>
      <c r="I62" s="25">
        <f>I61/I44</f>
        <v>3.8793600099547507E-2</v>
      </c>
      <c r="J62" s="25">
        <f>$J$14</f>
        <v>3.5365927456516386E-2</v>
      </c>
      <c r="K62" s="25">
        <f>J62</f>
        <v>3.5365927456516386E-2</v>
      </c>
      <c r="L62" s="25">
        <f t="shared" ref="L62:O62" si="26">K62</f>
        <v>3.5365927456516386E-2</v>
      </c>
      <c r="M62" s="25">
        <f t="shared" si="26"/>
        <v>3.5365927456516386E-2</v>
      </c>
      <c r="N62" s="25">
        <f t="shared" si="26"/>
        <v>3.5365927456516386E-2</v>
      </c>
      <c r="O62" s="25">
        <f t="shared" si="26"/>
        <v>3.5365927456516386E-2</v>
      </c>
    </row>
    <row r="64" spans="2:15" x14ac:dyDescent="0.2">
      <c r="B64" s="12" t="s">
        <v>313</v>
      </c>
      <c r="E64" s="30">
        <f>E36</f>
        <v>2552278</v>
      </c>
      <c r="F64" s="30">
        <f>F36</f>
        <v>3091319</v>
      </c>
      <c r="G64" s="30">
        <f>G36</f>
        <v>2044159</v>
      </c>
      <c r="H64" s="30">
        <f>H36</f>
        <v>1114474</v>
      </c>
      <c r="I64" s="30">
        <f>I36</f>
        <v>1397120</v>
      </c>
      <c r="J64" s="30">
        <f t="shared" ref="J64:O64" ca="1" si="27">J65*J44</f>
        <v>1921880.331</v>
      </c>
      <c r="K64" s="30">
        <f t="shared" ca="1" si="27"/>
        <v>2017974.3475500001</v>
      </c>
      <c r="L64" s="30">
        <f t="shared" ca="1" si="27"/>
        <v>2118873.0649275002</v>
      </c>
      <c r="M64" s="30">
        <f t="shared" ca="1" si="27"/>
        <v>2224816.7181738755</v>
      </c>
      <c r="N64" s="30">
        <f t="shared" ca="1" si="27"/>
        <v>2336057.5540825692</v>
      </c>
      <c r="O64" s="30">
        <f t="shared" ca="1" si="27"/>
        <v>2452860.4317866978</v>
      </c>
    </row>
    <row r="65" spans="2:15" x14ac:dyDescent="0.2">
      <c r="B65" s="12" t="s">
        <v>314</v>
      </c>
      <c r="E65" s="25">
        <f>E64/E44</f>
        <v>4.9912642832977083E-2</v>
      </c>
      <c r="F65" s="25">
        <f>F64/F44</f>
        <v>5.8737682462768316E-2</v>
      </c>
      <c r="G65" s="25">
        <f>G64/G44</f>
        <v>3.6243806097953857E-2</v>
      </c>
      <c r="H65" s="25">
        <f>H64/H44</f>
        <v>1.8660745722562606E-2</v>
      </c>
      <c r="I65" s="25">
        <f>I64/I44</f>
        <v>2.2899074042295301E-2</v>
      </c>
      <c r="J65" s="25">
        <f t="shared" ref="J65:O65" ca="1" si="28">OFFSET(J65,$D$11,0)</f>
        <v>0.03</v>
      </c>
      <c r="K65" s="25">
        <f t="shared" ca="1" si="28"/>
        <v>0.03</v>
      </c>
      <c r="L65" s="25">
        <f t="shared" ca="1" si="28"/>
        <v>0.03</v>
      </c>
      <c r="M65" s="25">
        <f t="shared" ca="1" si="28"/>
        <v>0.03</v>
      </c>
      <c r="N65" s="25">
        <f t="shared" ca="1" si="28"/>
        <v>0.03</v>
      </c>
      <c r="O65" s="25">
        <f t="shared" ca="1" si="28"/>
        <v>0.03</v>
      </c>
    </row>
    <row r="66" spans="2:15" x14ac:dyDescent="0.2">
      <c r="B66" s="12" t="s">
        <v>321</v>
      </c>
      <c r="J66" s="31">
        <f>G15</f>
        <v>0.04</v>
      </c>
      <c r="K66" s="32">
        <f>J66-($J$66-$O$66)/($O$43-$J$43)</f>
        <v>3.9E-2</v>
      </c>
      <c r="L66" s="32">
        <f>K66-($J$66-$O$66)/($O$43-$J$43)</f>
        <v>3.7999999999999999E-2</v>
      </c>
      <c r="M66" s="32">
        <f>L66-($J$66-$O$66)/($O$43-$J$43)</f>
        <v>3.6999999999999998E-2</v>
      </c>
      <c r="N66" s="32">
        <f>M66-($J$66-$O$66)/($O$43-$J$43)</f>
        <v>3.5999999999999997E-2</v>
      </c>
      <c r="O66" s="33">
        <f>G16</f>
        <v>3.5000000000000003E-2</v>
      </c>
    </row>
    <row r="67" spans="2:15" x14ac:dyDescent="0.2">
      <c r="B67" s="12" t="s">
        <v>322</v>
      </c>
      <c r="J67" s="31">
        <f>J15</f>
        <v>0.03</v>
      </c>
      <c r="K67" s="36">
        <f>J67-($J$67-$O$67)/($O$43-$J$43)</f>
        <v>0.03</v>
      </c>
      <c r="L67" s="36">
        <f>K67-($J$67-$O$67)/($O$43-$J$43)</f>
        <v>0.03</v>
      </c>
      <c r="M67" s="36">
        <f>L67-($J$67-$O$67)/($O$43-$J$43)</f>
        <v>0.03</v>
      </c>
      <c r="N67" s="36">
        <f>M67-($J$67-$O$67)/($O$43-$J$43)</f>
        <v>0.03</v>
      </c>
      <c r="O67" s="35">
        <f>J16</f>
        <v>0.03</v>
      </c>
    </row>
    <row r="68" spans="2:15" x14ac:dyDescent="0.2">
      <c r="B68" s="12" t="s">
        <v>323</v>
      </c>
      <c r="J68" s="31">
        <f>M15</f>
        <v>2.5000000000000001E-2</v>
      </c>
      <c r="K68" s="36">
        <f>J68-($J$68-$O$68)/($O$43-$J$43)</f>
        <v>2.4E-2</v>
      </c>
      <c r="L68" s="36">
        <f>K68-($J$68-$O$68)/($O$43-$J$43)</f>
        <v>2.3E-2</v>
      </c>
      <c r="M68" s="36">
        <f>L68-($J$68-$O$68)/($O$43-$J$43)</f>
        <v>2.1999999999999999E-2</v>
      </c>
      <c r="N68" s="36">
        <f>M68-($J$68-$O$68)/($O$43-$J$43)</f>
        <v>2.0999999999999998E-2</v>
      </c>
      <c r="O68" s="35">
        <f>M16</f>
        <v>0.02</v>
      </c>
    </row>
    <row r="70" spans="2:15" x14ac:dyDescent="0.2">
      <c r="B70" s="12" t="s">
        <v>315</v>
      </c>
      <c r="E70" s="28">
        <f>E39</f>
        <v>0</v>
      </c>
      <c r="F70" s="28">
        <f>F39</f>
        <v>-1739827</v>
      </c>
      <c r="G70" s="28">
        <f>G39</f>
        <v>392196</v>
      </c>
      <c r="H70" s="28">
        <f>H39</f>
        <v>-1174187</v>
      </c>
      <c r="I70" s="28">
        <f>I39</f>
        <v>-1293368</v>
      </c>
      <c r="J70" s="28">
        <f t="shared" ref="J70:O70" ca="1" si="29">J71*J44</f>
        <v>-1072465.6792023829</v>
      </c>
      <c r="K70" s="28">
        <f t="shared" ca="1" si="29"/>
        <v>-1126088.963162502</v>
      </c>
      <c r="L70" s="28">
        <f t="shared" ca="1" si="29"/>
        <v>-1182393.4113206274</v>
      </c>
      <c r="M70" s="28">
        <f t="shared" ca="1" si="29"/>
        <v>-1241513.0818866587</v>
      </c>
      <c r="N70" s="28">
        <f t="shared" ca="1" si="29"/>
        <v>-1303588.7359809917</v>
      </c>
      <c r="O70" s="28">
        <f t="shared" ca="1" si="29"/>
        <v>-1368768.1727800414</v>
      </c>
    </row>
    <row r="71" spans="2:15" x14ac:dyDescent="0.2">
      <c r="B71" s="12" t="s">
        <v>314</v>
      </c>
      <c r="E71" s="25">
        <f>E70/E44</f>
        <v>0</v>
      </c>
      <c r="F71" s="25">
        <f>F70/F44</f>
        <v>-3.3058188386947712E-2</v>
      </c>
      <c r="G71" s="25">
        <f>G70/G44</f>
        <v>6.9538014295331772E-3</v>
      </c>
      <c r="H71" s="25">
        <f>H70/H44</f>
        <v>-1.9660579823072247E-2</v>
      </c>
      <c r="I71" s="25">
        <f>I70/I44</f>
        <v>-2.119855817391161E-2</v>
      </c>
      <c r="J71" s="40">
        <f>J17</f>
        <v>-1.6740881238599598E-2</v>
      </c>
      <c r="K71" s="40">
        <f>J71</f>
        <v>-1.6740881238599598E-2</v>
      </c>
      <c r="L71" s="40">
        <f t="shared" ref="L71:O71" si="30">K71</f>
        <v>-1.6740881238599598E-2</v>
      </c>
      <c r="M71" s="40">
        <f t="shared" si="30"/>
        <v>-1.6740881238599598E-2</v>
      </c>
      <c r="N71" s="40">
        <f t="shared" si="30"/>
        <v>-1.6740881238599598E-2</v>
      </c>
      <c r="O71" s="40">
        <f t="shared" si="30"/>
        <v>-1.6740881238599598E-2</v>
      </c>
    </row>
    <row r="73" spans="2:15" ht="15" x14ac:dyDescent="0.25">
      <c r="B73" s="38" t="s">
        <v>318</v>
      </c>
      <c r="C73" s="38"/>
      <c r="D73" s="38"/>
      <c r="E73" s="38"/>
      <c r="F73" s="38"/>
      <c r="G73" s="38"/>
      <c r="H73" s="38"/>
      <c r="I73" s="38"/>
      <c r="J73" s="39">
        <f t="shared" ref="J73:O73" ca="1" si="31">J59+J61-J64-J70</f>
        <v>13544903.35982324</v>
      </c>
      <c r="K73" s="39">
        <f t="shared" ca="1" si="31"/>
        <v>13908350.252559783</v>
      </c>
      <c r="L73" s="39">
        <f t="shared" ca="1" si="31"/>
        <v>14274279.576170424</v>
      </c>
      <c r="M73" s="39">
        <f t="shared" ca="1" si="31"/>
        <v>14642030.956510728</v>
      </c>
      <c r="N73" s="39">
        <f t="shared" ca="1" si="31"/>
        <v>15010871.775944639</v>
      </c>
      <c r="O73" s="39">
        <f t="shared" ca="1" si="31"/>
        <v>15379991.599930666</v>
      </c>
    </row>
    <row r="74" spans="2:15" x14ac:dyDescent="0.2">
      <c r="B74" s="12" t="s">
        <v>319</v>
      </c>
      <c r="J74" s="28" cm="1">
        <f t="array" aca="1" ref="J74" ca="1">J73/(1+wacc)^J42</f>
        <v>12535949.773578756</v>
      </c>
      <c r="K74" s="28" cm="1">
        <f t="array" aca="1" ref="K74" ca="1">K73/(1+wacc)^K42</f>
        <v>11913470.238739228</v>
      </c>
      <c r="L74" s="28" cm="1">
        <f t="array" aca="1" ref="L74" ca="1">L73/(1+wacc)^L42</f>
        <v>11316136.997257123</v>
      </c>
      <c r="M74" s="28" cm="1">
        <f t="array" aca="1" ref="M74" ca="1">M73/(1+wacc)^M42</f>
        <v>10743026.606130566</v>
      </c>
      <c r="N74" s="28" cm="1">
        <f t="array" aca="1" ref="N74" ca="1">N73/(1+wacc)^N42</f>
        <v>10193247.713206768</v>
      </c>
      <c r="O74" s="28" cm="1">
        <f t="array" aca="1" ref="O74" ca="1">O73/(1+wacc)^O42</f>
        <v>9665939.9814475402</v>
      </c>
    </row>
    <row r="75" spans="2:15" x14ac:dyDescent="0.2">
      <c r="B75" s="12" t="s">
        <v>337</v>
      </c>
      <c r="O75" s="28">
        <f ca="1">O74*(1+tgr)/(wacc-tgr)</f>
        <v>197206196.98678604</v>
      </c>
    </row>
    <row r="76" spans="2:15" x14ac:dyDescent="0.2">
      <c r="B76" s="12" t="s">
        <v>338</v>
      </c>
      <c r="O76" s="28">
        <f ca="1">O75/(1+wacc)^O42</f>
        <v>123939161.58266224</v>
      </c>
    </row>
    <row r="77" spans="2:15" x14ac:dyDescent="0.2">
      <c r="O77" s="28"/>
    </row>
    <row r="78" spans="2:15" x14ac:dyDescent="0.2">
      <c r="B78" s="12" t="s">
        <v>339</v>
      </c>
      <c r="O78" s="28">
        <f ca="1">SUM(J74:O74,O76)</f>
        <v>190306932.89302221</v>
      </c>
    </row>
    <row r="79" spans="2:15" x14ac:dyDescent="0.2">
      <c r="B79" s="41" t="s">
        <v>340</v>
      </c>
      <c r="O79" s="28">
        <f>CĐKT!F4</f>
        <v>2348552</v>
      </c>
    </row>
    <row r="80" spans="2:15" x14ac:dyDescent="0.2">
      <c r="B80" s="41" t="s">
        <v>341</v>
      </c>
      <c r="O80" s="28">
        <f>WACC!B1</f>
        <v>9457990</v>
      </c>
    </row>
    <row r="81" spans="1:15" ht="15" x14ac:dyDescent="0.25">
      <c r="B81" s="42" t="s">
        <v>342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3">
        <f ca="1">O78+O79-O80</f>
        <v>183197494.89302221</v>
      </c>
    </row>
    <row r="82" spans="1:15" ht="15" x14ac:dyDescent="0.25">
      <c r="B82" s="42" t="s">
        <v>343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3">
        <f>2089955445/1000</f>
        <v>2089955.4450000001</v>
      </c>
    </row>
    <row r="83" spans="1:15" ht="15" x14ac:dyDescent="0.25">
      <c r="B83" s="42" t="s">
        <v>344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4">
        <f ca="1">O81/O82</f>
        <v>87.656172446787352</v>
      </c>
    </row>
    <row r="85" spans="1:15" ht="15" x14ac:dyDescent="0.25">
      <c r="A85" s="12" t="s">
        <v>293</v>
      </c>
      <c r="B85" s="22" t="s">
        <v>357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7" spans="1:15" x14ac:dyDescent="0.2">
      <c r="B87" s="50"/>
      <c r="C87" s="51"/>
      <c r="D87" s="51"/>
      <c r="E87" s="51"/>
      <c r="F87" s="51" t="s">
        <v>358</v>
      </c>
      <c r="G87" s="51"/>
      <c r="H87" s="52"/>
    </row>
    <row r="88" spans="1:15" x14ac:dyDescent="0.2">
      <c r="B88" s="53"/>
      <c r="C88" s="54">
        <f ca="1">O83</f>
        <v>87.656172446787352</v>
      </c>
      <c r="D88" s="55">
        <f>E88-0.5%</f>
        <v>1.9999999999999997E-2</v>
      </c>
      <c r="E88" s="55">
        <f>F88-0.5%</f>
        <v>2.4999999999999998E-2</v>
      </c>
      <c r="F88" s="55">
        <v>0.03</v>
      </c>
      <c r="G88" s="55">
        <f>F88+0.5%</f>
        <v>3.4999999999999996E-2</v>
      </c>
      <c r="H88" s="62">
        <f>G88+0.5%</f>
        <v>3.9999999999999994E-2</v>
      </c>
    </row>
    <row r="89" spans="1:15" x14ac:dyDescent="0.2">
      <c r="B89" s="53"/>
      <c r="C89" s="55">
        <f>C90-0.5%</f>
        <v>7.0484814032279464E-2</v>
      </c>
      <c r="D89" s="56">
        <f t="dataTable" ref="D89:H93" dt2D="1" dtr="1" r1="D18" r2="D17" ca="1"/>
        <v>95.021017598876938</v>
      </c>
      <c r="E89" s="56">
        <v>102.59590658739225</v>
      </c>
      <c r="F89" s="56">
        <v>112.04184010694479</v>
      </c>
      <c r="G89" s="56">
        <v>124.14973868877995</v>
      </c>
      <c r="H89" s="57">
        <v>140.2294176360831</v>
      </c>
    </row>
    <row r="90" spans="1:15" x14ac:dyDescent="0.2">
      <c r="B90" s="53"/>
      <c r="C90" s="55">
        <f>C91-0.5%</f>
        <v>7.5484814032279468E-2</v>
      </c>
      <c r="D90" s="56">
        <v>85.344846046342909</v>
      </c>
      <c r="E90" s="56">
        <v>91.244235563150809</v>
      </c>
      <c r="F90" s="56">
        <v>98.44062708872174</v>
      </c>
      <c r="G90" s="56">
        <v>107.41457192596975</v>
      </c>
      <c r="H90" s="57">
        <v>118.91747036829648</v>
      </c>
    </row>
    <row r="91" spans="1:15" x14ac:dyDescent="0.2">
      <c r="B91" s="53" t="s">
        <v>328</v>
      </c>
      <c r="C91" s="55">
        <f>WACC!B13</f>
        <v>8.0484814032279473E-2</v>
      </c>
      <c r="D91" s="56">
        <v>77.371117428256554</v>
      </c>
      <c r="E91" s="56">
        <v>82.050227370124716</v>
      </c>
      <c r="F91" s="56">
        <v>87.656172446787352</v>
      </c>
      <c r="G91" s="56">
        <v>94.494604716358879</v>
      </c>
      <c r="H91" s="57">
        <v>103.02217214266324</v>
      </c>
    </row>
    <row r="92" spans="1:15" x14ac:dyDescent="0.2">
      <c r="B92" s="53"/>
      <c r="C92" s="55">
        <f>C91+0.5%</f>
        <v>8.5484814032279477E-2</v>
      </c>
      <c r="D92" s="56">
        <v>70.702150356133686</v>
      </c>
      <c r="E92" s="56">
        <v>74.470410303977928</v>
      </c>
      <c r="F92" s="56">
        <v>78.917821838353944</v>
      </c>
      <c r="G92" s="56">
        <v>84.246173833663903</v>
      </c>
      <c r="H92" s="57">
        <v>90.745983184285564</v>
      </c>
    </row>
    <row r="93" spans="1:15" x14ac:dyDescent="0.2">
      <c r="B93" s="58"/>
      <c r="C93" s="59">
        <f>C92+0.5%</f>
        <v>9.0484814032279481E-2</v>
      </c>
      <c r="D93" s="60">
        <v>65.05364532868704</v>
      </c>
      <c r="E93" s="60">
        <v>68.127880422833286</v>
      </c>
      <c r="F93" s="60">
        <v>71.710381127667475</v>
      </c>
      <c r="G93" s="60">
        <v>75.938554124518319</v>
      </c>
      <c r="H93" s="61">
        <v>81.004240951596898</v>
      </c>
    </row>
  </sheetData>
  <pageMargins left="0.7" right="0.7" top="0.75" bottom="0.75" header="0.3" footer="0.3"/>
  <ignoredErrors>
    <ignoredError sqref="F39:I3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1854-15D7-45D0-8CBC-C4779F18D893}">
  <dimension ref="A1:B13"/>
  <sheetViews>
    <sheetView showGridLines="0" zoomScale="130" zoomScaleNormal="130" workbookViewId="0">
      <selection activeCell="B8" sqref="B8"/>
    </sheetView>
  </sheetViews>
  <sheetFormatPr defaultRowHeight="14.25" x14ac:dyDescent="0.2"/>
  <cols>
    <col min="1" max="1" width="13.140625" style="12" bestFit="1" customWidth="1"/>
    <col min="2" max="2" width="24.28515625" style="12" bestFit="1" customWidth="1"/>
    <col min="3" max="16384" width="9.140625" style="12"/>
  </cols>
  <sheetData>
    <row r="1" spans="1:2" x14ac:dyDescent="0.2">
      <c r="A1" s="12" t="s">
        <v>347</v>
      </c>
      <c r="B1" s="16">
        <f>CĐKT!F80+CĐKT!F93</f>
        <v>9457990</v>
      </c>
    </row>
    <row r="2" spans="1:2" x14ac:dyDescent="0.2">
      <c r="A2" s="12" t="s">
        <v>348</v>
      </c>
      <c r="B2" s="29">
        <f>B1/(B1+B6)</f>
        <v>5.7121172022844148E-2</v>
      </c>
    </row>
    <row r="3" spans="1:2" x14ac:dyDescent="0.2">
      <c r="A3" s="12" t="s">
        <v>349</v>
      </c>
      <c r="B3" s="48">
        <f>KQKD!F9/WACC!B1</f>
        <v>9.388781337260876E-3</v>
      </c>
    </row>
    <row r="4" spans="1:2" x14ac:dyDescent="0.2">
      <c r="A4" s="12" t="s">
        <v>352</v>
      </c>
      <c r="B4" s="40">
        <v>0.19</v>
      </c>
    </row>
    <row r="6" spans="1:2" x14ac:dyDescent="0.2">
      <c r="A6" s="12" t="s">
        <v>350</v>
      </c>
      <c r="B6" s="28">
        <v>156119670</v>
      </c>
    </row>
    <row r="7" spans="1:2" x14ac:dyDescent="0.2">
      <c r="A7" s="12" t="s">
        <v>351</v>
      </c>
      <c r="B7" s="29">
        <f>B6/(B6+B1)</f>
        <v>0.94287882797715583</v>
      </c>
    </row>
    <row r="8" spans="1:2" x14ac:dyDescent="0.2">
      <c r="A8" s="12" t="s">
        <v>354</v>
      </c>
      <c r="B8" s="12">
        <v>0.76</v>
      </c>
    </row>
    <row r="9" spans="1:2" x14ac:dyDescent="0.2">
      <c r="A9" s="12" t="s">
        <v>355</v>
      </c>
      <c r="B9" s="40">
        <v>0.08</v>
      </c>
    </row>
    <row r="10" spans="1:2" x14ac:dyDescent="0.2">
      <c r="A10" s="12" t="s">
        <v>356</v>
      </c>
      <c r="B10" s="48">
        <v>2.41E-2</v>
      </c>
    </row>
    <row r="11" spans="1:2" x14ac:dyDescent="0.2">
      <c r="A11" s="12" t="s">
        <v>353</v>
      </c>
      <c r="B11" s="48">
        <f>B10+B8*B9</f>
        <v>8.4900000000000003E-2</v>
      </c>
    </row>
    <row r="13" spans="1:2" x14ac:dyDescent="0.2">
      <c r="A13" s="12" t="s">
        <v>328</v>
      </c>
      <c r="B13" s="26">
        <f>B3*B2*(1-B4)+B7*B11</f>
        <v>8.0484814032279473E-2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3667-8EB0-4F69-B1B0-B0EDA32DF303}">
  <dimension ref="A3:O19"/>
  <sheetViews>
    <sheetView showGridLines="0" topLeftCell="A4" workbookViewId="0">
      <selection activeCell="S7" sqref="S7"/>
    </sheetView>
  </sheetViews>
  <sheetFormatPr defaultRowHeight="14.25" x14ac:dyDescent="0.2"/>
  <cols>
    <col min="1" max="1" width="4.42578125" style="12" customWidth="1"/>
    <col min="2" max="2" width="9.85546875" style="12" bestFit="1" customWidth="1"/>
    <col min="3" max="3" width="9.140625" style="12"/>
    <col min="4" max="7" width="12.5703125" style="12" customWidth="1"/>
    <col min="8" max="8" width="14" style="12" customWidth="1"/>
    <col min="9" max="15" width="12.5703125" style="12" customWidth="1"/>
    <col min="16" max="16384" width="9.140625" style="12"/>
  </cols>
  <sheetData>
    <row r="3" spans="1:15" ht="15" x14ac:dyDescent="0.25">
      <c r="A3" s="12" t="s">
        <v>293</v>
      </c>
      <c r="B3" s="22" t="s">
        <v>294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5" x14ac:dyDescent="0.25">
      <c r="E4" s="13" t="s">
        <v>321</v>
      </c>
      <c r="H4" s="13" t="s">
        <v>322</v>
      </c>
      <c r="K4" s="13" t="s">
        <v>323</v>
      </c>
    </row>
    <row r="5" spans="1:15" x14ac:dyDescent="0.2">
      <c r="B5" s="12" t="s">
        <v>360</v>
      </c>
      <c r="C5" s="65">
        <v>2</v>
      </c>
      <c r="E5" s="12" t="s">
        <v>361</v>
      </c>
      <c r="F5" s="66">
        <v>0.01</v>
      </c>
      <c r="H5" s="12" t="s">
        <v>361</v>
      </c>
      <c r="I5" s="66">
        <v>0.02</v>
      </c>
      <c r="K5" s="12" t="s">
        <v>361</v>
      </c>
      <c r="L5" s="66">
        <v>0.03</v>
      </c>
      <c r="N5" s="12">
        <f>4500/re</f>
        <v>53003.53356890459</v>
      </c>
    </row>
    <row r="6" spans="1:15" x14ac:dyDescent="0.2">
      <c r="E6" s="12" t="s">
        <v>362</v>
      </c>
      <c r="F6" s="66">
        <v>0.01</v>
      </c>
      <c r="H6" s="12" t="s">
        <v>362</v>
      </c>
      <c r="I6" s="66">
        <v>0.02</v>
      </c>
      <c r="K6" s="12" t="s">
        <v>362</v>
      </c>
      <c r="L6" s="66">
        <v>0.03</v>
      </c>
    </row>
    <row r="7" spans="1:15" x14ac:dyDescent="0.2">
      <c r="B7" s="12" t="s">
        <v>329</v>
      </c>
      <c r="C7" s="66">
        <f>CHOOSE(C5,F7,I7,L7)</f>
        <v>0.02</v>
      </c>
      <c r="E7" s="12" t="s">
        <v>329</v>
      </c>
      <c r="F7" s="66">
        <f>F6</f>
        <v>0.01</v>
      </c>
      <c r="H7" s="12" t="s">
        <v>329</v>
      </c>
      <c r="I7" s="66">
        <f>I6</f>
        <v>0.02</v>
      </c>
      <c r="K7" s="12" t="s">
        <v>329</v>
      </c>
      <c r="L7" s="66">
        <f>L6</f>
        <v>0.03</v>
      </c>
    </row>
    <row r="8" spans="1:15" x14ac:dyDescent="0.2">
      <c r="H8" s="12" t="s">
        <v>363</v>
      </c>
      <c r="I8" s="66">
        <f>WACC!B11</f>
        <v>8.4900000000000003E-2</v>
      </c>
    </row>
    <row r="9" spans="1:15" x14ac:dyDescent="0.2">
      <c r="J9" s="12">
        <f>J10-$I$10</f>
        <v>1</v>
      </c>
      <c r="K9" s="12">
        <f t="shared" ref="K9:O9" si="0">K10-$I$10</f>
        <v>2</v>
      </c>
      <c r="L9" s="12">
        <f t="shared" si="0"/>
        <v>3</v>
      </c>
      <c r="M9" s="12">
        <f t="shared" si="0"/>
        <v>4</v>
      </c>
      <c r="N9" s="12">
        <f t="shared" si="0"/>
        <v>5</v>
      </c>
      <c r="O9" s="12">
        <f t="shared" si="0"/>
        <v>6</v>
      </c>
    </row>
    <row r="10" spans="1:15" ht="15" x14ac:dyDescent="0.25">
      <c r="A10" s="12" t="s">
        <v>293</v>
      </c>
      <c r="B10" s="22"/>
      <c r="C10" s="22"/>
      <c r="D10" s="22">
        <v>2016</v>
      </c>
      <c r="E10" s="22">
        <f t="shared" ref="E10:O10" si="1">D10+1</f>
        <v>2017</v>
      </c>
      <c r="F10" s="22">
        <f t="shared" si="1"/>
        <v>2018</v>
      </c>
      <c r="G10" s="22">
        <f t="shared" si="1"/>
        <v>2019</v>
      </c>
      <c r="H10" s="22">
        <f t="shared" si="1"/>
        <v>2020</v>
      </c>
      <c r="I10" s="22">
        <f t="shared" si="1"/>
        <v>2021</v>
      </c>
      <c r="J10" s="22">
        <f t="shared" si="1"/>
        <v>2022</v>
      </c>
      <c r="K10" s="22">
        <f t="shared" si="1"/>
        <v>2023</v>
      </c>
      <c r="L10" s="22">
        <f t="shared" si="1"/>
        <v>2024</v>
      </c>
      <c r="M10" s="22">
        <f t="shared" si="1"/>
        <v>2025</v>
      </c>
      <c r="N10" s="22">
        <f t="shared" si="1"/>
        <v>2026</v>
      </c>
      <c r="O10" s="22">
        <f t="shared" si="1"/>
        <v>2027</v>
      </c>
    </row>
    <row r="11" spans="1:15" x14ac:dyDescent="0.2">
      <c r="B11" s="12" t="s">
        <v>364</v>
      </c>
      <c r="D11" s="28">
        <v>6000</v>
      </c>
      <c r="E11" s="28">
        <v>5500</v>
      </c>
      <c r="F11" s="28">
        <v>4500</v>
      </c>
      <c r="G11" s="28">
        <v>4500</v>
      </c>
      <c r="H11" s="28">
        <v>4500</v>
      </c>
      <c r="I11" s="28">
        <v>4000</v>
      </c>
      <c r="J11" s="28">
        <f ca="1">I11*(1+J12)</f>
        <v>4080</v>
      </c>
      <c r="K11" s="28">
        <f t="shared" ref="K11:O11" ca="1" si="2">J11*(1+K12)</f>
        <v>4161.6000000000004</v>
      </c>
      <c r="L11" s="28">
        <f t="shared" ca="1" si="2"/>
        <v>4244.8320000000003</v>
      </c>
      <c r="M11" s="28">
        <f t="shared" ca="1" si="2"/>
        <v>4329.7286400000003</v>
      </c>
      <c r="N11" s="28">
        <f t="shared" ca="1" si="2"/>
        <v>4416.3232128</v>
      </c>
      <c r="O11" s="28">
        <f t="shared" ca="1" si="2"/>
        <v>4504.6496770559997</v>
      </c>
    </row>
    <row r="12" spans="1:15" x14ac:dyDescent="0.2">
      <c r="B12" s="12" t="s">
        <v>360</v>
      </c>
      <c r="E12" s="29">
        <f>E11/D11-1</f>
        <v>-8.333333333333337E-2</v>
      </c>
      <c r="F12" s="29">
        <f>F11/E11-1</f>
        <v>-0.18181818181818177</v>
      </c>
      <c r="G12" s="29">
        <f>G11/F11-1</f>
        <v>0</v>
      </c>
      <c r="H12" s="29">
        <f>H11/G11-1</f>
        <v>0</v>
      </c>
      <c r="I12" s="29">
        <f>I11/H11-1</f>
        <v>-0.11111111111111116</v>
      </c>
      <c r="J12" s="29">
        <f ca="1">OFFSET(J12,$C$5,0)</f>
        <v>0.02</v>
      </c>
      <c r="K12" s="29">
        <f t="shared" ref="K12:O12" ca="1" si="3">OFFSET(K12,$C$5,0)</f>
        <v>0.02</v>
      </c>
      <c r="L12" s="29">
        <f t="shared" ca="1" si="3"/>
        <v>0.02</v>
      </c>
      <c r="M12" s="29">
        <f t="shared" ca="1" si="3"/>
        <v>0.02</v>
      </c>
      <c r="N12" s="29">
        <f t="shared" ca="1" si="3"/>
        <v>0.02</v>
      </c>
      <c r="O12" s="29">
        <f t="shared" ca="1" si="3"/>
        <v>0.02</v>
      </c>
    </row>
    <row r="13" spans="1:15" x14ac:dyDescent="0.2">
      <c r="B13" s="12" t="s">
        <v>321</v>
      </c>
      <c r="J13" s="40">
        <f>F5</f>
        <v>0.01</v>
      </c>
      <c r="K13" s="26">
        <f>J13-($J$13-$O$13)/($O$10-$J$10)</f>
        <v>0.01</v>
      </c>
      <c r="L13" s="26">
        <f>K13-($J$13-$O$13)/($O$10-$J$10)</f>
        <v>0.01</v>
      </c>
      <c r="M13" s="26">
        <f>L13-($J$13-$O$13)/($O$10-$J$10)</f>
        <v>0.01</v>
      </c>
      <c r="N13" s="26">
        <f>M13-($J$13-$O$13)/($O$10-$J$10)</f>
        <v>0.01</v>
      </c>
      <c r="O13" s="40">
        <f>F6</f>
        <v>0.01</v>
      </c>
    </row>
    <row r="14" spans="1:15" x14ac:dyDescent="0.2">
      <c r="B14" s="12" t="s">
        <v>322</v>
      </c>
      <c r="J14" s="40">
        <f>I5</f>
        <v>0.02</v>
      </c>
      <c r="K14" s="26">
        <f>J14-($J$14-$O$14)/($O$10-$K$10)</f>
        <v>0.02</v>
      </c>
      <c r="L14" s="26">
        <f>K14-($J$14-$O$14)/($O$10-$K$10)</f>
        <v>0.02</v>
      </c>
      <c r="M14" s="26">
        <f>L14-($J$14-$O$14)/($O$10-$K$10)</f>
        <v>0.02</v>
      </c>
      <c r="N14" s="26">
        <f>M14-($J$14-$O$14)/($O$10-$K$10)</f>
        <v>0.02</v>
      </c>
      <c r="O14" s="40">
        <f>I6</f>
        <v>0.02</v>
      </c>
    </row>
    <row r="15" spans="1:15" x14ac:dyDescent="0.2">
      <c r="B15" s="12" t="s">
        <v>323</v>
      </c>
      <c r="J15" s="40">
        <f>L5</f>
        <v>0.03</v>
      </c>
      <c r="K15" s="26">
        <f>J15-($J$15-$O$15)/($O$10-$J$10)</f>
        <v>0.03</v>
      </c>
      <c r="L15" s="26">
        <f>K15-($J$15-$O$15)/($O$10-$J$10)</f>
        <v>0.03</v>
      </c>
      <c r="M15" s="26">
        <f>L15-($J$15-$O$15)/($O$10-$J$10)</f>
        <v>0.03</v>
      </c>
      <c r="N15" s="26">
        <f>M15-($J$15-$O$15)/($O$10-$J$10)</f>
        <v>0.03</v>
      </c>
      <c r="O15" s="40">
        <f>L6</f>
        <v>0.03</v>
      </c>
    </row>
    <row r="16" spans="1:15" x14ac:dyDescent="0.2">
      <c r="B16" s="12" t="s">
        <v>365</v>
      </c>
      <c r="J16" s="28">
        <f t="shared" ref="J16:O16" ca="1" si="4">J11/(1+re)^J9</f>
        <v>3760.7152732970781</v>
      </c>
      <c r="K16" s="28">
        <f t="shared" ca="1" si="4"/>
        <v>3535.7448417024793</v>
      </c>
      <c r="L16" s="28">
        <f t="shared" ca="1" si="4"/>
        <v>3324.2324071679682</v>
      </c>
      <c r="M16" s="28">
        <f t="shared" ca="1" si="4"/>
        <v>3125.3728964064226</v>
      </c>
      <c r="N16" s="28">
        <f t="shared" ca="1" si="4"/>
        <v>2938.40939656609</v>
      </c>
      <c r="O16" s="28">
        <f t="shared" ca="1" si="4"/>
        <v>2762.6302742164362</v>
      </c>
    </row>
    <row r="17" spans="2:15" x14ac:dyDescent="0.2">
      <c r="B17" s="12" t="s">
        <v>366</v>
      </c>
      <c r="J17" s="28"/>
      <c r="K17" s="28"/>
      <c r="L17" s="28"/>
      <c r="M17" s="28"/>
      <c r="N17" s="28"/>
      <c r="O17" s="28">
        <f ca="1">O11*(1+tgr_d)/(re-tgr_d)</f>
        <v>70797.267651727583</v>
      </c>
    </row>
    <row r="18" spans="2:15" x14ac:dyDescent="0.2">
      <c r="B18" s="12" t="s">
        <v>367</v>
      </c>
      <c r="J18" s="28"/>
      <c r="K18" s="28"/>
      <c r="L18" s="28"/>
      <c r="M18" s="28"/>
      <c r="N18" s="28"/>
      <c r="O18" s="28">
        <f ca="1">O17/(1+re)^O9</f>
        <v>43418.842522353851</v>
      </c>
    </row>
    <row r="19" spans="2:15" x14ac:dyDescent="0.2">
      <c r="B19" s="12" t="s">
        <v>368</v>
      </c>
      <c r="J19" s="28"/>
      <c r="K19" s="28"/>
      <c r="L19" s="28"/>
      <c r="M19" s="28"/>
      <c r="N19" s="28"/>
      <c r="O19" s="28">
        <f ca="1">SUM(J16:O16,O18)</f>
        <v>62865.947611710326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CSTC</vt:lpstr>
      <vt:lpstr>CĐKT</vt:lpstr>
      <vt:lpstr>LCTT</vt:lpstr>
      <vt:lpstr>KQKD</vt:lpstr>
      <vt:lpstr>DCF</vt:lpstr>
      <vt:lpstr>WACC</vt:lpstr>
      <vt:lpstr>DDM</vt:lpstr>
      <vt:lpstr>re</vt:lpstr>
      <vt:lpstr>tgr</vt:lpstr>
      <vt:lpstr>tgr_d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2022-06-29T03:23:34Z</dcterms:created>
  <dcterms:modified xsi:type="dcterms:W3CDTF">2022-07-04T03:43:12Z</dcterms:modified>
</cp:coreProperties>
</file>