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108" windowWidth="14652" windowHeight="5928"/>
  </bookViews>
  <sheets>
    <sheet name="refill" sheetId="6" r:id="rId1"/>
    <sheet name="Packing Materials-Jack Dwight" sheetId="2" state="hidden" r:id="rId2"/>
    <sheet name="Infinity new part" sheetId="9" r:id="rId3"/>
    <sheet name="Others" sheetId="4" r:id="rId4"/>
    <sheet name="Sheet1" sheetId="7" r:id="rId5"/>
  </sheets>
  <definedNames>
    <definedName name="_xlnm._FilterDatabase" localSheetId="2" hidden="1">'Infinity new part'!$A$2:$M$174</definedName>
    <definedName name="_xlnm._FilterDatabase" localSheetId="3" hidden="1">Others!$A$2:$L$54</definedName>
    <definedName name="_xlnm._FilterDatabase" localSheetId="1" hidden="1">'Packing Materials-Jack Dwight'!$A$2:$M$375</definedName>
  </definedNames>
  <calcPr calcId="124519"/>
</workbook>
</file>

<file path=xl/calcChain.xml><?xml version="1.0" encoding="utf-8"?>
<calcChain xmlns="http://schemas.openxmlformats.org/spreadsheetml/2006/main">
  <c r="H90" i="6"/>
  <c r="H88"/>
  <c r="H103"/>
  <c r="H102"/>
  <c r="K185" i="9" l="1"/>
  <c r="A137"/>
  <c r="A139"/>
  <c r="A141"/>
  <c r="A142"/>
  <c r="A143" s="1"/>
  <c r="A146"/>
  <c r="A147"/>
  <c r="A148" s="1"/>
  <c r="A152"/>
  <c r="A153" s="1"/>
  <c r="A160"/>
  <c r="A161"/>
  <c r="A162" s="1"/>
  <c r="A168"/>
  <c r="A170"/>
  <c r="A172"/>
  <c r="A174"/>
  <c r="A179"/>
  <c r="A181"/>
  <c r="A184"/>
  <c r="A186"/>
  <c r="A187" s="1"/>
  <c r="A192"/>
  <c r="A194"/>
  <c r="A195"/>
  <c r="A196" s="1"/>
  <c r="A198"/>
  <c r="A204"/>
  <c r="A206"/>
  <c r="A208"/>
  <c r="A144" l="1"/>
  <c r="A154"/>
  <c r="A149"/>
  <c r="A188"/>
  <c r="A163"/>
  <c r="A189" l="1"/>
  <c r="A155"/>
  <c r="A150"/>
  <c r="A164"/>
  <c r="A156" l="1"/>
  <c r="A165"/>
  <c r="A190"/>
  <c r="A166" l="1"/>
  <c r="A157"/>
  <c r="A158" l="1"/>
  <c r="H89" i="6" l="1"/>
  <c r="H87"/>
  <c r="K189" i="9" l="1"/>
  <c r="K188"/>
  <c r="K187"/>
  <c r="K186"/>
  <c r="K195"/>
  <c r="K194"/>
  <c r="K196"/>
  <c r="K193"/>
  <c r="K192"/>
  <c r="K191"/>
  <c r="K190"/>
  <c r="K184"/>
  <c r="K183"/>
  <c r="K212"/>
  <c r="K215"/>
  <c r="K214"/>
  <c r="K213"/>
  <c r="J42"/>
  <c r="K36"/>
  <c r="K35"/>
  <c r="K34"/>
  <c r="K37"/>
  <c r="J48" i="4" l="1"/>
  <c r="J47"/>
  <c r="J43" i="9"/>
  <c r="K43" s="1"/>
  <c r="K39"/>
  <c r="K41"/>
  <c r="K40"/>
  <c r="K38"/>
  <c r="J28"/>
  <c r="K28" s="1"/>
  <c r="J27"/>
  <c r="K27" s="1"/>
  <c r="J26"/>
  <c r="K26" s="1"/>
  <c r="J25"/>
  <c r="J24"/>
  <c r="K24" s="1"/>
  <c r="J23"/>
  <c r="K23" s="1"/>
  <c r="J7"/>
  <c r="K7" s="1"/>
  <c r="J6"/>
  <c r="K6" s="1"/>
  <c r="J5"/>
  <c r="K5" s="1"/>
  <c r="J4"/>
  <c r="K4" s="1"/>
  <c r="J3"/>
  <c r="K3" s="1"/>
  <c r="K25"/>
  <c r="K16"/>
  <c r="K15"/>
  <c r="K14"/>
  <c r="K13"/>
  <c r="H97" i="6" l="1"/>
  <c r="K208" i="9" l="1"/>
  <c r="K206"/>
  <c r="K204"/>
  <c r="K210"/>
  <c r="K211"/>
  <c r="K209"/>
  <c r="K202"/>
  <c r="K207"/>
  <c r="K205"/>
  <c r="K203"/>
  <c r="K201"/>
  <c r="K144"/>
  <c r="K143"/>
  <c r="K142"/>
  <c r="K166"/>
  <c r="K165"/>
  <c r="K164"/>
  <c r="K163"/>
  <c r="K162"/>
  <c r="K161"/>
  <c r="K160"/>
  <c r="K159"/>
  <c r="K158"/>
  <c r="K157"/>
  <c r="K156"/>
  <c r="K155"/>
  <c r="K154"/>
  <c r="K153"/>
  <c r="K152"/>
  <c r="K150"/>
  <c r="K149"/>
  <c r="K148"/>
  <c r="K147"/>
  <c r="K146"/>
  <c r="K139"/>
  <c r="K140"/>
  <c r="K151"/>
  <c r="K145"/>
  <c r="K138"/>
  <c r="K137"/>
  <c r="K136"/>
  <c r="J45"/>
  <c r="K45" s="1"/>
  <c r="J44"/>
  <c r="K44" s="1"/>
  <c r="K42"/>
  <c r="K22"/>
  <c r="K21"/>
  <c r="K20"/>
  <c r="K19"/>
  <c r="K18"/>
  <c r="K17"/>
  <c r="H25" i="6" l="1"/>
  <c r="J9" i="4"/>
  <c r="J6"/>
  <c r="J90" i="9"/>
  <c r="K90" s="1"/>
  <c r="J83"/>
  <c r="K83" s="1"/>
  <c r="J89"/>
  <c r="K89" s="1"/>
  <c r="J87"/>
  <c r="K87" s="1"/>
  <c r="J84"/>
  <c r="J49"/>
  <c r="J48"/>
  <c r="J47"/>
  <c r="J46"/>
  <c r="K176" l="1"/>
  <c r="K200"/>
  <c r="K179"/>
  <c r="K178"/>
  <c r="K177"/>
  <c r="K175"/>
  <c r="K135"/>
  <c r="K134"/>
  <c r="K133"/>
  <c r="K132"/>
  <c r="K131"/>
  <c r="K130"/>
  <c r="K129"/>
  <c r="K128"/>
  <c r="K127"/>
  <c r="J55"/>
  <c r="K55" s="1"/>
  <c r="J54"/>
  <c r="K54" s="1"/>
  <c r="J53"/>
  <c r="K53" s="1"/>
  <c r="J52"/>
  <c r="K52" s="1"/>
  <c r="J51"/>
  <c r="K51" s="1"/>
  <c r="J50"/>
  <c r="K50" s="1"/>
  <c r="K49"/>
  <c r="K48"/>
  <c r="K47"/>
  <c r="K46"/>
  <c r="J53" i="4"/>
  <c r="J52"/>
  <c r="J49"/>
  <c r="F52" l="1"/>
  <c r="H101" i="6" l="1"/>
  <c r="H96" l="1"/>
  <c r="H85"/>
  <c r="H81"/>
  <c r="H86"/>
  <c r="H84"/>
  <c r="H82"/>
  <c r="H80"/>
  <c r="F8" i="4"/>
  <c r="K109" i="9"/>
  <c r="K108"/>
  <c r="J56"/>
  <c r="K205" i="2"/>
  <c r="J91" i="9" l="1"/>
  <c r="J86"/>
  <c r="K86" s="1"/>
  <c r="J85"/>
  <c r="J88"/>
  <c r="J82"/>
  <c r="K198"/>
  <c r="K181"/>
  <c r="K174"/>
  <c r="K173"/>
  <c r="K172"/>
  <c r="K171"/>
  <c r="K170"/>
  <c r="K169"/>
  <c r="K168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1"/>
  <c r="K100"/>
  <c r="K99"/>
  <c r="K98"/>
  <c r="K97"/>
  <c r="K96"/>
  <c r="K95"/>
  <c r="K94"/>
  <c r="K93"/>
  <c r="K107"/>
  <c r="K106"/>
  <c r="K105"/>
  <c r="K104"/>
  <c r="K103"/>
  <c r="J81"/>
  <c r="K81" s="1"/>
  <c r="J80"/>
  <c r="K80" s="1"/>
  <c r="J79"/>
  <c r="K79" s="1"/>
  <c r="J78"/>
  <c r="K78" s="1"/>
  <c r="J77"/>
  <c r="K77" s="1"/>
  <c r="J76"/>
  <c r="K76" s="1"/>
  <c r="J75"/>
  <c r="K75" s="1"/>
  <c r="J74"/>
  <c r="J73"/>
  <c r="K73" s="1"/>
  <c r="J72"/>
  <c r="K72" s="1"/>
  <c r="J71"/>
  <c r="K71" s="1"/>
  <c r="J70"/>
  <c r="K70" s="1"/>
  <c r="J69"/>
  <c r="K69" s="1"/>
  <c r="J68"/>
  <c r="K68" s="1"/>
  <c r="J67"/>
  <c r="K67" s="1"/>
  <c r="J66"/>
  <c r="K66" s="1"/>
  <c r="J65"/>
  <c r="K65" s="1"/>
  <c r="J64"/>
  <c r="K64" s="1"/>
  <c r="J63"/>
  <c r="K63" s="1"/>
  <c r="J62"/>
  <c r="J61"/>
  <c r="K61" s="1"/>
  <c r="J60"/>
  <c r="K60" s="1"/>
  <c r="J59"/>
  <c r="K59" s="1"/>
  <c r="J58"/>
  <c r="K58" s="1"/>
  <c r="J57"/>
  <c r="K57" s="1"/>
  <c r="J33"/>
  <c r="J32"/>
  <c r="J31"/>
  <c r="J30"/>
  <c r="J29"/>
  <c r="K9" l="1"/>
  <c r="K10"/>
  <c r="K11"/>
  <c r="K12"/>
  <c r="K29"/>
  <c r="K30"/>
  <c r="K31"/>
  <c r="K32"/>
  <c r="K33"/>
  <c r="K56"/>
  <c r="K62"/>
  <c r="K74"/>
  <c r="K102"/>
  <c r="K92"/>
  <c r="K167"/>
  <c r="K180"/>
  <c r="K82"/>
  <c r="K84"/>
  <c r="K85"/>
  <c r="K91"/>
  <c r="K88"/>
  <c r="K182"/>
  <c r="K197"/>
  <c r="K199"/>
  <c r="K8"/>
  <c r="H83" i="6" l="1"/>
  <c r="H76"/>
  <c r="H75"/>
  <c r="H54"/>
  <c r="H53"/>
  <c r="H79"/>
  <c r="H74"/>
  <c r="H52"/>
  <c r="H100"/>
  <c r="K100"/>
  <c r="K95"/>
  <c r="H95"/>
  <c r="J46" i="4"/>
  <c r="J4"/>
  <c r="J3"/>
  <c r="K201" i="2"/>
  <c r="K200"/>
  <c r="K199"/>
  <c r="K198"/>
  <c r="K197"/>
  <c r="K196"/>
  <c r="K144"/>
  <c r="K143"/>
  <c r="K149"/>
  <c r="K148"/>
  <c r="K147"/>
  <c r="K146"/>
  <c r="K145"/>
  <c r="K142"/>
  <c r="D5" i="7"/>
  <c r="E5" s="1"/>
  <c r="M118" i="6"/>
  <c r="M113"/>
  <c r="K113"/>
  <c r="N113" s="1"/>
  <c r="M112"/>
  <c r="K112"/>
  <c r="N112" s="1"/>
  <c r="K111"/>
  <c r="N111" s="1"/>
  <c r="H110"/>
  <c r="K110" s="1"/>
  <c r="N110" s="1"/>
  <c r="H109"/>
  <c r="K109" s="1"/>
  <c r="N109" s="1"/>
  <c r="H108"/>
  <c r="K108" s="1"/>
  <c r="N108" s="1"/>
  <c r="H107"/>
  <c r="K107" s="1"/>
  <c r="N107" s="1"/>
  <c r="H106"/>
  <c r="K106" s="1"/>
  <c r="N106" s="1"/>
  <c r="H105"/>
  <c r="K105" s="1"/>
  <c r="N105" s="1"/>
  <c r="H104"/>
  <c r="K104" s="1"/>
  <c r="N104" s="1"/>
  <c r="K99"/>
  <c r="H99"/>
  <c r="N99" s="1"/>
  <c r="K98"/>
  <c r="H98"/>
  <c r="N98" s="1"/>
  <c r="K97"/>
  <c r="K94"/>
  <c r="H94"/>
  <c r="N94" s="1"/>
  <c r="K93"/>
  <c r="H93"/>
  <c r="N93" s="1"/>
  <c r="K92"/>
  <c r="H92"/>
  <c r="N92" s="1"/>
  <c r="M91"/>
  <c r="K91"/>
  <c r="H91"/>
  <c r="H73"/>
  <c r="H72"/>
  <c r="H71"/>
  <c r="H70"/>
  <c r="K70" s="1"/>
  <c r="H69"/>
  <c r="K69" s="1"/>
  <c r="H68"/>
  <c r="K68" s="1"/>
  <c r="N68" s="1"/>
  <c r="H67"/>
  <c r="K67" s="1"/>
  <c r="H66"/>
  <c r="K66" s="1"/>
  <c r="H65"/>
  <c r="K65" s="1"/>
  <c r="H64"/>
  <c r="K64" s="1"/>
  <c r="H63"/>
  <c r="K63" s="1"/>
  <c r="H62"/>
  <c r="K62" s="1"/>
  <c r="H61"/>
  <c r="K61" s="1"/>
  <c r="K60"/>
  <c r="K59"/>
  <c r="N59" s="1"/>
  <c r="H58"/>
  <c r="K58" s="1"/>
  <c r="H57"/>
  <c r="K57" s="1"/>
  <c r="K56"/>
  <c r="K55"/>
  <c r="N55" s="1"/>
  <c r="H51"/>
  <c r="H50"/>
  <c r="H49"/>
  <c r="H48"/>
  <c r="K48" s="1"/>
  <c r="H47"/>
  <c r="K47" s="1"/>
  <c r="H46"/>
  <c r="K46" s="1"/>
  <c r="N46" s="1"/>
  <c r="H45"/>
  <c r="K45" s="1"/>
  <c r="H44"/>
  <c r="K44" s="1"/>
  <c r="H43"/>
  <c r="K43" s="1"/>
  <c r="H42"/>
  <c r="K42" s="1"/>
  <c r="H41"/>
  <c r="K41" s="1"/>
  <c r="H40"/>
  <c r="K40" s="1"/>
  <c r="K39"/>
  <c r="H38"/>
  <c r="K38" s="1"/>
  <c r="N38" s="1"/>
  <c r="H37"/>
  <c r="K37" s="1"/>
  <c r="H36"/>
  <c r="K36" s="1"/>
  <c r="K35"/>
  <c r="K34"/>
  <c r="N34" s="1"/>
  <c r="K33"/>
  <c r="K32"/>
  <c r="N32" s="1"/>
  <c r="N31"/>
  <c r="N30"/>
  <c r="K26"/>
  <c r="N24"/>
  <c r="M23"/>
  <c r="N23" s="1"/>
  <c r="M14"/>
  <c r="N19" s="1"/>
  <c r="N13"/>
  <c r="H13"/>
  <c r="K12"/>
  <c r="K11"/>
  <c r="K10"/>
  <c r="N10" s="1"/>
  <c r="K9"/>
  <c r="N9" s="1"/>
  <c r="K7"/>
  <c r="N7" s="1"/>
  <c r="K6"/>
  <c r="N6" s="1"/>
  <c r="J50" i="4"/>
  <c r="K372" i="2"/>
  <c r="K371"/>
  <c r="K370"/>
  <c r="K317"/>
  <c r="J303"/>
  <c r="K303" s="1"/>
  <c r="J243"/>
  <c r="K243" s="1"/>
  <c r="J54" i="4"/>
  <c r="J51"/>
  <c r="J43"/>
  <c r="K369" i="2"/>
  <c r="K368"/>
  <c r="J219"/>
  <c r="K219" s="1"/>
  <c r="J220"/>
  <c r="K220" s="1"/>
  <c r="J221"/>
  <c r="J222"/>
  <c r="K222" s="1"/>
  <c r="J223"/>
  <c r="K223" s="1"/>
  <c r="J224"/>
  <c r="K224" s="1"/>
  <c r="K195"/>
  <c r="K193"/>
  <c r="K192"/>
  <c r="K191"/>
  <c r="K190"/>
  <c r="K189"/>
  <c r="K188"/>
  <c r="K187"/>
  <c r="K132"/>
  <c r="K131"/>
  <c r="K133"/>
  <c r="K130"/>
  <c r="K129"/>
  <c r="K128"/>
  <c r="K305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5"/>
  <c r="K311"/>
  <c r="K316"/>
  <c r="K314"/>
  <c r="K313"/>
  <c r="K312"/>
  <c r="K309"/>
  <c r="K302"/>
  <c r="K298"/>
  <c r="K284"/>
  <c r="K283"/>
  <c r="J234"/>
  <c r="K234" s="1"/>
  <c r="J233"/>
  <c r="K233" s="1"/>
  <c r="J231"/>
  <c r="J242"/>
  <c r="K242" s="1"/>
  <c r="J241"/>
  <c r="K241" s="1"/>
  <c r="J240"/>
  <c r="K240" s="1"/>
  <c r="J239"/>
  <c r="K239" s="1"/>
  <c r="J238"/>
  <c r="K238" s="1"/>
  <c r="J237"/>
  <c r="K237" s="1"/>
  <c r="J235"/>
  <c r="J236" s="1"/>
  <c r="K236" s="1"/>
  <c r="J232"/>
  <c r="K232" s="1"/>
  <c r="K231"/>
  <c r="J263"/>
  <c r="K263" s="1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6"/>
  <c r="K167"/>
  <c r="K165"/>
  <c r="K164"/>
  <c r="K163"/>
  <c r="K138"/>
  <c r="K137"/>
  <c r="K139"/>
  <c r="K136"/>
  <c r="K319"/>
  <c r="K318"/>
  <c r="K310"/>
  <c r="K308"/>
  <c r="K307"/>
  <c r="K306"/>
  <c r="K301"/>
  <c r="K297"/>
  <c r="K296"/>
  <c r="K295"/>
  <c r="K294"/>
  <c r="K293"/>
  <c r="K292"/>
  <c r="K291"/>
  <c r="K290"/>
  <c r="K289"/>
  <c r="K288"/>
  <c r="K287"/>
  <c r="K286"/>
  <c r="K285"/>
  <c r="K282"/>
  <c r="K281"/>
  <c r="K280"/>
  <c r="K279"/>
  <c r="K278"/>
  <c r="K277"/>
  <c r="K276"/>
  <c r="K275"/>
  <c r="K274"/>
  <c r="K273"/>
  <c r="K272"/>
  <c r="K271"/>
  <c r="K270"/>
  <c r="K202"/>
  <c r="K162"/>
  <c r="K161"/>
  <c r="K159"/>
  <c r="K158"/>
  <c r="K157"/>
  <c r="K156"/>
  <c r="K155"/>
  <c r="K154"/>
  <c r="K153"/>
  <c r="K152"/>
  <c r="K151"/>
  <c r="K150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J45" i="4"/>
  <c r="J44"/>
  <c r="J42"/>
  <c r="J8"/>
  <c r="J7"/>
  <c r="J304" i="2"/>
  <c r="K304" s="1"/>
  <c r="J300"/>
  <c r="K300" s="1"/>
  <c r="J299"/>
  <c r="K299" s="1"/>
  <c r="J375"/>
  <c r="K375" s="1"/>
  <c r="J374"/>
  <c r="K374" s="1"/>
  <c r="J269"/>
  <c r="K269" s="1"/>
  <c r="J268"/>
  <c r="K268" s="1"/>
  <c r="J267"/>
  <c r="K267" s="1"/>
  <c r="J266"/>
  <c r="K266" s="1"/>
  <c r="J265"/>
  <c r="K265" s="1"/>
  <c r="J264"/>
  <c r="K264" s="1"/>
  <c r="J262"/>
  <c r="K262" s="1"/>
  <c r="J261"/>
  <c r="K261" s="1"/>
  <c r="J260"/>
  <c r="K260" s="1"/>
  <c r="J259"/>
  <c r="K259" s="1"/>
  <c r="J258"/>
  <c r="K258" s="1"/>
  <c r="J257"/>
  <c r="K257" s="1"/>
  <c r="J256"/>
  <c r="K256" s="1"/>
  <c r="J255"/>
  <c r="K255" s="1"/>
  <c r="J254"/>
  <c r="K254" s="1"/>
  <c r="J253"/>
  <c r="K253" s="1"/>
  <c r="J252"/>
  <c r="K252" s="1"/>
  <c r="J251"/>
  <c r="K251" s="1"/>
  <c r="J250"/>
  <c r="K250" s="1"/>
  <c r="J249"/>
  <c r="K249" s="1"/>
  <c r="J248"/>
  <c r="K248" s="1"/>
  <c r="J247"/>
  <c r="K247" s="1"/>
  <c r="J246"/>
  <c r="K246" s="1"/>
  <c r="J245"/>
  <c r="K245" s="1"/>
  <c r="J244"/>
  <c r="K244" s="1"/>
  <c r="J230"/>
  <c r="K230" s="1"/>
  <c r="J229"/>
  <c r="K229" s="1"/>
  <c r="J228"/>
  <c r="K228" s="1"/>
  <c r="J227"/>
  <c r="K227" s="1"/>
  <c r="J226"/>
  <c r="K226" s="1"/>
  <c r="J225"/>
  <c r="K225" s="1"/>
  <c r="J218"/>
  <c r="K218" s="1"/>
  <c r="J217"/>
  <c r="K217" s="1"/>
  <c r="J216"/>
  <c r="K216" s="1"/>
  <c r="J215"/>
  <c r="K215" s="1"/>
  <c r="J214"/>
  <c r="K214" s="1"/>
  <c r="J213"/>
  <c r="K213" s="1"/>
  <c r="J212"/>
  <c r="K212" s="1"/>
  <c r="J211"/>
  <c r="K211" s="1"/>
  <c r="J210"/>
  <c r="K210" s="1"/>
  <c r="J209"/>
  <c r="K209" s="1"/>
  <c r="J208"/>
  <c r="K208" s="1"/>
  <c r="J207"/>
  <c r="K207" s="1"/>
  <c r="J373"/>
  <c r="K373" s="1"/>
  <c r="K221"/>
  <c r="K206"/>
  <c r="K204"/>
  <c r="K203"/>
  <c r="J160"/>
  <c r="K160" s="1"/>
  <c r="N16" i="6"/>
  <c r="N22" l="1"/>
  <c r="N91"/>
  <c r="K235" i="2"/>
</calcChain>
</file>

<file path=xl/comments1.xml><?xml version="1.0" encoding="utf-8"?>
<comments xmlns="http://schemas.openxmlformats.org/spreadsheetml/2006/main">
  <authors>
    <author>uyi</author>
    <author>chanjing</author>
  </authors>
  <commentList>
    <comment ref="L14" authorId="0">
      <text>
        <r>
          <rPr>
            <b/>
            <sz val="9"/>
            <color indexed="81"/>
            <rFont val="宋体"/>
            <family val="3"/>
            <charset val="134"/>
          </rPr>
          <t>uyi:</t>
        </r>
        <r>
          <rPr>
            <sz val="9"/>
            <color indexed="81"/>
            <rFont val="宋体"/>
            <family val="3"/>
            <charset val="134"/>
          </rPr>
          <t xml:space="preserve">
USA to HK: 0.02USD/pc
HK to factory: 0.001USD/pc</t>
        </r>
      </text>
    </comment>
    <comment ref="M14" authorId="0">
      <text>
        <r>
          <rPr>
            <b/>
            <sz val="9"/>
            <color indexed="81"/>
            <rFont val="宋体"/>
            <family val="3"/>
            <charset val="134"/>
          </rPr>
          <t>uyi:</t>
        </r>
        <r>
          <rPr>
            <sz val="9"/>
            <color indexed="81"/>
            <rFont val="宋体"/>
            <family val="3"/>
            <charset val="134"/>
          </rPr>
          <t xml:space="preserve">
from USA to HK: 0.035USD=16'000HKD/60000sets
from HK to SZ: 0.002USD=1100HKD/100'000sets</t>
        </r>
      </text>
    </comment>
    <comment ref="L15" authorId="0">
      <text>
        <r>
          <rPr>
            <b/>
            <sz val="9"/>
            <color indexed="81"/>
            <rFont val="宋体"/>
            <family val="3"/>
            <charset val="134"/>
          </rPr>
          <t>uyi:</t>
        </r>
        <r>
          <rPr>
            <sz val="9"/>
            <color indexed="81"/>
            <rFont val="宋体"/>
            <family val="3"/>
            <charset val="134"/>
          </rPr>
          <t xml:space="preserve">
USA to HK: 0.02USD/pc
HK to factory: 0.001USD/pc</t>
        </r>
      </text>
    </comment>
    <comment ref="L16" authorId="0">
      <text>
        <r>
          <rPr>
            <b/>
            <sz val="9"/>
            <color indexed="81"/>
            <rFont val="宋体"/>
            <family val="3"/>
            <charset val="134"/>
          </rPr>
          <t>uyi:</t>
        </r>
        <r>
          <rPr>
            <sz val="9"/>
            <color indexed="81"/>
            <rFont val="宋体"/>
            <family val="3"/>
            <charset val="134"/>
          </rPr>
          <t xml:space="preserve">
USA to HK: 0.02USD/pc
HK to factory: 0.001USD/pc</t>
        </r>
      </text>
    </comment>
    <comment ref="L17" authorId="0">
      <text>
        <r>
          <rPr>
            <b/>
            <sz val="9"/>
            <color indexed="81"/>
            <rFont val="宋体"/>
            <family val="3"/>
            <charset val="134"/>
          </rPr>
          <t>uyi:</t>
        </r>
        <r>
          <rPr>
            <sz val="9"/>
            <color indexed="81"/>
            <rFont val="宋体"/>
            <family val="3"/>
            <charset val="134"/>
          </rPr>
          <t xml:space="preserve">
USA to HK: 0.01USD/pc
HK to factory: 0.001USD/pc</t>
        </r>
      </text>
    </comment>
    <comment ref="L18" authorId="0">
      <text>
        <r>
          <rPr>
            <b/>
            <sz val="9"/>
            <color indexed="81"/>
            <rFont val="宋体"/>
            <family val="3"/>
            <charset val="134"/>
          </rPr>
          <t>uyi:</t>
        </r>
        <r>
          <rPr>
            <sz val="9"/>
            <color indexed="81"/>
            <rFont val="宋体"/>
            <family val="3"/>
            <charset val="134"/>
          </rPr>
          <t xml:space="preserve">
USA to HK: 0.01USD/pc
HK to factory: 0.001USD/pc</t>
        </r>
      </text>
    </comment>
    <comment ref="L19" authorId="0">
      <text>
        <r>
          <rPr>
            <b/>
            <sz val="9"/>
            <color indexed="81"/>
            <rFont val="宋体"/>
            <family val="3"/>
            <charset val="134"/>
          </rPr>
          <t>uyi:</t>
        </r>
        <r>
          <rPr>
            <sz val="9"/>
            <color indexed="81"/>
            <rFont val="宋体"/>
            <family val="3"/>
            <charset val="134"/>
          </rPr>
          <t xml:space="preserve">
USA to HK: 0.01USD/pc
HK to factory: 0.001USD/pc</t>
        </r>
      </text>
    </comment>
    <comment ref="L20" authorId="0">
      <text>
        <r>
          <rPr>
            <b/>
            <sz val="9"/>
            <color indexed="81"/>
            <rFont val="宋体"/>
            <family val="3"/>
            <charset val="134"/>
          </rPr>
          <t>uyi:</t>
        </r>
        <r>
          <rPr>
            <sz val="9"/>
            <color indexed="81"/>
            <rFont val="宋体"/>
            <family val="3"/>
            <charset val="134"/>
          </rPr>
          <t xml:space="preserve">
USA to HK: 0.02USD/pc
HK to factory: 0.001USD/pc</t>
        </r>
      </text>
    </comment>
    <comment ref="L21" authorId="0">
      <text>
        <r>
          <rPr>
            <b/>
            <sz val="9"/>
            <color indexed="81"/>
            <rFont val="宋体"/>
            <family val="3"/>
            <charset val="134"/>
          </rPr>
          <t>uyi:</t>
        </r>
        <r>
          <rPr>
            <sz val="9"/>
            <color indexed="81"/>
            <rFont val="宋体"/>
            <family val="3"/>
            <charset val="134"/>
          </rPr>
          <t xml:space="preserve">
USA to HK: 0.02USD/pc
HK to factory: 0.001USD/pc</t>
        </r>
      </text>
    </comment>
    <comment ref="L22" authorId="0">
      <text>
        <r>
          <rPr>
            <b/>
            <sz val="9"/>
            <color indexed="81"/>
            <rFont val="宋体"/>
            <family val="3"/>
            <charset val="134"/>
          </rPr>
          <t>uyi:</t>
        </r>
        <r>
          <rPr>
            <sz val="9"/>
            <color indexed="81"/>
            <rFont val="宋体"/>
            <family val="3"/>
            <charset val="134"/>
          </rPr>
          <t xml:space="preserve">
USA to HK: 0.02USD/pc
HK to factory: 0.001USD/pc</t>
        </r>
      </text>
    </comment>
    <comment ref="M24" authorId="0">
      <text>
        <r>
          <rPr>
            <b/>
            <sz val="9"/>
            <color indexed="81"/>
            <rFont val="宋体"/>
            <family val="3"/>
            <charset val="134"/>
          </rPr>
          <t>uyi:</t>
        </r>
        <r>
          <rPr>
            <sz val="9"/>
            <color indexed="81"/>
            <rFont val="宋体"/>
            <family val="3"/>
            <charset val="134"/>
          </rPr>
          <t xml:space="preserve">
by sea (refer to the actual invoice)</t>
        </r>
      </text>
    </comment>
    <comment ref="K26" authorId="0">
      <text>
        <r>
          <rPr>
            <b/>
            <sz val="9"/>
            <color indexed="81"/>
            <rFont val="宋体"/>
            <family val="3"/>
            <charset val="134"/>
          </rPr>
          <t>uyi:</t>
        </r>
        <r>
          <rPr>
            <sz val="9"/>
            <color indexed="81"/>
            <rFont val="宋体"/>
            <family val="3"/>
            <charset val="134"/>
          </rPr>
          <t xml:space="preserve">
less than 40080pcs:0.4605USD
more than 40080pcs:0.4125USD</t>
        </r>
      </text>
    </comment>
    <comment ref="H31" authorId="0">
      <text>
        <r>
          <rPr>
            <sz val="9"/>
            <color indexed="81"/>
            <rFont val="宋体"/>
            <family val="3"/>
            <charset val="134"/>
          </rPr>
          <t>increase 900THB for each container(40080pcs) for COO, effective from ETA 28Jun2010</t>
        </r>
      </text>
    </comment>
    <comment ref="K32" authorId="0">
      <text>
        <r>
          <rPr>
            <b/>
            <sz val="9"/>
            <color indexed="81"/>
            <rFont val="宋体"/>
            <family val="3"/>
            <charset val="134"/>
          </rPr>
          <t>uyi:</t>
        </r>
        <r>
          <rPr>
            <sz val="9"/>
            <color indexed="81"/>
            <rFont val="宋体"/>
            <family val="3"/>
            <charset val="134"/>
          </rPr>
          <t xml:space="preserve">
EXCHANGE RATE:1THB=0.03319USD</t>
        </r>
      </text>
    </comment>
    <comment ref="G35" authorId="0">
      <text>
        <r>
          <rPr>
            <sz val="9"/>
            <color indexed="81"/>
            <rFont val="宋体"/>
            <family val="3"/>
            <charset val="134"/>
          </rPr>
          <t>effective for IDS shipment from 1Aug2011</t>
        </r>
      </text>
    </comment>
    <comment ref="K38" authorId="0">
      <text>
        <r>
          <rPr>
            <b/>
            <sz val="9"/>
            <color indexed="81"/>
            <rFont val="宋体"/>
            <family val="3"/>
            <charset val="134"/>
          </rPr>
          <t>uyi:</t>
        </r>
        <r>
          <rPr>
            <sz val="9"/>
            <color indexed="81"/>
            <rFont val="宋体"/>
            <family val="3"/>
            <charset val="134"/>
          </rPr>
          <t xml:space="preserve">
28Apr exchange rate 1THB=0.03289USD</t>
        </r>
      </text>
    </comment>
    <comment ref="G39" authorId="0">
      <text>
        <r>
          <rPr>
            <sz val="9"/>
            <color indexed="81"/>
            <rFont val="宋体"/>
            <family val="3"/>
            <charset val="134"/>
          </rPr>
          <t>effective for IDS shipment from 1Aug2011</t>
        </r>
      </text>
    </comment>
    <comment ref="K39" authorId="0">
      <text>
        <r>
          <rPr>
            <b/>
            <sz val="9"/>
            <color indexed="81"/>
            <rFont val="宋体"/>
            <family val="3"/>
            <charset val="134"/>
          </rPr>
          <t>uyi:</t>
        </r>
        <r>
          <rPr>
            <sz val="9"/>
            <color indexed="81"/>
            <rFont val="宋体"/>
            <family val="3"/>
            <charset val="134"/>
          </rPr>
          <t xml:space="preserve">
27Jul exchange rate 1THB=0.03365USD</t>
        </r>
      </text>
    </comment>
    <comment ref="G56" authorId="0">
      <text>
        <r>
          <rPr>
            <sz val="9"/>
            <color indexed="81"/>
            <rFont val="宋体"/>
            <family val="3"/>
            <charset val="134"/>
          </rPr>
          <t>effective for IDS shipment from 1Aug2011</t>
        </r>
      </text>
    </comment>
    <comment ref="G60" authorId="0">
      <text>
        <r>
          <rPr>
            <sz val="9"/>
            <color indexed="81"/>
            <rFont val="宋体"/>
            <family val="3"/>
            <charset val="134"/>
          </rPr>
          <t>effective for IDS shipment from 1Aug2011</t>
        </r>
      </text>
    </comment>
    <comment ref="H91" authorId="0">
      <text>
        <r>
          <rPr>
            <sz val="9"/>
            <color indexed="81"/>
            <rFont val="宋体"/>
            <family val="3"/>
            <charset val="134"/>
          </rPr>
          <t>inc.freight cost from Brokville to HK port</t>
        </r>
      </text>
    </comment>
    <comment ref="K91" authorId="0">
      <text>
        <r>
          <rPr>
            <b/>
            <sz val="9"/>
            <color indexed="81"/>
            <rFont val="宋体"/>
            <family val="3"/>
            <charset val="134"/>
          </rPr>
          <t>uyi:</t>
        </r>
        <r>
          <rPr>
            <sz val="9"/>
            <color indexed="81"/>
            <rFont val="宋体"/>
            <family val="3"/>
            <charset val="134"/>
          </rPr>
          <t xml:space="preserve">
inc.freight cost from Brokville to HK port</t>
        </r>
      </text>
    </comment>
    <comment ref="L91" authorId="0">
      <text>
        <r>
          <rPr>
            <b/>
            <sz val="9"/>
            <color indexed="81"/>
            <rFont val="宋体"/>
            <family val="3"/>
            <charset val="134"/>
          </rPr>
          <t>uyi:</t>
        </r>
        <r>
          <rPr>
            <sz val="9"/>
            <color indexed="81"/>
            <rFont val="宋体"/>
            <family val="3"/>
            <charset val="134"/>
          </rPr>
          <t xml:space="preserve">
from HK to B7</t>
        </r>
      </text>
    </comment>
    <comment ref="G106" authorId="0">
      <text>
        <r>
          <rPr>
            <sz val="9"/>
            <color indexed="81"/>
            <rFont val="宋体"/>
            <family val="3"/>
            <charset val="134"/>
          </rPr>
          <t>Actual effective date changed from 15Jan to 01Apr</t>
        </r>
      </text>
    </comment>
    <comment ref="H106" authorId="1">
      <text>
        <r>
          <rPr>
            <b/>
            <sz val="9"/>
            <color indexed="81"/>
            <rFont val="宋体"/>
            <family val="3"/>
            <charset val="134"/>
          </rPr>
          <t>含</t>
        </r>
        <r>
          <rPr>
            <b/>
            <sz val="9"/>
            <color indexed="81"/>
            <rFont val="Tahoma"/>
            <family val="2"/>
          </rPr>
          <t>VAT</t>
        </r>
        <r>
          <rPr>
            <b/>
            <sz val="9"/>
            <color indexed="81"/>
            <rFont val="宋体"/>
            <family val="3"/>
            <charset val="134"/>
          </rPr>
          <t>税价格１</t>
        </r>
        <r>
          <rPr>
            <b/>
            <sz val="9"/>
            <color indexed="81"/>
            <rFont val="Tahoma"/>
            <family val="2"/>
          </rPr>
          <t>7%</t>
        </r>
      </text>
    </comment>
    <comment ref="G109" authorId="0">
      <text>
        <r>
          <rPr>
            <sz val="9"/>
            <color indexed="81"/>
            <rFont val="宋体"/>
            <family val="3"/>
            <charset val="134"/>
          </rPr>
          <t>Actual effective date changed from 15Jan to 01Apr</t>
        </r>
      </text>
    </comment>
    <comment ref="H109" authorId="1">
      <text>
        <r>
          <rPr>
            <b/>
            <sz val="9"/>
            <color indexed="81"/>
            <rFont val="宋体"/>
            <family val="3"/>
            <charset val="134"/>
          </rPr>
          <t>含</t>
        </r>
        <r>
          <rPr>
            <b/>
            <sz val="9"/>
            <color indexed="81"/>
            <rFont val="Tahoma"/>
            <family val="2"/>
          </rPr>
          <t>VAT</t>
        </r>
        <r>
          <rPr>
            <b/>
            <sz val="9"/>
            <color indexed="81"/>
            <rFont val="宋体"/>
            <family val="3"/>
            <charset val="134"/>
          </rPr>
          <t>税价格１</t>
        </r>
        <r>
          <rPr>
            <b/>
            <sz val="9"/>
            <color indexed="81"/>
            <rFont val="Tahoma"/>
            <family val="2"/>
          </rPr>
          <t>7%</t>
        </r>
      </text>
    </comment>
    <comment ref="H110" authorId="1">
      <text>
        <r>
          <rPr>
            <b/>
            <sz val="9"/>
            <color indexed="81"/>
            <rFont val="宋体"/>
            <family val="3"/>
            <charset val="134"/>
          </rPr>
          <t>含VAT税价格１7%</t>
        </r>
      </text>
    </comment>
  </commentList>
</comments>
</file>

<file path=xl/comments2.xml><?xml version="1.0" encoding="utf-8"?>
<comments xmlns="http://schemas.openxmlformats.org/spreadsheetml/2006/main">
  <authors>
    <author>liaojx</author>
  </authors>
  <commentList>
    <comment ref="A20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liaojx:
</t>
        </r>
        <r>
          <rPr>
            <b/>
            <sz val="9"/>
            <color indexed="10"/>
            <rFont val="宋体"/>
            <family val="3"/>
            <charset val="134"/>
          </rPr>
          <t>此料目前是由IM订购</t>
        </r>
      </text>
    </comment>
  </commentList>
</comments>
</file>

<file path=xl/comments3.xml><?xml version="1.0" encoding="utf-8"?>
<comments xmlns="http://schemas.openxmlformats.org/spreadsheetml/2006/main">
  <authors>
    <author>liaojx</author>
  </authors>
  <commentList>
    <comment ref="A11" authorId="0">
      <text>
        <r>
          <rPr>
            <b/>
            <sz val="9"/>
            <color indexed="81"/>
            <rFont val="宋体"/>
            <family val="3"/>
            <charset val="134"/>
          </rPr>
          <t>liaojx: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转IM订购</t>
        </r>
      </text>
    </comment>
    <comment ref="A12" authorId="0">
      <text>
        <r>
          <rPr>
            <b/>
            <sz val="9"/>
            <color indexed="81"/>
            <rFont val="宋体"/>
            <family val="3"/>
            <charset val="134"/>
          </rPr>
          <t>liaojx: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转IM订购</t>
        </r>
      </text>
    </comment>
    <comment ref="A21" authorId="0">
      <text>
        <r>
          <rPr>
            <b/>
            <sz val="9"/>
            <color indexed="81"/>
            <rFont val="宋体"/>
            <family val="3"/>
            <charset val="134"/>
          </rPr>
          <t>liaojx: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转IM订购</t>
        </r>
      </text>
    </comment>
    <comment ref="A22" authorId="0">
      <text>
        <r>
          <rPr>
            <b/>
            <sz val="9"/>
            <color indexed="81"/>
            <rFont val="宋体"/>
            <family val="3"/>
            <charset val="134"/>
          </rPr>
          <t>liaojx: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转IM订购</t>
        </r>
      </text>
    </comment>
  </commentList>
</comments>
</file>

<file path=xl/sharedStrings.xml><?xml version="1.0" encoding="utf-8"?>
<sst xmlns="http://schemas.openxmlformats.org/spreadsheetml/2006/main" count="3824" uniqueCount="1037">
  <si>
    <t>Velcro</t>
    <phoneticPr fontId="3" type="noConversion"/>
  </si>
  <si>
    <t>PC</t>
    <phoneticPr fontId="3" type="noConversion"/>
  </si>
  <si>
    <t>Hong Ming</t>
    <phoneticPr fontId="3" type="noConversion"/>
  </si>
  <si>
    <t>USD</t>
    <phoneticPr fontId="3" type="noConversion"/>
  </si>
  <si>
    <t>IDS Thailand</t>
    <phoneticPr fontId="3" type="noConversion"/>
  </si>
  <si>
    <t>RMB</t>
    <phoneticPr fontId="3" type="noConversion"/>
  </si>
  <si>
    <t>THB</t>
    <phoneticPr fontId="3" type="noConversion"/>
  </si>
  <si>
    <t>HWX003900000</t>
    <phoneticPr fontId="3" type="noConversion"/>
  </si>
  <si>
    <t>2011.06.09</t>
    <phoneticPr fontId="3" type="noConversion"/>
  </si>
  <si>
    <t>HWX004000000</t>
    <phoneticPr fontId="3" type="noConversion"/>
  </si>
  <si>
    <t>WOOD US BOTTLE 99852147</t>
  </si>
  <si>
    <t>WOOD CA BOTTLE 99852149</t>
  </si>
  <si>
    <t>2011.06.14</t>
    <phoneticPr fontId="3" type="noConversion"/>
  </si>
  <si>
    <t>2011.07.27</t>
    <phoneticPr fontId="3" type="noConversion"/>
  </si>
  <si>
    <t>2011.10.12</t>
    <phoneticPr fontId="3" type="noConversion"/>
  </si>
  <si>
    <t>HWX004300000</t>
    <phoneticPr fontId="3" type="noConversion"/>
  </si>
  <si>
    <t>2011.12.12</t>
    <phoneticPr fontId="3" type="noConversion"/>
  </si>
  <si>
    <t>2012.02.21</t>
    <phoneticPr fontId="3" type="noConversion"/>
  </si>
  <si>
    <t>2012.03.28</t>
    <phoneticPr fontId="3" type="noConversion"/>
  </si>
  <si>
    <t>ZAMBONI CA BOTTLE 99852151</t>
    <phoneticPr fontId="3" type="noConversion"/>
  </si>
  <si>
    <t>Velcro, EVA 240*40mm</t>
    <phoneticPr fontId="3" type="noConversion"/>
  </si>
  <si>
    <t>HWX004400000</t>
    <phoneticPr fontId="3" type="noConversion"/>
  </si>
  <si>
    <t>物料编号</t>
  </si>
  <si>
    <t>描述</t>
  </si>
  <si>
    <t>供应商</t>
  </si>
  <si>
    <t>名称</t>
  </si>
  <si>
    <t xml:space="preserve">    等级数量</t>
  </si>
  <si>
    <t>Uom</t>
  </si>
  <si>
    <t xml:space="preserve">  基数</t>
  </si>
  <si>
    <t xml:space="preserve">   价格</t>
  </si>
  <si>
    <t>单位</t>
  </si>
  <si>
    <t>PBD0856P0101</t>
  </si>
  <si>
    <t>WJ ZAMBONI US CARTON 99469294</t>
  </si>
  <si>
    <t>S0019</t>
  </si>
  <si>
    <t>SUN HING PRINTING CO. LTD.</t>
  </si>
  <si>
    <t>PC</t>
  </si>
  <si>
    <t>HKD</t>
  </si>
  <si>
    <t>PBD0857P0101</t>
  </si>
  <si>
    <t>WJ ZAMBONI CA CARTON 99814227</t>
  </si>
  <si>
    <t>PBD0867P0101</t>
  </si>
  <si>
    <t>WJ WOOD US CARTON 99713197</t>
  </si>
  <si>
    <t>PBD0868P0101</t>
  </si>
  <si>
    <t>WJ WOOD CA CARTON 99841286</t>
  </si>
  <si>
    <t>PBD0923P0101</t>
  </si>
  <si>
    <t>WETJET JACK LUCY US CARTON 92057034</t>
  </si>
  <si>
    <t>Jack WJ BubbleYum US 4ct carton 92265094</t>
  </si>
  <si>
    <t>PCD8978P0101</t>
  </si>
  <si>
    <t>WJ ZAMBONI US OUTERCASE 99468105</t>
  </si>
  <si>
    <t>Y9039</t>
  </si>
  <si>
    <t>TOPPAN YAU YUE PAPER PRODUCTS LTD</t>
  </si>
  <si>
    <t>PCD8979P0101</t>
  </si>
  <si>
    <t>WJ ZAMBONI CA OUTERCASE 99375998</t>
  </si>
  <si>
    <t>PCD8990P0101</t>
  </si>
  <si>
    <t>WJ WOOD US OUTERCASE 99899045</t>
  </si>
  <si>
    <t>PCD8991P0101</t>
  </si>
  <si>
    <t>WJ WOOD CA OUTERCASE 99899049</t>
  </si>
  <si>
    <t>PCD9193P0101</t>
  </si>
  <si>
    <t>WETJET JACK LUCY US 4CT OUTERCASE9210018</t>
  </si>
  <si>
    <t>有余包装（深圳）有限公司</t>
  </si>
  <si>
    <t xml:space="preserve">PCD9342P0101 </t>
  </si>
  <si>
    <t>Jack WJ Pink/Bubble Yum US 4ct outercase 92265095</t>
  </si>
  <si>
    <t>PLD5976P010</t>
  </si>
  <si>
    <t>WANING INSERT 95830968</t>
  </si>
  <si>
    <t>Warn label</t>
  </si>
  <si>
    <t>S9171</t>
  </si>
  <si>
    <t>Shenzhen Taihot Adhesive Products</t>
  </si>
  <si>
    <t>RMB</t>
  </si>
  <si>
    <t>B9066</t>
  </si>
  <si>
    <t>Everything Industrial Co.Ltd</t>
  </si>
  <si>
    <t>Date code label</t>
  </si>
  <si>
    <t>PLD5979P010</t>
  </si>
  <si>
    <t>Carton sticker 99457571</t>
  </si>
  <si>
    <t>PLD5993P010</t>
  </si>
  <si>
    <t>Seal sticker 99457716</t>
  </si>
  <si>
    <t>PLD5994P010</t>
  </si>
  <si>
    <t>Glue Dot 98931394 3M</t>
  </si>
  <si>
    <t>PLD6193P0101</t>
  </si>
  <si>
    <t>HANDLE STICKER CA 99616228</t>
  </si>
  <si>
    <t>PLD6445P0101</t>
  </si>
  <si>
    <t>RED HANDLE STICKER 99794468</t>
  </si>
  <si>
    <t>PMD0170P010</t>
  </si>
  <si>
    <t>Owner's Manual 99418252</t>
  </si>
  <si>
    <t>PMD0218P0101</t>
  </si>
  <si>
    <t>OWNER'S MANUAL(ENGLISH/SPANISH) 99794462</t>
  </si>
  <si>
    <t>PMD0229P0101</t>
  </si>
  <si>
    <t>OWNER'S MANUAL(ENGLISH/FRENCH)99814228</t>
  </si>
  <si>
    <t>PND0023P010</t>
  </si>
  <si>
    <t>Polyfoam 99458059</t>
  </si>
  <si>
    <t>H0136</t>
  </si>
  <si>
    <t>Hung Fat International Packing LTD</t>
  </si>
  <si>
    <t>PND0024P010</t>
  </si>
  <si>
    <t>Foam sheet 99458085</t>
  </si>
  <si>
    <t>H9087</t>
  </si>
  <si>
    <t>Heng Wang Packing Materials Factory</t>
  </si>
  <si>
    <t>Protector shrink bag 99456839</t>
  </si>
  <si>
    <t>Q9025</t>
  </si>
  <si>
    <t>深圳市卿辉安科技有限公司</t>
  </si>
  <si>
    <t>PPD1507P010</t>
  </si>
  <si>
    <t>Wrap sheet 99456846</t>
  </si>
  <si>
    <t>T9097</t>
  </si>
  <si>
    <t>TAK FUNG POLYETHYLENE FTY CO LTD</t>
  </si>
  <si>
    <t>PPD1529P010</t>
  </si>
  <si>
    <t>SLEEVE WRAP-PET</t>
  </si>
  <si>
    <t>PRD0370P010</t>
  </si>
  <si>
    <t>Hanger 99456823</t>
  </si>
  <si>
    <t>H0063</t>
  </si>
  <si>
    <t>HANG FUNG INTERNATIONAL INDUSTRIAL</t>
  </si>
  <si>
    <t>C0127</t>
  </si>
  <si>
    <t>Chung Lam Industrial Co Ltd</t>
  </si>
  <si>
    <t>PRD0371P010</t>
  </si>
  <si>
    <t>Hanger strap 95798421</t>
  </si>
  <si>
    <t>Insert card</t>
  </si>
  <si>
    <t>PSD4150P010</t>
  </si>
  <si>
    <t>Insert card(658x234mm) 99458113</t>
  </si>
  <si>
    <t>成品</t>
    <phoneticPr fontId="3" type="noConversion"/>
  </si>
  <si>
    <t>生效日期</t>
    <phoneticPr fontId="3" type="noConversion"/>
  </si>
  <si>
    <t>备注</t>
    <phoneticPr fontId="3" type="noConversion"/>
  </si>
  <si>
    <t>0DWJ0000005U</t>
    <phoneticPr fontId="3" type="noConversion"/>
  </si>
  <si>
    <t>0DWJ0000007U</t>
    <phoneticPr fontId="3" type="noConversion"/>
  </si>
  <si>
    <t>0DWJ0000010U</t>
    <phoneticPr fontId="3" type="noConversion"/>
  </si>
  <si>
    <t>RMB</t>
    <phoneticPr fontId="3" type="noConversion"/>
  </si>
  <si>
    <t>WJ通用</t>
    <phoneticPr fontId="3" type="noConversion"/>
  </si>
  <si>
    <t>Y9039</t>
    <phoneticPr fontId="3" type="noConversion"/>
  </si>
  <si>
    <t>FG Part No. information for your reference:</t>
    <phoneticPr fontId="3" type="noConversion"/>
  </si>
  <si>
    <t>Project</t>
    <phoneticPr fontId="3" type="noConversion"/>
  </si>
  <si>
    <t>Material GCAS#</t>
    <phoneticPr fontId="3" type="noConversion"/>
  </si>
  <si>
    <t>Brand code</t>
    <phoneticPr fontId="3" type="noConversion"/>
  </si>
  <si>
    <t>BOM</t>
    <phoneticPr fontId="3" type="noConversion"/>
  </si>
  <si>
    <t>WetJet Jack Dwight US 4ct</t>
    <phoneticPr fontId="3" type="noConversion"/>
  </si>
  <si>
    <t>0WDJ0000001U</t>
    <phoneticPr fontId="3" type="noConversion"/>
  </si>
  <si>
    <t>WetJet Jack Dwight CA 4ct</t>
    <phoneticPr fontId="3" type="noConversion"/>
  </si>
  <si>
    <t>0DWJ0000002N</t>
    <phoneticPr fontId="3" type="noConversion"/>
  </si>
  <si>
    <t>Red WetJet Jack US 4ct</t>
    <phoneticPr fontId="3" type="noConversion"/>
  </si>
  <si>
    <t>0DWJ0000003U</t>
    <phoneticPr fontId="3" type="noConversion"/>
  </si>
  <si>
    <t>Black WetJet Jack Vader US 4ct</t>
    <phoneticPr fontId="3" type="noConversion"/>
  </si>
  <si>
    <t>0DWJ0000004U</t>
    <phoneticPr fontId="3" type="noConversion"/>
  </si>
  <si>
    <t>WetJet Jack Zamboni US 4ct</t>
    <phoneticPr fontId="3" type="noConversion"/>
  </si>
  <si>
    <t>WetJet Jack Zamboni CA 4ct</t>
    <phoneticPr fontId="3" type="noConversion"/>
  </si>
  <si>
    <t>0DWJ0000006N</t>
    <phoneticPr fontId="3" type="noConversion"/>
  </si>
  <si>
    <t>WetJet Jack Wood US 4ct</t>
    <phoneticPr fontId="3" type="noConversion"/>
  </si>
  <si>
    <t>WetJet Jack Wood CA 4ct</t>
    <phoneticPr fontId="3" type="noConversion"/>
  </si>
  <si>
    <t>0DWJ0000008N</t>
    <phoneticPr fontId="3" type="noConversion"/>
  </si>
  <si>
    <t>Pink WetJet Jack US 4ct</t>
    <phoneticPr fontId="3" type="noConversion"/>
  </si>
  <si>
    <t>0DWJ0000009U</t>
    <phoneticPr fontId="3" type="noConversion"/>
  </si>
  <si>
    <t>WetJet Jack Lucy US 4ct</t>
    <phoneticPr fontId="3" type="noConversion"/>
  </si>
  <si>
    <t>含VAT 17%</t>
  </si>
  <si>
    <t>2012.07.26</t>
    <phoneticPr fontId="3" type="noConversion"/>
  </si>
  <si>
    <t>Updated unit price for IDS bottle (Zamboni, Wood).</t>
  </si>
  <si>
    <t>2012.10.09</t>
    <phoneticPr fontId="3" type="noConversion"/>
  </si>
  <si>
    <t>2012.08.17</t>
    <phoneticPr fontId="3" type="noConversion"/>
  </si>
  <si>
    <t>PHD0038P011</t>
    <phoneticPr fontId="3" type="noConversion"/>
  </si>
  <si>
    <t>成品</t>
    <phoneticPr fontId="3" type="noConversion"/>
  </si>
  <si>
    <t>生效日期</t>
    <phoneticPr fontId="3" type="noConversion"/>
  </si>
  <si>
    <t>备注</t>
    <phoneticPr fontId="3" type="noConversion"/>
  </si>
  <si>
    <t>RMB</t>
    <phoneticPr fontId="3" type="noConversion"/>
  </si>
  <si>
    <t>HWX00230000</t>
  </si>
  <si>
    <t>MEE01430000</t>
  </si>
  <si>
    <t>MEE01470000</t>
  </si>
  <si>
    <t>MES01420000</t>
  </si>
  <si>
    <t>MES01450000</t>
  </si>
  <si>
    <t>PAD PRINT OIL WHITE 890-1252</t>
  </si>
  <si>
    <t>UL1430 AWG22 RED WIRE ORIGINAL 610M</t>
    <phoneticPr fontId="3" type="noConversion"/>
  </si>
  <si>
    <t>LEAD-FREE SOLDERING WIRE D0.8MM</t>
    <phoneticPr fontId="3" type="noConversion"/>
  </si>
  <si>
    <t>HSX02110000</t>
    <phoneticPr fontId="3" type="noConversion"/>
  </si>
  <si>
    <r>
      <t>Flux agent(</t>
    </r>
    <r>
      <rPr>
        <sz val="9"/>
        <rFont val="宋体"/>
        <family val="3"/>
        <charset val="134"/>
      </rPr>
      <t>助焊剂</t>
    </r>
    <r>
      <rPr>
        <sz val="9"/>
        <rFont val="Arial"/>
        <family val="2"/>
      </rPr>
      <t>)</t>
    </r>
    <phoneticPr fontId="3" type="noConversion"/>
  </si>
  <si>
    <t>HSX02080000</t>
    <phoneticPr fontId="34" type="noConversion"/>
  </si>
  <si>
    <r>
      <t xml:space="preserve">TEST SOLUTION </t>
    </r>
    <r>
      <rPr>
        <sz val="9"/>
        <rFont val="宋体"/>
        <family val="3"/>
        <charset val="134"/>
      </rPr>
      <t>测试液</t>
    </r>
    <r>
      <rPr>
        <sz val="9"/>
        <rFont val="Arial"/>
        <family val="2"/>
      </rPr>
      <t xml:space="preserve"> </t>
    </r>
    <phoneticPr fontId="3" type="noConversion"/>
  </si>
  <si>
    <r>
      <t xml:space="preserve">Switch Momentary </t>
    </r>
    <r>
      <rPr>
        <sz val="9"/>
        <rFont val="Arial Unicode MS"/>
        <family val="2"/>
        <charset val="134"/>
      </rPr>
      <t>电池开关</t>
    </r>
    <phoneticPr fontId="3" type="noConversion"/>
  </si>
  <si>
    <r>
      <t xml:space="preserve">Contact Plate-C </t>
    </r>
    <r>
      <rPr>
        <sz val="9"/>
        <rFont val="Arial Unicode MS"/>
        <family val="2"/>
        <charset val="134"/>
      </rPr>
      <t>接触片</t>
    </r>
    <r>
      <rPr>
        <sz val="9"/>
        <rFont val="Arial"/>
        <family val="2"/>
      </rPr>
      <t>-C</t>
    </r>
    <phoneticPr fontId="3" type="noConversion"/>
  </si>
  <si>
    <r>
      <t xml:space="preserve">Wire Contact Plate-R </t>
    </r>
    <r>
      <rPr>
        <sz val="9"/>
        <rFont val="Arial Unicode MS"/>
        <family val="2"/>
        <charset val="134"/>
      </rPr>
      <t>线接触片</t>
    </r>
    <r>
      <rPr>
        <sz val="9"/>
        <rFont val="Arial"/>
        <family val="2"/>
      </rPr>
      <t>-R</t>
    </r>
    <phoneticPr fontId="3" type="noConversion"/>
  </si>
  <si>
    <r>
      <t xml:space="preserve">Wire Contact Plate-L </t>
    </r>
    <r>
      <rPr>
        <sz val="9"/>
        <rFont val="Arial Unicode MS"/>
        <family val="2"/>
        <charset val="134"/>
      </rPr>
      <t>线接触片</t>
    </r>
    <r>
      <rPr>
        <sz val="9"/>
        <rFont val="Arial"/>
        <family val="2"/>
      </rPr>
      <t>-L</t>
    </r>
    <phoneticPr fontId="34" type="noConversion"/>
  </si>
  <si>
    <r>
      <t xml:space="preserve">Contact Plate-B </t>
    </r>
    <r>
      <rPr>
        <sz val="9"/>
        <rFont val="Arial Unicode MS"/>
        <family val="2"/>
        <charset val="134"/>
      </rPr>
      <t>接触片</t>
    </r>
    <r>
      <rPr>
        <sz val="9"/>
        <rFont val="Arial"/>
        <family val="2"/>
      </rPr>
      <t>-B</t>
    </r>
    <phoneticPr fontId="3" type="noConversion"/>
  </si>
  <si>
    <r>
      <t xml:space="preserve">Contact Plate-A </t>
    </r>
    <r>
      <rPr>
        <sz val="9"/>
        <rFont val="Arial Unicode MS"/>
        <family val="2"/>
        <charset val="134"/>
      </rPr>
      <t>接触片</t>
    </r>
    <r>
      <rPr>
        <sz val="9"/>
        <rFont val="Arial"/>
        <family val="2"/>
      </rPr>
      <t>-A</t>
    </r>
    <phoneticPr fontId="3" type="noConversion"/>
  </si>
  <si>
    <t>MPE05580000</t>
    <phoneticPr fontId="34" type="noConversion"/>
  </si>
  <si>
    <r>
      <t>V-Clip V</t>
    </r>
    <r>
      <rPr>
        <sz val="9"/>
        <rFont val="Arial Unicode MS"/>
        <family val="2"/>
        <charset val="134"/>
      </rPr>
      <t>型扣</t>
    </r>
    <phoneticPr fontId="34" type="noConversion"/>
  </si>
  <si>
    <r>
      <t xml:space="preserve">Spring Coil </t>
    </r>
    <r>
      <rPr>
        <sz val="9"/>
        <rFont val="Arial Unicode MS"/>
        <family val="2"/>
        <charset val="134"/>
      </rPr>
      <t>弹簧</t>
    </r>
    <phoneticPr fontId="3" type="noConversion"/>
  </si>
  <si>
    <r>
      <t xml:space="preserve">Spring,Needle Protection Plate </t>
    </r>
    <r>
      <rPr>
        <sz val="9"/>
        <rFont val="Arial Unicode MS"/>
        <family val="2"/>
        <charset val="134"/>
      </rPr>
      <t>弹簧</t>
    </r>
    <phoneticPr fontId="3" type="noConversion"/>
  </si>
  <si>
    <r>
      <t xml:space="preserve">Tension Spring </t>
    </r>
    <r>
      <rPr>
        <sz val="9"/>
        <rFont val="Arial Unicode MS"/>
        <family val="2"/>
        <charset val="134"/>
      </rPr>
      <t>弹簧</t>
    </r>
    <phoneticPr fontId="3" type="noConversion"/>
  </si>
  <si>
    <r>
      <t>WJ</t>
    </r>
    <r>
      <rPr>
        <sz val="9"/>
        <rFont val="宋体"/>
        <family val="3"/>
        <charset val="134"/>
      </rPr>
      <t>通用</t>
    </r>
    <phoneticPr fontId="3" type="noConversion"/>
  </si>
  <si>
    <r>
      <t>WJ</t>
    </r>
    <r>
      <rPr>
        <sz val="9"/>
        <rFont val="宋体"/>
        <family val="3"/>
        <charset val="134"/>
      </rPr>
      <t>通用</t>
    </r>
    <phoneticPr fontId="3" type="noConversion"/>
  </si>
  <si>
    <t>L9067</t>
    <phoneticPr fontId="3" type="noConversion"/>
  </si>
  <si>
    <t>C9178</t>
    <phoneticPr fontId="3" type="noConversion"/>
  </si>
  <si>
    <t>O0027</t>
    <phoneticPr fontId="3" type="noConversion"/>
  </si>
  <si>
    <t>东莞市联恒电子有限公司</t>
    <phoneticPr fontId="3" type="noConversion"/>
  </si>
  <si>
    <t>RAINBOW PRECISION METAL LTD</t>
  </si>
  <si>
    <t>RAINBOW PRECISION METAL LTD</t>
    <phoneticPr fontId="3" type="noConversion"/>
  </si>
  <si>
    <t>OCEAN SPRINGS MANUFACTURE LIMITED</t>
  </si>
  <si>
    <t>OCEAN SPRINGS MANUFACTURE LIMITED</t>
    <phoneticPr fontId="3" type="noConversion"/>
  </si>
  <si>
    <t>CHING MING FASTENER CO.LTD.</t>
  </si>
  <si>
    <t>南海南光化工包装有限公司</t>
  </si>
  <si>
    <t>PC</t>
    <phoneticPr fontId="3" type="noConversion"/>
  </si>
  <si>
    <t>用量</t>
    <phoneticPr fontId="3" type="noConversion"/>
  </si>
  <si>
    <t>HKD</t>
    <phoneticPr fontId="3" type="noConversion"/>
  </si>
  <si>
    <r>
      <t>含</t>
    </r>
    <r>
      <rPr>
        <sz val="9"/>
        <rFont val="Arial"/>
        <family val="2"/>
      </rPr>
      <t>VAT 17%</t>
    </r>
    <phoneticPr fontId="3" type="noConversion"/>
  </si>
  <si>
    <r>
      <t>含</t>
    </r>
    <r>
      <rPr>
        <sz val="9"/>
        <rFont val="Arial"/>
        <family val="2"/>
      </rPr>
      <t>VAT 17%</t>
    </r>
    <phoneticPr fontId="3" type="noConversion"/>
  </si>
  <si>
    <t>30.21Jan13</t>
    <phoneticPr fontId="3" type="noConversion"/>
  </si>
  <si>
    <t>Updated unit price for IDS bottle (Zamboni, Wood)</t>
    <phoneticPr fontId="3" type="noConversion"/>
  </si>
  <si>
    <t>2013.01.21</t>
    <phoneticPr fontId="3" type="noConversion"/>
  </si>
  <si>
    <t>PCD9770P0101</t>
  </si>
  <si>
    <t>H.K.GLORY COLOR BOXES &amp; PAPER LTD</t>
  </si>
  <si>
    <t>WJ JJR WOOD OUTERCASE 4CT XN 96153448</t>
  </si>
  <si>
    <t>TRANSPARENT CARTON LABEL 96235329</t>
  </si>
  <si>
    <t>深圳市泰豪特不干胶制品有限公司</t>
  </si>
  <si>
    <t>PMD0314P0101</t>
  </si>
  <si>
    <t>WJ JJR OWNERS MANUAL XN 96141825</t>
  </si>
  <si>
    <t>宝安现代包装材料有限公司</t>
  </si>
  <si>
    <t>PPD1744P0101</t>
  </si>
  <si>
    <t>PRD0554P0101</t>
  </si>
  <si>
    <t>WJ JJR BLISTER COVER 96235288</t>
  </si>
  <si>
    <t>PSD4743P0101</t>
  </si>
  <si>
    <t>CASE INSERT CARD 1 96207389</t>
  </si>
  <si>
    <t>CASE INSERT CARD 2 96235286</t>
  </si>
  <si>
    <t>CASE INSERT CARD 3 96235287</t>
  </si>
  <si>
    <t>CASE INSERT CARD 4 96305936</t>
  </si>
  <si>
    <t>MPR05500001</t>
    <phoneticPr fontId="34" type="noConversion"/>
  </si>
  <si>
    <t>MPR05510001</t>
    <phoneticPr fontId="34" type="noConversion"/>
  </si>
  <si>
    <t>MPR05520001</t>
    <phoneticPr fontId="34" type="noConversion"/>
  </si>
  <si>
    <t>MPR05530001</t>
    <phoneticPr fontId="34" type="noConversion"/>
  </si>
  <si>
    <t>MPR05540001</t>
    <phoneticPr fontId="3" type="noConversion"/>
  </si>
  <si>
    <t>SWIFFER WET JET MP IPS99928848</t>
    <phoneticPr fontId="3" type="noConversion"/>
  </si>
  <si>
    <t>2013.04.18</t>
    <phoneticPr fontId="3" type="noConversion"/>
  </si>
  <si>
    <t>SWIFFER WET JET WOOD IPS99928849</t>
    <phoneticPr fontId="3" type="noConversion"/>
  </si>
  <si>
    <t>PE SHRINK BAG 96235327</t>
  </si>
  <si>
    <t>PBD1160P0101</t>
  </si>
  <si>
    <t>JJR WETJET ROSE NA 4ct CARTON 99594910</t>
  </si>
  <si>
    <t>PCD9860P0101</t>
  </si>
  <si>
    <t>PCD9861P0101</t>
  </si>
  <si>
    <t>PCD9862P0101</t>
  </si>
  <si>
    <t>JJR WETJET ROSE NA 4ct OUTER 99595096</t>
  </si>
  <si>
    <t>JJR WETJET NA 2ct OUTERCASE 96412302</t>
  </si>
  <si>
    <t>PSD4772P0101</t>
  </si>
  <si>
    <t>PSD4773P0101</t>
  </si>
  <si>
    <t>32.08Aug13</t>
    <phoneticPr fontId="3" type="noConversion"/>
  </si>
  <si>
    <t>Update unit price for P&amp;G Canada(wetjet pad,Tonka pad)</t>
    <phoneticPr fontId="3" type="noConversion"/>
  </si>
  <si>
    <t>31.18Apr13</t>
    <phoneticPr fontId="3" type="noConversion"/>
  </si>
  <si>
    <t>Against invoice date 30 days</t>
    <phoneticPr fontId="3" type="noConversion"/>
  </si>
  <si>
    <t>Payment Term</t>
    <phoneticPr fontId="3" type="noConversion"/>
  </si>
  <si>
    <t>45days upon goods arrived HK port.</t>
    <phoneticPr fontId="3" type="noConversion"/>
  </si>
  <si>
    <t>30days from invoice</t>
    <phoneticPr fontId="3" type="noConversion"/>
  </si>
  <si>
    <t>IN60 Against invoice date 60 days</t>
    <phoneticPr fontId="3" type="noConversion"/>
  </si>
  <si>
    <t>AMS+30days</t>
    <phoneticPr fontId="3" type="noConversion"/>
  </si>
  <si>
    <t>COD 7days upon receipt</t>
    <phoneticPr fontId="3" type="noConversion"/>
  </si>
  <si>
    <t>Net 30days</t>
    <phoneticPr fontId="3" type="noConversion"/>
  </si>
  <si>
    <t>He Dai</t>
    <phoneticPr fontId="3" type="noConversion"/>
  </si>
  <si>
    <t>Rubtop</t>
    <phoneticPr fontId="3" type="noConversion"/>
  </si>
  <si>
    <t>SansYu</t>
    <phoneticPr fontId="3" type="noConversion"/>
  </si>
  <si>
    <t>东莞市稳丰包装材料有限公司</t>
  </si>
  <si>
    <t>HSX00650000</t>
    <phoneticPr fontId="34" type="noConversion"/>
  </si>
  <si>
    <t>HPX039100000</t>
  </si>
  <si>
    <t>COMPREHENSIVE TRADING COMPANY</t>
  </si>
  <si>
    <t>Cost Table for Customer Appointed Components</t>
    <phoneticPr fontId="3" type="noConversion"/>
  </si>
  <si>
    <t xml:space="preserve">Old </t>
    <phoneticPr fontId="3" type="noConversion"/>
  </si>
  <si>
    <t>New</t>
    <phoneticPr fontId="3" type="noConversion"/>
  </si>
  <si>
    <t>Unit Price (USD/PC)</t>
    <phoneticPr fontId="3" type="noConversion"/>
  </si>
  <si>
    <t>Estimated Freight Cost (USD)</t>
    <phoneticPr fontId="3" type="noConversion"/>
  </si>
  <si>
    <t>Freight Cost (USD/set)</t>
    <phoneticPr fontId="3" type="noConversion"/>
  </si>
  <si>
    <t>Unit Price Included Freight Cost (USD/PC)</t>
    <phoneticPr fontId="3" type="noConversion"/>
  </si>
  <si>
    <t>Lead-time (days)</t>
    <phoneticPr fontId="3" type="noConversion"/>
  </si>
  <si>
    <t>Items</t>
    <phoneticPr fontId="3" type="noConversion"/>
  </si>
  <si>
    <t>Part No.</t>
    <phoneticPr fontId="3" type="noConversion"/>
  </si>
  <si>
    <t>Description</t>
    <phoneticPr fontId="3" type="noConversion"/>
  </si>
  <si>
    <t>Vendor Name</t>
    <phoneticPr fontId="3" type="noConversion"/>
  </si>
  <si>
    <t>Qty Level/ effective date</t>
    <phoneticPr fontId="3" type="noConversion"/>
  </si>
  <si>
    <t>Unit Price(PC)</t>
    <phoneticPr fontId="3" type="noConversion"/>
  </si>
  <si>
    <t>Purchase
 Currency</t>
    <phoneticPr fontId="3" type="noConversion"/>
  </si>
  <si>
    <t>Uom</t>
    <phoneticPr fontId="3" type="noConversion"/>
  </si>
  <si>
    <t>Usage/set</t>
    <phoneticPr fontId="3" type="noConversion"/>
  </si>
  <si>
    <t>Delivery Term</t>
    <phoneticPr fontId="3" type="noConversion"/>
  </si>
  <si>
    <t>Remarks</t>
    <phoneticPr fontId="3" type="noConversion"/>
  </si>
  <si>
    <t>Pump</t>
    <phoneticPr fontId="3" type="noConversion"/>
  </si>
  <si>
    <t>MI(Singapore)</t>
    <phoneticPr fontId="3" type="noConversion"/>
  </si>
  <si>
    <t>CIF HK</t>
    <phoneticPr fontId="3" type="noConversion"/>
  </si>
  <si>
    <t>Revised the payment date from 30days to 45days.</t>
    <phoneticPr fontId="3" type="noConversion"/>
  </si>
  <si>
    <t>2011.08.08</t>
    <phoneticPr fontId="3" type="noConversion"/>
  </si>
  <si>
    <t>Vent Module</t>
    <phoneticPr fontId="3" type="noConversion"/>
  </si>
  <si>
    <t>2009.09.01</t>
    <phoneticPr fontId="3" type="noConversion"/>
  </si>
  <si>
    <t>2011.07.01</t>
    <phoneticPr fontId="3" type="noConversion"/>
  </si>
  <si>
    <t>Vent Value</t>
    <phoneticPr fontId="3" type="noConversion"/>
  </si>
  <si>
    <t>Vent Valve</t>
    <phoneticPr fontId="3" type="noConversion"/>
  </si>
  <si>
    <t>Promepla</t>
    <phoneticPr fontId="3" type="noConversion"/>
  </si>
  <si>
    <t>PU Tube</t>
    <phoneticPr fontId="3" type="noConversion"/>
  </si>
  <si>
    <t>RTU00660000</t>
    <phoneticPr fontId="3" type="noConversion"/>
  </si>
  <si>
    <t>Hose Lower L=170mm</t>
    <phoneticPr fontId="3" type="noConversion"/>
  </si>
  <si>
    <t>Freelin Wade</t>
    <phoneticPr fontId="3" type="noConversion"/>
  </si>
  <si>
    <t>Lead time include 30days for transportation by sea</t>
    <phoneticPr fontId="3" type="noConversion"/>
  </si>
  <si>
    <t>RTU00670000</t>
    <phoneticPr fontId="3" type="noConversion"/>
  </si>
  <si>
    <t>Hose Pump L= 43mm</t>
    <phoneticPr fontId="3" type="noConversion"/>
  </si>
  <si>
    <t>RTU00680000</t>
    <phoneticPr fontId="3" type="noConversion"/>
  </si>
  <si>
    <t>Hose Filter L=130mm</t>
    <phoneticPr fontId="3" type="noConversion"/>
  </si>
  <si>
    <t>Hose, 2000ft/RL (cut to above)</t>
    <phoneticPr fontId="3" type="noConversion"/>
  </si>
  <si>
    <t>2010.08.30</t>
    <phoneticPr fontId="3" type="noConversion"/>
  </si>
  <si>
    <t>Solution</t>
    <phoneticPr fontId="3" type="noConversion"/>
  </si>
  <si>
    <t>HWX00270000</t>
    <phoneticPr fontId="3" type="noConversion"/>
  </si>
  <si>
    <t>1/2Bottle, 500ml  98858691</t>
    <phoneticPr fontId="3" type="noConversion"/>
  </si>
  <si>
    <t>HWX00290000</t>
    <phoneticPr fontId="3" type="noConversion"/>
  </si>
  <si>
    <t>1/2Bottle, 500ml  99449375</t>
    <phoneticPr fontId="3" type="noConversion"/>
  </si>
  <si>
    <t>increase 0.8%</t>
    <phoneticPr fontId="3" type="noConversion"/>
  </si>
  <si>
    <t>2010.05.01</t>
    <phoneticPr fontId="3" type="noConversion"/>
  </si>
  <si>
    <t>increase 0.5%</t>
    <phoneticPr fontId="3" type="noConversion"/>
  </si>
  <si>
    <t>2010.07.15</t>
    <phoneticPr fontId="3" type="noConversion"/>
  </si>
  <si>
    <t>+COO cost</t>
    <phoneticPr fontId="3" type="noConversion"/>
  </si>
  <si>
    <t>2010.06.28</t>
    <phoneticPr fontId="3" type="noConversion"/>
  </si>
  <si>
    <t>2011.01.07</t>
    <phoneticPr fontId="3" type="noConversion"/>
  </si>
  <si>
    <t>TBA</t>
    <phoneticPr fontId="3" type="noConversion"/>
  </si>
  <si>
    <t>HWX003800000</t>
    <phoneticPr fontId="3" type="noConversion"/>
  </si>
  <si>
    <t>ZAMBONI US BOTTLE 99852150</t>
    <phoneticPr fontId="3" type="noConversion"/>
  </si>
  <si>
    <t>2011.04.22</t>
    <phoneticPr fontId="3" type="noConversion"/>
  </si>
  <si>
    <t>2013.09.23</t>
    <phoneticPr fontId="3" type="noConversion"/>
  </si>
  <si>
    <t>2013.11.01</t>
    <phoneticPr fontId="3" type="noConversion"/>
  </si>
  <si>
    <t>HWX004100000</t>
    <phoneticPr fontId="3" type="noConversion"/>
  </si>
  <si>
    <t>Pad</t>
    <phoneticPr fontId="3" type="noConversion"/>
  </si>
  <si>
    <t>FPS02640000</t>
    <phoneticPr fontId="3" type="noConversion"/>
  </si>
  <si>
    <t>P&amp;G Canada</t>
    <phoneticPr fontId="3" type="noConversion"/>
  </si>
  <si>
    <t>2010.08.09</t>
    <phoneticPr fontId="3" type="noConversion"/>
  </si>
  <si>
    <t>FPS030400001</t>
    <phoneticPr fontId="3" type="noConversion"/>
  </si>
  <si>
    <t>WetJet Tonka pad FC 92069623/BC 80212219</t>
    <phoneticPr fontId="3" type="noConversion"/>
  </si>
  <si>
    <t>2012.05.01</t>
    <phoneticPr fontId="3" type="noConversion"/>
  </si>
  <si>
    <t>Local Delivery</t>
    <phoneticPr fontId="3" type="noConversion"/>
  </si>
  <si>
    <r>
      <t xml:space="preserve">After tax deduction ( 17%VAT, refundable </t>
    </r>
    <r>
      <rPr>
        <sz val="10"/>
        <color indexed="10"/>
        <rFont val="Arial"/>
        <family val="2"/>
      </rPr>
      <t>17%</t>
    </r>
    <r>
      <rPr>
        <sz val="10"/>
        <rFont val="Arial"/>
        <family val="2"/>
      </rPr>
      <t>)</t>
    </r>
    <phoneticPr fontId="3" type="noConversion"/>
  </si>
  <si>
    <t>2010.09.06</t>
    <phoneticPr fontId="3" type="noConversion"/>
  </si>
  <si>
    <t>2011.04.01</t>
    <phoneticPr fontId="3" type="noConversion"/>
  </si>
  <si>
    <t>PHD0037P011</t>
    <phoneticPr fontId="3" type="noConversion"/>
  </si>
  <si>
    <t>Velcro,Shround 150.2*30.5mm</t>
    <phoneticPr fontId="3" type="noConversion"/>
  </si>
  <si>
    <t>Scrub Pad</t>
    <phoneticPr fontId="3" type="noConversion"/>
  </si>
  <si>
    <t>FSR00760000</t>
    <phoneticPr fontId="3" type="noConversion"/>
  </si>
  <si>
    <t>10011-402, 150.2*30.5*3.2mm</t>
    <phoneticPr fontId="3" type="noConversion"/>
  </si>
  <si>
    <t>Rubber Seal</t>
    <phoneticPr fontId="3" type="noConversion"/>
  </si>
  <si>
    <t>Silicon 50A,Dia:15.6mm, THK:0.5mm</t>
    <phoneticPr fontId="3" type="noConversion"/>
  </si>
  <si>
    <t>HKD</t>
    <phoneticPr fontId="3" type="noConversion"/>
  </si>
  <si>
    <t>10~16</t>
    <phoneticPr fontId="3" type="noConversion"/>
  </si>
  <si>
    <t>HK Local Delivery</t>
    <phoneticPr fontId="3" type="noConversion"/>
  </si>
  <si>
    <t>For Test</t>
    <phoneticPr fontId="3" type="noConversion"/>
  </si>
  <si>
    <t>Membranes</t>
    <phoneticPr fontId="3" type="noConversion"/>
  </si>
  <si>
    <t>RPK</t>
    <phoneticPr fontId="3" type="noConversion"/>
  </si>
  <si>
    <t>West</t>
    <phoneticPr fontId="3" type="noConversion"/>
  </si>
  <si>
    <t>2010.03.01</t>
    <phoneticPr fontId="3" type="noConversion"/>
  </si>
  <si>
    <t>2010.04.01</t>
    <phoneticPr fontId="3" type="noConversion"/>
  </si>
  <si>
    <t>2010.07.01</t>
    <phoneticPr fontId="3" type="noConversion"/>
  </si>
  <si>
    <t>2011.03.31</t>
    <phoneticPr fontId="3" type="noConversion"/>
  </si>
  <si>
    <t>Remark: Based on exchange rate as 1RMB=1.14HKD, 1USD=7.78HKD,1THB=0.03319USD</t>
    <phoneticPr fontId="3" type="noConversion"/>
  </si>
  <si>
    <t>Revised History</t>
    <phoneticPr fontId="3" type="noConversion"/>
  </si>
  <si>
    <t>1. 23Dec09       changed the payment term of Freelin to "50% payment in advance &amp; 50% net 15days" from original "100% TT in advance";</t>
    <phoneticPr fontId="3" type="noConversion"/>
  </si>
  <si>
    <t>2. 8Jan2010      changed the delivery term of Freelin to "Exw" from "FOB Oregon";</t>
    <phoneticPr fontId="3" type="noConversion"/>
  </si>
  <si>
    <t>3. 25Feb10       deleted the column of "Sample Delivery Status";</t>
    <phoneticPr fontId="3" type="noConversion"/>
  </si>
  <si>
    <t xml:space="preserve">4. 04Mar10       added a new GCAS no. 99449375 - IDS Solution.     </t>
    <phoneticPr fontId="3" type="noConversion"/>
  </si>
  <si>
    <t>5.02Jun10         Update the exchange rate: 1USD=7.78HKD (previous:7.8), 1USD=6.84RMB(previous:6.4)</t>
    <phoneticPr fontId="3" type="noConversion"/>
  </si>
  <si>
    <t xml:space="preserve">                        Revised the freight cost for PU Tube, previous: by air, new: by sea.</t>
    <phoneticPr fontId="3" type="noConversion"/>
  </si>
  <si>
    <t xml:space="preserve">                        Deducted 13%tax for items 6-Velcro and 7-Scrub Pad.</t>
    <phoneticPr fontId="3" type="noConversion"/>
  </si>
  <si>
    <t xml:space="preserve">                        Updated the unit price of Pads from 0.1111USD/pc to 0.1100USD/pc since the supplier just keep 2 decimal fraction.</t>
    <phoneticPr fontId="3" type="noConversion"/>
  </si>
  <si>
    <t>6.25Jun10</t>
    <phoneticPr fontId="3" type="noConversion"/>
  </si>
  <si>
    <t xml:space="preserve">  Revised unit price for IDS bottle - HWX00290000 from 0.4161USD/pc to 0.4196USD/pc.</t>
    <phoneticPr fontId="3" type="noConversion"/>
  </si>
  <si>
    <t xml:space="preserve">  Added price collum for membrane which is used for wet test.</t>
    <phoneticPr fontId="3" type="noConversion"/>
  </si>
  <si>
    <t>7.15Jul10</t>
    <phoneticPr fontId="3" type="noConversion"/>
  </si>
  <si>
    <t xml:space="preserve">  Revised unit price for IDS bottle - HWX00290000 from 0.4196USD/pc to 0.4217USD/pc (increased 0.5%).</t>
    <phoneticPr fontId="3" type="noConversion"/>
  </si>
  <si>
    <t>8.06Sep10        Revised unit price for Freelin-RTU007000001, IDS bottle-HWX00290000, P&amp;G pads-FPS02640000, and HungMing's Velcro</t>
    <phoneticPr fontId="3" type="noConversion"/>
  </si>
  <si>
    <t xml:space="preserve">  PHD0037P010&amp;PHD0038P010, details please refer to the above table.</t>
    <phoneticPr fontId="3" type="noConversion"/>
  </si>
  <si>
    <t>9.21Sep10        Revised refundable tax rate from 13% to 17% for HungMing Velcro and He Dai Scrub Pad.</t>
    <phoneticPr fontId="3" type="noConversion"/>
  </si>
  <si>
    <t xml:space="preserve">10.21Sep10      Revised the currency for IDS bottle from USD to THB.  </t>
    <phoneticPr fontId="3" type="noConversion"/>
  </si>
  <si>
    <t>11.07Dec10</t>
    <phoneticPr fontId="3" type="noConversion"/>
  </si>
  <si>
    <t xml:space="preserve">  Added price collum for Nozzle.</t>
    <phoneticPr fontId="3" type="noConversion"/>
  </si>
  <si>
    <t>12.06Jan11</t>
    <phoneticPr fontId="3" type="noConversion"/>
  </si>
  <si>
    <t xml:space="preserve">  HungMing increased the velcro unit price, effective from 15Jan2011.</t>
    <phoneticPr fontId="3" type="noConversion"/>
  </si>
  <si>
    <t>13.07Jan11</t>
    <phoneticPr fontId="3" type="noConversion"/>
  </si>
  <si>
    <t xml:space="preserve">  IDS changed bottle's unit price from 13.9395USD/pc to 13.6595USD/pc.</t>
    <phoneticPr fontId="3" type="noConversion"/>
  </si>
  <si>
    <t>14.28Apr11</t>
    <phoneticPr fontId="3" type="noConversion"/>
  </si>
  <si>
    <t xml:space="preserve">  Added unit price for Zamboni US bottle</t>
    <phoneticPr fontId="3" type="noConversion"/>
  </si>
  <si>
    <t>15.31May11</t>
    <phoneticPr fontId="3" type="noConversion"/>
  </si>
  <si>
    <t xml:space="preserve">  Updated unit price for Vent Module from 0.13USD/pc to 0.09USD/pc.</t>
    <phoneticPr fontId="3" type="noConversion"/>
  </si>
  <si>
    <t xml:space="preserve">  Revised as actual effective date and unit price for 2 velcro.</t>
    <phoneticPr fontId="3" type="noConversion"/>
  </si>
  <si>
    <t xml:space="preserve">  Changed the freight cost for FPS02640000 from 2500USD/container to 4108.02USD/container (refer to invoice in Apr2011)</t>
    <phoneticPr fontId="3" type="noConversion"/>
  </si>
  <si>
    <t>16.09Jun11</t>
    <phoneticPr fontId="3" type="noConversion"/>
  </si>
  <si>
    <t xml:space="preserve">  Added unit price for Zamboni CA bottle</t>
    <phoneticPr fontId="3" type="noConversion"/>
  </si>
  <si>
    <t>17.14Jun11</t>
    <phoneticPr fontId="3" type="noConversion"/>
  </si>
  <si>
    <t xml:space="preserve">  Added unit price for Wood US and CA bottles</t>
    <phoneticPr fontId="3" type="noConversion"/>
  </si>
  <si>
    <t>18.27Jul11       Updated unit price for IDS bottle (Zamboni US, Zamboni CA, Wood US, Wood CA).</t>
    <phoneticPr fontId="3" type="noConversion"/>
  </si>
  <si>
    <t>19.29Jul11       Updated unit price for MI Pump - S8DWJ000001.</t>
    <phoneticPr fontId="3" type="noConversion"/>
  </si>
  <si>
    <t>20.04Oct11</t>
    <phoneticPr fontId="3" type="noConversion"/>
  </si>
  <si>
    <t xml:space="preserve">  Updated unit price for PU Tube which effective from PO released on 31Aug2011.</t>
    <phoneticPr fontId="3" type="noConversion"/>
  </si>
  <si>
    <t>21.14Oct11      Updated unit price for IDS bottle which effective from delivery on 12Oct.</t>
    <phoneticPr fontId="3" type="noConversion"/>
  </si>
  <si>
    <t>22.12Dec11     Updated unit price for IDS bottle which effective from delivery on 12Dec(ETD Thailand).</t>
    <phoneticPr fontId="3" type="noConversion"/>
  </si>
  <si>
    <t>23.15Dec11     Revised unit price for IDS Wood bottles.</t>
    <phoneticPr fontId="3" type="noConversion"/>
  </si>
  <si>
    <t xml:space="preserve">24.22Feb12      Revised unit price for IDS Bottles. </t>
    <phoneticPr fontId="3" type="noConversion"/>
  </si>
  <si>
    <t xml:space="preserve">25.28Mar12      Revised unit price for IDS Zamboni NA &amp; Wood NA Bottles . </t>
    <phoneticPr fontId="3" type="noConversion"/>
  </si>
  <si>
    <t>26.03May12      (1) Wet Jet Pads: Revised the unit price from US$94.94/1008CS to US$89.756/1008PCS as per the  information from P&amp;G Canada.</t>
    <phoneticPr fontId="3" type="noConversion"/>
  </si>
  <si>
    <t xml:space="preserve">  (2) Added the unit price for Tonka pad FPS030400001.</t>
    <phoneticPr fontId="3" type="noConversion"/>
  </si>
  <si>
    <t>27.27Jul12        Updated unit price for IDS bottle (Zamboni, Wood).</t>
    <phoneticPr fontId="3" type="noConversion"/>
  </si>
  <si>
    <t>28.17Aug12</t>
    <phoneticPr fontId="3" type="noConversion"/>
  </si>
  <si>
    <t>29.09Oct12</t>
    <phoneticPr fontId="3" type="noConversion"/>
  </si>
  <si>
    <t>Updated unit price for IDS bottle (Zamboni, Wood).And P&amp;G Canada(Wet jet pad and Tonka pad)</t>
    <phoneticPr fontId="3" type="noConversion"/>
  </si>
  <si>
    <t>Freight</t>
    <phoneticPr fontId="3" type="noConversion"/>
  </si>
  <si>
    <t>2014.01.14</t>
    <phoneticPr fontId="3" type="noConversion"/>
  </si>
  <si>
    <t>2013.08.08</t>
    <phoneticPr fontId="3" type="noConversion"/>
  </si>
  <si>
    <t>Vent valve assembly</t>
    <phoneticPr fontId="3" type="noConversion"/>
  </si>
  <si>
    <t>S4DWJ0000801</t>
    <phoneticPr fontId="3" type="noConversion"/>
  </si>
  <si>
    <t>45days upon goods arrived HK port</t>
    <phoneticPr fontId="3" type="noConversion"/>
  </si>
  <si>
    <t>3M DOUBLE GLUE DOT 96892176</t>
  </si>
  <si>
    <t>PRD0588P0101</t>
    <phoneticPr fontId="3" type="noConversion"/>
  </si>
  <si>
    <t>HANGER 96892175</t>
    <phoneticPr fontId="3" type="noConversion"/>
  </si>
  <si>
    <t>PSD4846P0101</t>
    <phoneticPr fontId="3" type="noConversion"/>
  </si>
  <si>
    <t>2CT CASE INSERT CARD 1 - 96892178</t>
  </si>
  <si>
    <t>WJ通用（28U/29U)</t>
    <phoneticPr fontId="3" type="noConversion"/>
  </si>
  <si>
    <t>MI(WUXI)</t>
    <phoneticPr fontId="3" type="noConversion"/>
  </si>
  <si>
    <t>2014.04.01</t>
    <phoneticPr fontId="3" type="noConversion"/>
  </si>
  <si>
    <t>33.01Apr2014</t>
    <phoneticPr fontId="3" type="noConversion"/>
  </si>
  <si>
    <t>Updated unit price for IDS bottle (Wetjet MP, Wood)</t>
    <phoneticPr fontId="3" type="noConversion"/>
  </si>
  <si>
    <t>0DWJ0000006U</t>
    <phoneticPr fontId="3" type="noConversion"/>
  </si>
  <si>
    <t>0DWJ0000007U</t>
    <phoneticPr fontId="3" type="noConversion"/>
  </si>
  <si>
    <t>0DWJ0000008U</t>
    <phoneticPr fontId="3" type="noConversion"/>
  </si>
  <si>
    <t>0DWJ0000010U</t>
    <phoneticPr fontId="3" type="noConversion"/>
  </si>
  <si>
    <t>PBD0933P0101</t>
    <phoneticPr fontId="3" type="noConversion"/>
  </si>
  <si>
    <t>WETJET TONKA US 4CT CARTON 92036256</t>
    <phoneticPr fontId="3" type="noConversion"/>
  </si>
  <si>
    <t>PBD0934P0101</t>
    <phoneticPr fontId="3" type="noConversion"/>
  </si>
  <si>
    <t>WETJET TONKA CA 4CT CARTON 92036257</t>
    <phoneticPr fontId="3" type="noConversion"/>
  </si>
  <si>
    <t>0DWJ0000012N</t>
    <phoneticPr fontId="3" type="noConversion"/>
  </si>
  <si>
    <t>PBD0937P0101</t>
    <phoneticPr fontId="3" type="noConversion"/>
  </si>
  <si>
    <t>WJ WOODY REMOVE NEW US  CARTON 92068621</t>
    <phoneticPr fontId="3" type="noConversion"/>
  </si>
  <si>
    <t>0DWJ0000015U</t>
    <phoneticPr fontId="3" type="noConversion"/>
  </si>
  <si>
    <t>PBD0938P0101</t>
    <phoneticPr fontId="3" type="noConversion"/>
  </si>
  <si>
    <t>WJ WOODY REMOVE NEW CA 4CT CTN 92105819</t>
    <phoneticPr fontId="3" type="noConversion"/>
  </si>
  <si>
    <t>0DWJ0000016N</t>
    <phoneticPr fontId="3" type="noConversion"/>
  </si>
  <si>
    <t>PBD0993P0101</t>
    <phoneticPr fontId="3" type="noConversion"/>
  </si>
  <si>
    <t>JACK WETJET BTS US 4CT CARTON 92272681</t>
    <phoneticPr fontId="3" type="noConversion"/>
  </si>
  <si>
    <t>0DWJ0000020U</t>
    <phoneticPr fontId="3" type="noConversion"/>
  </si>
  <si>
    <t>PBD0997P0101</t>
    <phoneticPr fontId="3" type="noConversion"/>
  </si>
  <si>
    <t>0DWJ0000021U</t>
    <phoneticPr fontId="3" type="noConversion"/>
  </si>
  <si>
    <t xml:space="preserve">PBD1002P0101 </t>
    <phoneticPr fontId="3" type="noConversion"/>
  </si>
  <si>
    <t>0DWJ0000022U</t>
    <phoneticPr fontId="3" type="noConversion"/>
  </si>
  <si>
    <t xml:space="preserve">PBD1044P0101 </t>
    <phoneticPr fontId="3" type="noConversion"/>
  </si>
  <si>
    <t>WETJET TANGO NA 4CT CTN 92316749</t>
    <phoneticPr fontId="3" type="noConversion"/>
  </si>
  <si>
    <t>0DWJ0000024U</t>
    <phoneticPr fontId="3" type="noConversion"/>
  </si>
  <si>
    <t>PBD1114P0101</t>
    <phoneticPr fontId="3" type="noConversion"/>
  </si>
  <si>
    <t>WJ JJR CARTON XN 96141824</t>
    <phoneticPr fontId="3" type="noConversion"/>
  </si>
  <si>
    <t>0DWJ0000025U</t>
    <phoneticPr fontId="3" type="noConversion"/>
  </si>
  <si>
    <t>PBD1120P0101</t>
    <phoneticPr fontId="3" type="noConversion"/>
  </si>
  <si>
    <t>WJ JJR WOOD CARTON XN 96242172</t>
    <phoneticPr fontId="3" type="noConversion"/>
  </si>
  <si>
    <t>0DWJ0000026U</t>
    <phoneticPr fontId="3" type="noConversion"/>
  </si>
  <si>
    <t>PC</t>
    <phoneticPr fontId="3" type="noConversion"/>
  </si>
  <si>
    <t>HKD</t>
    <phoneticPr fontId="3" type="noConversion"/>
  </si>
  <si>
    <t>0DWJ0000027U</t>
    <phoneticPr fontId="3" type="noConversion"/>
  </si>
  <si>
    <t>0DWJ0000005U</t>
    <phoneticPr fontId="3" type="noConversion"/>
  </si>
  <si>
    <t>PCD9395P0101</t>
    <phoneticPr fontId="3" type="noConversion"/>
  </si>
  <si>
    <t>WETJET TONKA CA 4CT OUTERCASE 92292801</t>
    <phoneticPr fontId="3" type="noConversion"/>
  </si>
  <si>
    <t>0DWJ0000011U</t>
    <phoneticPr fontId="3" type="noConversion"/>
  </si>
  <si>
    <t>PCD9396P0101</t>
    <phoneticPr fontId="3" type="noConversion"/>
  </si>
  <si>
    <t>WETJET TONKA CA 4CT OUTERCASE 92292802</t>
    <phoneticPr fontId="3" type="noConversion"/>
  </si>
  <si>
    <t>PCD9397P0101</t>
    <phoneticPr fontId="3" type="noConversion"/>
  </si>
  <si>
    <t>WJ WOODY   US 4CT OUTERCASE 92304197</t>
    <phoneticPr fontId="3" type="noConversion"/>
  </si>
  <si>
    <t>PCD9398P0101</t>
    <phoneticPr fontId="3" type="noConversion"/>
  </si>
  <si>
    <t>WJ WOODY REMOVE NEW CA 4CT CTN92304199</t>
    <phoneticPr fontId="3" type="noConversion"/>
  </si>
  <si>
    <t>PCD9381P0101</t>
    <phoneticPr fontId="3" type="noConversion"/>
  </si>
  <si>
    <t>JACK WETJET BTS US 4CT OUTERCASE95784839</t>
    <phoneticPr fontId="3" type="noConversion"/>
  </si>
  <si>
    <t>PCD9394P0101</t>
    <phoneticPr fontId="3" type="noConversion"/>
  </si>
  <si>
    <t>WETJET TONKA FACEBOOK 48CT 99601870</t>
    <phoneticPr fontId="3" type="noConversion"/>
  </si>
  <si>
    <t>Y9054</t>
    <phoneticPr fontId="3" type="noConversion"/>
  </si>
  <si>
    <t>RMB</t>
    <phoneticPr fontId="3" type="noConversion"/>
  </si>
  <si>
    <t>含VAT 17%</t>
    <phoneticPr fontId="3" type="noConversion"/>
  </si>
  <si>
    <t xml:space="preserve">PCD9549P0101 </t>
    <phoneticPr fontId="3" type="noConversion"/>
  </si>
  <si>
    <t>WETJET TANGO NA 4CT OUTERCASE92293991</t>
    <phoneticPr fontId="3" type="noConversion"/>
  </si>
  <si>
    <t>PCD9755P0101</t>
    <phoneticPr fontId="3" type="noConversion"/>
  </si>
  <si>
    <t>WJ JJR OUTERCASE 4CT NX 96153449</t>
    <phoneticPr fontId="3" type="noConversion"/>
  </si>
  <si>
    <t>Y9039</t>
    <phoneticPr fontId="3" type="noConversion"/>
  </si>
  <si>
    <t>H9092</t>
    <phoneticPr fontId="3" type="noConversion"/>
  </si>
  <si>
    <t>0DWJ0000028U</t>
    <phoneticPr fontId="3" type="noConversion"/>
  </si>
  <si>
    <t>0DWJ0000029U</t>
    <phoneticPr fontId="3" type="noConversion"/>
  </si>
  <si>
    <t>WJ通用</t>
    <phoneticPr fontId="3" type="noConversion"/>
  </si>
  <si>
    <t>PLD5977P010</t>
    <phoneticPr fontId="3" type="noConversion"/>
  </si>
  <si>
    <t>含VAT 17%</t>
    <phoneticPr fontId="3" type="noConversion"/>
  </si>
  <si>
    <t>PLD5978P010</t>
    <phoneticPr fontId="3" type="noConversion"/>
  </si>
  <si>
    <t>WJ通用</t>
    <phoneticPr fontId="3" type="noConversion"/>
  </si>
  <si>
    <t>S9171</t>
    <phoneticPr fontId="3" type="noConversion"/>
  </si>
  <si>
    <t>US通用</t>
    <phoneticPr fontId="3" type="noConversion"/>
  </si>
  <si>
    <t>CN通用&amp;24U</t>
    <phoneticPr fontId="3" type="noConversion"/>
  </si>
  <si>
    <t>PLD7133P0101</t>
    <phoneticPr fontId="3" type="noConversion"/>
  </si>
  <si>
    <t>PC</t>
    <phoneticPr fontId="3" type="noConversion"/>
  </si>
  <si>
    <t>PLD6819P0101</t>
    <phoneticPr fontId="3" type="noConversion"/>
  </si>
  <si>
    <t>OUTERCASE PLACARD/LABEL 92291554</t>
    <phoneticPr fontId="3" type="noConversion"/>
  </si>
  <si>
    <t>0DWJ00000021U</t>
    <phoneticPr fontId="3" type="noConversion"/>
  </si>
  <si>
    <t>0DWJ0000005U/7U/10U</t>
    <phoneticPr fontId="3" type="noConversion"/>
  </si>
  <si>
    <t>0DWJ0000006N/8N</t>
    <phoneticPr fontId="3" type="noConversion"/>
  </si>
  <si>
    <t>WJ共用25U&amp;26U</t>
    <phoneticPr fontId="3" type="noConversion"/>
  </si>
  <si>
    <t>PMD0247P0101</t>
    <phoneticPr fontId="3" type="noConversion"/>
  </si>
  <si>
    <t>WETJET US OWNERS MANUAL 92056840</t>
    <phoneticPr fontId="3" type="noConversion"/>
  </si>
  <si>
    <t>WJ-US共用&amp;24U</t>
    <phoneticPr fontId="3" type="noConversion"/>
  </si>
  <si>
    <t>PMD0249P0101</t>
    <phoneticPr fontId="3" type="noConversion"/>
  </si>
  <si>
    <t>WETJET CA OWNERS MANUAL 92056842</t>
    <phoneticPr fontId="3" type="noConversion"/>
  </si>
  <si>
    <t>WJ-CA共用&amp;24U</t>
    <phoneticPr fontId="3" type="noConversion"/>
  </si>
  <si>
    <t>X9052</t>
    <phoneticPr fontId="3" type="noConversion"/>
  </si>
  <si>
    <t>PPD1505P010</t>
    <phoneticPr fontId="3" type="noConversion"/>
  </si>
  <si>
    <t>W9159</t>
    <phoneticPr fontId="3" type="noConversion"/>
  </si>
  <si>
    <t>PPD1745P0101</t>
    <phoneticPr fontId="3" type="noConversion"/>
  </si>
  <si>
    <t>H0063</t>
    <phoneticPr fontId="3" type="noConversion"/>
  </si>
  <si>
    <t>HANG FUNG INTERNATIONAL INDUSTRIAL</t>
    <phoneticPr fontId="3" type="noConversion"/>
  </si>
  <si>
    <t>PSD4149P0104</t>
    <phoneticPr fontId="3" type="noConversion"/>
  </si>
  <si>
    <t>WJ通用（25U/26U)</t>
    <phoneticPr fontId="3" type="noConversion"/>
  </si>
  <si>
    <t>PSD4744P0101</t>
    <phoneticPr fontId="3" type="noConversion"/>
  </si>
  <si>
    <t>PSD4745P0101</t>
    <phoneticPr fontId="3" type="noConversion"/>
  </si>
  <si>
    <t>PSD4746P0101</t>
    <phoneticPr fontId="3" type="noConversion"/>
  </si>
  <si>
    <t>WJ通用（28U/29U)</t>
    <phoneticPr fontId="3" type="noConversion"/>
  </si>
  <si>
    <t>PSD4621P0101</t>
    <phoneticPr fontId="3" type="noConversion"/>
  </si>
  <si>
    <t>INSERT CARD 1(382x287mm) 92279491</t>
    <phoneticPr fontId="3" type="noConversion"/>
  </si>
  <si>
    <t>0DWJ0000021U</t>
    <phoneticPr fontId="3" type="noConversion"/>
  </si>
  <si>
    <t>PSD4622P0101</t>
    <phoneticPr fontId="3" type="noConversion"/>
  </si>
  <si>
    <t>INSERT CARD 2(382x299mm) 92279498</t>
    <phoneticPr fontId="3" type="noConversion"/>
  </si>
  <si>
    <t>0DWJ0000021U</t>
    <phoneticPr fontId="3" type="noConversion"/>
  </si>
  <si>
    <t>PSD4623P0101</t>
    <phoneticPr fontId="3" type="noConversion"/>
  </si>
  <si>
    <t>INSERT CARD 3(287x299mm) 92279501</t>
    <phoneticPr fontId="3" type="noConversion"/>
  </si>
  <si>
    <t>0DWJ0000005U</t>
    <phoneticPr fontId="3" type="noConversion"/>
  </si>
  <si>
    <t>0DWJ0000006U</t>
    <phoneticPr fontId="3" type="noConversion"/>
  </si>
  <si>
    <t>0DWJ0000007U</t>
    <phoneticPr fontId="3" type="noConversion"/>
  </si>
  <si>
    <t>0DWJ0000008U</t>
    <phoneticPr fontId="3" type="noConversion"/>
  </si>
  <si>
    <t>0DWJ0000010U</t>
    <phoneticPr fontId="3" type="noConversion"/>
  </si>
  <si>
    <t>Unit price</t>
    <phoneticPr fontId="3" type="noConversion"/>
  </si>
  <si>
    <r>
      <t>EX-Work price +</t>
    </r>
    <r>
      <rPr>
        <sz val="10"/>
        <color indexed="12"/>
        <rFont val="宋体"/>
        <family val="3"/>
        <charset val="134"/>
      </rPr>
      <t>运费</t>
    </r>
    <r>
      <rPr>
        <sz val="10"/>
        <color indexed="12"/>
        <rFont val="Arial"/>
        <family val="2"/>
      </rPr>
      <t xml:space="preserve"> HK$9316 /144RL</t>
    </r>
    <phoneticPr fontId="3" type="noConversion"/>
  </si>
  <si>
    <t>含运费</t>
    <phoneticPr fontId="3" type="noConversion"/>
  </si>
  <si>
    <t>含运费</t>
    <phoneticPr fontId="3" type="noConversion"/>
  </si>
  <si>
    <t>Vent Valve assembly</t>
    <phoneticPr fontId="3" type="noConversion"/>
  </si>
  <si>
    <t>Unit price(US$/PC)</t>
    <phoneticPr fontId="3" type="noConversion"/>
  </si>
  <si>
    <t>Vent valve + Vent Module</t>
    <phoneticPr fontId="3" type="noConversion"/>
  </si>
  <si>
    <t>Increased 
amount(US$/PC)</t>
    <phoneticPr fontId="3" type="noConversion"/>
  </si>
  <si>
    <t>Increased 
%/PC</t>
    <phoneticPr fontId="3" type="noConversion"/>
  </si>
  <si>
    <r>
      <t xml:space="preserve">From </t>
    </r>
    <r>
      <rPr>
        <sz val="10"/>
        <color indexed="10"/>
        <rFont val="宋体"/>
        <family val="3"/>
        <charset val="134"/>
      </rPr>
      <t>WUXI MI</t>
    </r>
    <phoneticPr fontId="3" type="noConversion"/>
  </si>
  <si>
    <r>
      <t xml:space="preserve">from </t>
    </r>
    <r>
      <rPr>
        <sz val="10"/>
        <color indexed="10"/>
        <rFont val="宋体"/>
        <family val="3"/>
        <charset val="134"/>
      </rPr>
      <t>Monaco &amp; MI</t>
    </r>
    <phoneticPr fontId="3" type="noConversion"/>
  </si>
  <si>
    <t>PBD1320P0101</t>
  </si>
  <si>
    <t>JJR WJ WOOD CARTON NA 96920747</t>
  </si>
  <si>
    <t>JJR WJ PINK CARTON NA 97061717</t>
  </si>
  <si>
    <t>0DWJ0000031U</t>
    <phoneticPr fontId="3" type="noConversion"/>
  </si>
  <si>
    <t>0DWJ0000032U</t>
    <phoneticPr fontId="3" type="noConversion"/>
  </si>
  <si>
    <t>PCDA240P0101</t>
  </si>
  <si>
    <t>PCDA246P0101</t>
  </si>
  <si>
    <t>JJR WJ WOOD NA 2CT OUTERCASE 97008382</t>
  </si>
  <si>
    <t>JJR WJ PINK NA 2CT OUTERCASE 96978082</t>
  </si>
  <si>
    <t>PCDA300P0101</t>
    <phoneticPr fontId="3" type="noConversion"/>
  </si>
  <si>
    <t>含VAT 17%</t>
    <phoneticPr fontId="3" type="noConversion"/>
  </si>
  <si>
    <t>PLD7346P0101</t>
    <phoneticPr fontId="3" type="noConversion"/>
  </si>
  <si>
    <t>US通用</t>
    <phoneticPr fontId="3" type="noConversion"/>
  </si>
  <si>
    <t>PSD4847P0101</t>
    <phoneticPr fontId="3" type="noConversion"/>
  </si>
  <si>
    <t>WJ通用（28U/29U)</t>
    <phoneticPr fontId="3" type="noConversion"/>
  </si>
  <si>
    <t>Y9039</t>
    <phoneticPr fontId="3" type="noConversion"/>
  </si>
  <si>
    <t>PSD4848P0101</t>
    <phoneticPr fontId="3" type="noConversion"/>
  </si>
  <si>
    <t>WJ通用</t>
    <phoneticPr fontId="3" type="noConversion"/>
  </si>
  <si>
    <r>
      <t xml:space="preserve">Lead-free solding wire 0.8mm </t>
    </r>
    <r>
      <rPr>
        <sz val="9"/>
        <rFont val="宋体"/>
        <family val="3"/>
        <charset val="134"/>
      </rPr>
      <t>锡线</t>
    </r>
    <phoneticPr fontId="34" type="noConversion"/>
  </si>
  <si>
    <r>
      <t>stannum stick(</t>
    </r>
    <r>
      <rPr>
        <sz val="9"/>
        <rFont val="宋体"/>
        <family val="3"/>
        <charset val="134"/>
      </rPr>
      <t>锡条</t>
    </r>
    <r>
      <rPr>
        <sz val="9"/>
        <rFont val="Arial"/>
        <family val="2"/>
      </rPr>
      <t>)</t>
    </r>
    <phoneticPr fontId="34" type="noConversion"/>
  </si>
  <si>
    <t>2013.08.08</t>
    <phoneticPr fontId="3" type="noConversion"/>
  </si>
  <si>
    <t>USD</t>
    <phoneticPr fontId="3" type="noConversion"/>
  </si>
  <si>
    <t>2014.07.01</t>
    <phoneticPr fontId="3" type="noConversion"/>
  </si>
  <si>
    <t>MI Vent Value</t>
    <phoneticPr fontId="3" type="noConversion"/>
  </si>
  <si>
    <r>
      <rPr>
        <sz val="10"/>
        <color indexed="12"/>
        <rFont val="宋体"/>
        <family val="3"/>
        <charset val="134"/>
      </rPr>
      <t>含运费</t>
    </r>
    <r>
      <rPr>
        <sz val="10"/>
        <color indexed="12"/>
        <rFont val="Arial"/>
        <family val="2"/>
      </rPr>
      <t>(</t>
    </r>
    <r>
      <rPr>
        <sz val="10"/>
        <color indexed="12"/>
        <rFont val="宋体"/>
        <family val="3"/>
        <charset val="134"/>
      </rPr>
      <t>尚未用于生产）</t>
    </r>
    <phoneticPr fontId="3" type="noConversion"/>
  </si>
  <si>
    <t>0DWJ0000030U</t>
    <phoneticPr fontId="3" type="noConversion"/>
  </si>
  <si>
    <t>JJR WJ PURPLE NA 2CT OUTERCASE 97008381</t>
    <phoneticPr fontId="3" type="noConversion"/>
  </si>
  <si>
    <t>JJR WJ PURPLE CARTON NA 96899127</t>
    <phoneticPr fontId="3" type="noConversion"/>
  </si>
  <si>
    <t>0DWJ0000030U</t>
    <phoneticPr fontId="3" type="noConversion"/>
  </si>
  <si>
    <t>0DWJ0000031U</t>
    <phoneticPr fontId="3" type="noConversion"/>
  </si>
  <si>
    <t>PC</t>
    <phoneticPr fontId="3" type="noConversion"/>
  </si>
  <si>
    <t>HKD</t>
    <phoneticPr fontId="3" type="noConversion"/>
  </si>
  <si>
    <t>PBD1333P0101</t>
    <phoneticPr fontId="3" type="noConversion"/>
  </si>
  <si>
    <t>0DWJ0000032U</t>
    <phoneticPr fontId="3" type="noConversion"/>
  </si>
  <si>
    <t>MEE025300001</t>
  </si>
  <si>
    <t>SCREW M3X12</t>
  </si>
  <si>
    <t>2014.10.13</t>
    <phoneticPr fontId="3" type="noConversion"/>
  </si>
  <si>
    <t>HWX006300000</t>
    <phoneticPr fontId="3" type="noConversion"/>
  </si>
  <si>
    <t>HWX006400000</t>
    <phoneticPr fontId="3" type="noConversion"/>
  </si>
  <si>
    <t>WJ Wood 20x500ml bottle IPS 97251060</t>
  </si>
  <si>
    <t>PBD1321P0101</t>
    <phoneticPr fontId="3" type="noConversion"/>
  </si>
  <si>
    <t>2015.01.15</t>
  </si>
  <si>
    <t>CIF HK</t>
    <phoneticPr fontId="3" type="noConversion"/>
  </si>
  <si>
    <r>
      <rPr>
        <sz val="10"/>
        <color rgb="FF0000FF"/>
        <rFont val="宋体"/>
        <family val="3"/>
        <charset val="134"/>
      </rPr>
      <t>单价</t>
    </r>
    <r>
      <rPr>
        <sz val="10"/>
        <color rgb="FF0000FF"/>
        <rFont val="Arial"/>
        <family val="2"/>
      </rPr>
      <t>+</t>
    </r>
    <r>
      <rPr>
        <sz val="10"/>
        <color rgb="FF0000FF"/>
        <rFont val="宋体"/>
        <family val="3"/>
        <charset val="134"/>
      </rPr>
      <t>运费</t>
    </r>
    <phoneticPr fontId="3" type="noConversion"/>
  </si>
  <si>
    <t>FOB Brockville</t>
    <phoneticPr fontId="3" type="noConversion"/>
  </si>
  <si>
    <t>广东恒晖彩印机器设备厂有限公司</t>
  </si>
  <si>
    <t>PAD0108P0101</t>
  </si>
  <si>
    <t>深圳市中永发应用材料有限公司</t>
  </si>
  <si>
    <t>PROTECTIVE FILM 1-97272199</t>
  </si>
  <si>
    <t>PROTECTIVE FILM 2-97274265</t>
  </si>
  <si>
    <t>FILM SHEET 97274266</t>
  </si>
  <si>
    <t>C0008</t>
  </si>
  <si>
    <t>CHING MING FASTENER CO., LTD</t>
  </si>
  <si>
    <t>Kowloon International Industries Co</t>
  </si>
  <si>
    <t>东莞市摩吉电子有限公司</t>
  </si>
  <si>
    <t>深圳市佰瑞兴实业有限公司</t>
  </si>
  <si>
    <t>D9107</t>
  </si>
  <si>
    <t>东莞市津泰化工有限公司</t>
  </si>
  <si>
    <t>Sun Hing Printing Co., Ltd.</t>
  </si>
  <si>
    <t>Toppan Yau Yue Paper Products LTD.</t>
  </si>
  <si>
    <t>W9159</t>
  </si>
  <si>
    <r>
      <t>CIF price(</t>
    </r>
    <r>
      <rPr>
        <sz val="10"/>
        <rFont val="宋体"/>
        <family val="3"/>
        <charset val="134"/>
      </rPr>
      <t>单价含运费）</t>
    </r>
    <phoneticPr fontId="3" type="noConversion"/>
  </si>
  <si>
    <t>THB</t>
    <phoneticPr fontId="3" type="noConversion"/>
  </si>
  <si>
    <r>
      <t>CIF price(</t>
    </r>
    <r>
      <rPr>
        <sz val="10"/>
        <rFont val="宋体"/>
        <family val="3"/>
        <charset val="134"/>
      </rPr>
      <t>单价含运费）</t>
    </r>
    <phoneticPr fontId="3" type="noConversion"/>
  </si>
  <si>
    <t>ESA00210001</t>
    <phoneticPr fontId="34" type="noConversion"/>
  </si>
  <si>
    <t>EEK01090002</t>
    <phoneticPr fontId="3" type="noConversion"/>
  </si>
  <si>
    <t>EEK01100002</t>
    <phoneticPr fontId="3" type="noConversion"/>
  </si>
  <si>
    <t>MSS01430001</t>
    <phoneticPr fontId="3" type="noConversion"/>
  </si>
  <si>
    <t>MSS01440001</t>
    <phoneticPr fontId="3" type="noConversion"/>
  </si>
  <si>
    <t>MSS01450002</t>
    <phoneticPr fontId="3" type="noConversion"/>
  </si>
  <si>
    <t xml:space="preserve">Spray Nozzle for wet jet </t>
  </si>
  <si>
    <t>RPD2610C001</t>
  </si>
  <si>
    <t>Spray Nozzle for infinity</t>
  </si>
  <si>
    <t>RPD3456C0001</t>
  </si>
  <si>
    <t>SansYu</t>
  </si>
  <si>
    <t>2015.02.10</t>
  </si>
  <si>
    <t>USD</t>
  </si>
  <si>
    <t>WJ MP 20x500ml bottle IPS 97251063</t>
    <phoneticPr fontId="3" type="noConversion"/>
  </si>
  <si>
    <t>2014.07.01</t>
    <phoneticPr fontId="3" type="noConversion"/>
  </si>
  <si>
    <t>USD</t>
    <phoneticPr fontId="3" type="noConversion"/>
  </si>
  <si>
    <t>RPA26990001</t>
    <phoneticPr fontId="3" type="noConversion"/>
  </si>
  <si>
    <t>PCDA475P0101</t>
  </si>
  <si>
    <t>0DFN0000010U</t>
  </si>
  <si>
    <t>PSD4968P0101</t>
  </si>
  <si>
    <r>
      <t>含</t>
    </r>
    <r>
      <rPr>
        <sz val="9"/>
        <rFont val="Arial"/>
        <family val="2"/>
      </rPr>
      <t>VAT 3%</t>
    </r>
  </si>
  <si>
    <t>成品</t>
    <phoneticPr fontId="3" type="noConversion"/>
  </si>
  <si>
    <t>生效日期</t>
    <phoneticPr fontId="3" type="noConversion"/>
  </si>
  <si>
    <t>Unit price</t>
    <phoneticPr fontId="3" type="noConversion"/>
  </si>
  <si>
    <t>备注</t>
    <phoneticPr fontId="3" type="noConversion"/>
  </si>
  <si>
    <t>MES024500001</t>
    <phoneticPr fontId="3" type="noConversion"/>
  </si>
  <si>
    <t>Screw M4X18</t>
    <phoneticPr fontId="3" type="noConversion"/>
  </si>
  <si>
    <t>PC</t>
    <phoneticPr fontId="3" type="noConversion"/>
  </si>
  <si>
    <t>HKD</t>
    <phoneticPr fontId="3" type="noConversion"/>
  </si>
  <si>
    <t>MES024700002</t>
    <phoneticPr fontId="3" type="noConversion"/>
  </si>
  <si>
    <t>SCREW M4X10 SUS</t>
    <phoneticPr fontId="3" type="noConversion"/>
  </si>
  <si>
    <t>MES025500001</t>
    <phoneticPr fontId="3" type="noConversion"/>
  </si>
  <si>
    <t>Screw, Frame 3.0X15</t>
    <phoneticPr fontId="3" type="noConversion"/>
  </si>
  <si>
    <t>MES025600001</t>
    <phoneticPr fontId="3" type="noConversion"/>
  </si>
  <si>
    <t>Screw Pump 2.5X10</t>
    <phoneticPr fontId="3" type="noConversion"/>
  </si>
  <si>
    <t>MES025700001</t>
    <phoneticPr fontId="3" type="noConversion"/>
  </si>
  <si>
    <t>Screw, Frame/ Ujoint 3.0X10</t>
    <phoneticPr fontId="3" type="noConversion"/>
  </si>
  <si>
    <t>MPR078000006</t>
    <phoneticPr fontId="3" type="noConversion"/>
  </si>
  <si>
    <t>LEAD WIRE-BODY;UL1430 AWG22</t>
    <phoneticPr fontId="3" type="noConversion"/>
  </si>
  <si>
    <t>M9135</t>
    <phoneticPr fontId="3" type="noConversion"/>
  </si>
  <si>
    <t>RMB</t>
    <phoneticPr fontId="3" type="noConversion"/>
  </si>
  <si>
    <t>EEK020100006</t>
    <phoneticPr fontId="3" type="noConversion"/>
  </si>
  <si>
    <t>Handgrip wire</t>
    <phoneticPr fontId="3" type="noConversion"/>
  </si>
  <si>
    <t>EEK020200006</t>
    <phoneticPr fontId="3" type="noConversion"/>
  </si>
  <si>
    <t>Twist Wire-body</t>
    <phoneticPr fontId="3" type="noConversion"/>
  </si>
  <si>
    <t>EEK020900006</t>
    <phoneticPr fontId="3" type="noConversion"/>
  </si>
  <si>
    <t>EEK021000006</t>
    <phoneticPr fontId="3" type="noConversion"/>
  </si>
  <si>
    <t>PLD5977P010</t>
    <phoneticPr fontId="3" type="noConversion"/>
  </si>
  <si>
    <t>含VAT 17%</t>
    <phoneticPr fontId="3" type="noConversion"/>
  </si>
  <si>
    <t>PLD5978P010</t>
    <phoneticPr fontId="3" type="noConversion"/>
  </si>
  <si>
    <t>S9171</t>
    <phoneticPr fontId="3" type="noConversion"/>
  </si>
  <si>
    <t>PAD0105P0101</t>
    <phoneticPr fontId="3" type="noConversion"/>
  </si>
  <si>
    <t>SQUARE LABEL 97177767</t>
    <phoneticPr fontId="3" type="noConversion"/>
  </si>
  <si>
    <t>B9066</t>
    <phoneticPr fontId="3" type="noConversion"/>
  </si>
  <si>
    <t>PC</t>
    <phoneticPr fontId="3" type="noConversion"/>
  </si>
  <si>
    <t>RMB</t>
    <phoneticPr fontId="3" type="noConversion"/>
  </si>
  <si>
    <t>PAD0106P0101</t>
    <phoneticPr fontId="3" type="noConversion"/>
  </si>
  <si>
    <t>3M GLUE DOT (15MM) 97318601</t>
    <phoneticPr fontId="3" type="noConversion"/>
  </si>
  <si>
    <t>PAD0107P0101</t>
    <phoneticPr fontId="3" type="noConversion"/>
  </si>
  <si>
    <t>TRANSPARENT TAPE TO FIX BOTTLE 97177597</t>
    <phoneticPr fontId="3" type="noConversion"/>
  </si>
  <si>
    <t>PPD1851P0101</t>
    <phoneticPr fontId="3" type="noConversion"/>
  </si>
  <si>
    <t>POLYBAG FOR HANDLE/POLE 97177713</t>
    <phoneticPr fontId="3" type="noConversion"/>
  </si>
  <si>
    <t>PPD1856P0101</t>
    <phoneticPr fontId="3" type="noConversion"/>
  </si>
  <si>
    <t>PPD1855P0101</t>
    <phoneticPr fontId="3" type="noConversion"/>
  </si>
  <si>
    <t>PBD1405P0101</t>
    <phoneticPr fontId="3" type="noConversion"/>
  </si>
  <si>
    <t>PURPLE OHB CARTON 97177541</t>
    <phoneticPr fontId="3" type="noConversion"/>
  </si>
  <si>
    <t>0DFN0000006U</t>
    <phoneticPr fontId="3" type="noConversion"/>
  </si>
  <si>
    <t>HKD</t>
    <phoneticPr fontId="3" type="noConversion"/>
  </si>
  <si>
    <t>0DFN0000007U</t>
    <phoneticPr fontId="3" type="noConversion"/>
  </si>
  <si>
    <t>0DFN0000006U</t>
    <phoneticPr fontId="3" type="noConversion"/>
  </si>
  <si>
    <t>S0019</t>
    <phoneticPr fontId="3" type="noConversion"/>
  </si>
  <si>
    <t>PCDA452P0101</t>
    <phoneticPr fontId="3" type="noConversion"/>
  </si>
  <si>
    <t>PURPLE ITB 2CT OUTERCASE 97177675</t>
    <phoneticPr fontId="3" type="noConversion"/>
  </si>
  <si>
    <t>PC</t>
    <phoneticPr fontId="3" type="noConversion"/>
  </si>
  <si>
    <t>PCDA453P0101</t>
    <phoneticPr fontId="3" type="noConversion"/>
  </si>
  <si>
    <t>PURPLE OHB 2CT OUTERCASE 97177528</t>
    <phoneticPr fontId="3" type="noConversion"/>
  </si>
  <si>
    <t>0DFN0000006U</t>
    <phoneticPr fontId="3" type="noConversion"/>
  </si>
  <si>
    <t>HKD</t>
    <phoneticPr fontId="3" type="noConversion"/>
  </si>
  <si>
    <t>WOOD OHB 2CT OUTERCASE 97177529</t>
    <phoneticPr fontId="3" type="noConversion"/>
  </si>
  <si>
    <t>0DFN0000008U</t>
    <phoneticPr fontId="3" type="noConversion"/>
  </si>
  <si>
    <t>PCDA583P0101</t>
    <phoneticPr fontId="3" type="noConversion"/>
  </si>
  <si>
    <t>INFINITY FEEDER CODE OUTER CASE 97515192</t>
    <phoneticPr fontId="3" type="noConversion"/>
  </si>
  <si>
    <t>Infinity</t>
    <phoneticPr fontId="3" type="noConversion"/>
  </si>
  <si>
    <t>POLYBAG FOR BODY 97321065</t>
    <phoneticPr fontId="3" type="noConversion"/>
  </si>
  <si>
    <t>Infinity ITB</t>
    <phoneticPr fontId="3" type="noConversion"/>
  </si>
  <si>
    <t>Infinity ITB</t>
    <phoneticPr fontId="3" type="noConversion"/>
  </si>
  <si>
    <t>Infnity OHB</t>
    <phoneticPr fontId="3" type="noConversion"/>
  </si>
  <si>
    <t>Infnity OHB</t>
    <phoneticPr fontId="3" type="noConversion"/>
  </si>
  <si>
    <t>Infinity通用</t>
    <phoneticPr fontId="3" type="noConversion"/>
  </si>
  <si>
    <t>Infinity通用</t>
    <phoneticPr fontId="3" type="noConversion"/>
  </si>
  <si>
    <t>Infinity OHB</t>
    <phoneticPr fontId="3" type="noConversion"/>
  </si>
  <si>
    <t>POLYBAG FOR PADS 96163013</t>
  </si>
  <si>
    <t>PPD1856P0102</t>
    <phoneticPr fontId="3" type="noConversion"/>
  </si>
  <si>
    <t>FILM SHEET 97495338</t>
  </si>
  <si>
    <t>PPD1852P0101</t>
    <phoneticPr fontId="3" type="noConversion"/>
  </si>
  <si>
    <t>PPD1854P0101</t>
    <phoneticPr fontId="3" type="noConversion"/>
  </si>
  <si>
    <r>
      <t>WJ</t>
    </r>
    <r>
      <rPr>
        <sz val="9"/>
        <rFont val="宋体"/>
        <family val="3"/>
        <charset val="134"/>
      </rPr>
      <t>通用</t>
    </r>
    <phoneticPr fontId="3" type="noConversion"/>
  </si>
  <si>
    <t>PC</t>
    <phoneticPr fontId="3" type="noConversion"/>
  </si>
  <si>
    <t>HKD</t>
    <phoneticPr fontId="3" type="noConversion"/>
  </si>
  <si>
    <t>MSS01430001</t>
    <phoneticPr fontId="3" type="noConversion"/>
  </si>
  <si>
    <r>
      <t xml:space="preserve">Spring Coil </t>
    </r>
    <r>
      <rPr>
        <sz val="9"/>
        <rFont val="Arial Unicode MS"/>
        <family val="2"/>
        <charset val="134"/>
      </rPr>
      <t>弹簧</t>
    </r>
    <phoneticPr fontId="3" type="noConversion"/>
  </si>
  <si>
    <t>O0027</t>
    <phoneticPr fontId="3" type="noConversion"/>
  </si>
  <si>
    <t>OCEAN SPRINGS MANUFACTURE LIMITED</t>
    <phoneticPr fontId="3" type="noConversion"/>
  </si>
  <si>
    <t>MSS01440001</t>
    <phoneticPr fontId="3" type="noConversion"/>
  </si>
  <si>
    <r>
      <t xml:space="preserve">Spring,Needle Protection Plate </t>
    </r>
    <r>
      <rPr>
        <sz val="9"/>
        <rFont val="Arial Unicode MS"/>
        <family val="2"/>
        <charset val="134"/>
      </rPr>
      <t>弹簧</t>
    </r>
    <phoneticPr fontId="3" type="noConversion"/>
  </si>
  <si>
    <t>MSS01450002</t>
    <phoneticPr fontId="3" type="noConversion"/>
  </si>
  <si>
    <r>
      <t xml:space="preserve">Tension Spring </t>
    </r>
    <r>
      <rPr>
        <sz val="9"/>
        <rFont val="Arial Unicode MS"/>
        <family val="2"/>
        <charset val="134"/>
      </rPr>
      <t>弹簧</t>
    </r>
    <phoneticPr fontId="3" type="noConversion"/>
  </si>
  <si>
    <r>
      <t xml:space="preserve">Screw, Handle 3.0X10 </t>
    </r>
    <r>
      <rPr>
        <sz val="9"/>
        <rFont val="Arial Unicode MS"/>
        <family val="2"/>
        <charset val="134"/>
      </rPr>
      <t>螺丝</t>
    </r>
    <phoneticPr fontId="34" type="noConversion"/>
  </si>
  <si>
    <t>C0008</t>
    <phoneticPr fontId="3" type="noConversion"/>
  </si>
  <si>
    <t>CHING MING FASTENER CO.LTD.</t>
    <phoneticPr fontId="3" type="noConversion"/>
  </si>
  <si>
    <t>for old Handle</t>
    <phoneticPr fontId="3" type="noConversion"/>
  </si>
  <si>
    <r>
      <t xml:space="preserve">Screw, Housing Catch 3.5X15 </t>
    </r>
    <r>
      <rPr>
        <sz val="9"/>
        <rFont val="Arial Unicode MS"/>
        <family val="2"/>
        <charset val="134"/>
      </rPr>
      <t>螺丝</t>
    </r>
    <phoneticPr fontId="3" type="noConversion"/>
  </si>
  <si>
    <t>for new handle</t>
    <phoneticPr fontId="3" type="noConversion"/>
  </si>
  <si>
    <r>
      <t xml:space="preserve">Screw, Frame/ Baseplate  3.0X6 </t>
    </r>
    <r>
      <rPr>
        <sz val="9"/>
        <rFont val="Arial Unicode MS"/>
        <family val="2"/>
        <charset val="134"/>
      </rPr>
      <t>螺丝</t>
    </r>
    <phoneticPr fontId="3" type="noConversion"/>
  </si>
  <si>
    <t>MES01440000</t>
    <phoneticPr fontId="34" type="noConversion"/>
  </si>
  <si>
    <r>
      <t xml:space="preserve">Screw, Frame/ Ujoint 3.0X10 </t>
    </r>
    <r>
      <rPr>
        <sz val="9"/>
        <rFont val="Arial Unicode MS"/>
        <family val="2"/>
        <charset val="134"/>
      </rPr>
      <t>螺丝</t>
    </r>
    <phoneticPr fontId="3" type="noConversion"/>
  </si>
  <si>
    <r>
      <t xml:space="preserve">Screw, Housing 2.6X8 </t>
    </r>
    <r>
      <rPr>
        <sz val="9"/>
        <rFont val="Arial Unicode MS"/>
        <family val="2"/>
        <charset val="134"/>
      </rPr>
      <t>螺丝</t>
    </r>
    <phoneticPr fontId="3" type="noConversion"/>
  </si>
  <si>
    <t>MES014600001</t>
    <phoneticPr fontId="3" type="noConversion"/>
  </si>
  <si>
    <r>
      <t xml:space="preserve">Screw, Rear Cover 4X10  </t>
    </r>
    <r>
      <rPr>
        <sz val="9"/>
        <rFont val="Arial Unicode MS"/>
        <family val="2"/>
        <charset val="134"/>
      </rPr>
      <t>螺丝</t>
    </r>
    <phoneticPr fontId="3" type="noConversion"/>
  </si>
  <si>
    <t>MES01600000</t>
    <phoneticPr fontId="2" type="noConversion"/>
  </si>
  <si>
    <r>
      <t xml:space="preserve">Screw Pump 2.5X10 </t>
    </r>
    <r>
      <rPr>
        <sz val="9"/>
        <rFont val="Arial Unicode MS"/>
        <family val="2"/>
        <charset val="134"/>
      </rPr>
      <t>螺丝</t>
    </r>
    <phoneticPr fontId="3" type="noConversion"/>
  </si>
  <si>
    <t>HPX02490000</t>
    <phoneticPr fontId="3" type="noConversion"/>
  </si>
  <si>
    <r>
      <t>PAD PRINT PAINT PURPLE SR-H2645C(</t>
    </r>
    <r>
      <rPr>
        <sz val="9"/>
        <rFont val="宋体"/>
        <family val="3"/>
        <charset val="134"/>
      </rPr>
      <t>紫色移印油</t>
    </r>
    <r>
      <rPr>
        <sz val="9"/>
        <rFont val="Arial"/>
        <family val="2"/>
      </rPr>
      <t>)</t>
    </r>
    <phoneticPr fontId="34" type="noConversion"/>
  </si>
  <si>
    <t>E0009</t>
    <phoneticPr fontId="3" type="noConversion"/>
  </si>
  <si>
    <t>EVER BRIGHT PRINTINT MACHINE FTY</t>
    <phoneticPr fontId="3" type="noConversion"/>
  </si>
  <si>
    <t>GM</t>
    <phoneticPr fontId="3" type="noConversion"/>
  </si>
  <si>
    <t>HTX00180000</t>
    <phoneticPr fontId="34" type="noConversion"/>
  </si>
  <si>
    <r>
      <t>THINNER UKV1 HENGHUI</t>
    </r>
    <r>
      <rPr>
        <sz val="9"/>
        <color indexed="10"/>
        <rFont val="Arial"/>
        <family val="2"/>
      </rPr>
      <t/>
    </r>
    <phoneticPr fontId="34" type="noConversion"/>
  </si>
  <si>
    <t>H9284</t>
    <phoneticPr fontId="3" type="noConversion"/>
  </si>
  <si>
    <t>RMB</t>
    <phoneticPr fontId="3" type="noConversion"/>
  </si>
  <si>
    <r>
      <t>含</t>
    </r>
    <r>
      <rPr>
        <sz val="9"/>
        <rFont val="Arial"/>
        <family val="2"/>
      </rPr>
      <t>VAT 17%</t>
    </r>
    <phoneticPr fontId="3" type="noConversion"/>
  </si>
  <si>
    <t>HPX037100000</t>
    <phoneticPr fontId="3" type="noConversion"/>
  </si>
  <si>
    <t>Y9158</t>
    <phoneticPr fontId="3" type="noConversion"/>
  </si>
  <si>
    <t>深圳雅联实业有限公司</t>
    <phoneticPr fontId="3" type="noConversion"/>
  </si>
  <si>
    <t>HGX00220000</t>
    <phoneticPr fontId="3" type="noConversion"/>
  </si>
  <si>
    <r>
      <t xml:space="preserve">PAD ADHESIVE 610A  EVA </t>
    </r>
    <r>
      <rPr>
        <sz val="9"/>
        <rFont val="宋体"/>
        <family val="3"/>
        <charset val="134"/>
      </rPr>
      <t>胶水</t>
    </r>
    <r>
      <rPr>
        <sz val="9"/>
        <rFont val="Arial"/>
        <family val="2"/>
      </rPr>
      <t xml:space="preserve"> </t>
    </r>
    <phoneticPr fontId="3" type="noConversion"/>
  </si>
  <si>
    <t>N0064</t>
    <phoneticPr fontId="3" type="noConversion"/>
  </si>
  <si>
    <t>HTX00650000</t>
    <phoneticPr fontId="3" type="noConversion"/>
  </si>
  <si>
    <t>ADHESIVE 610A - THINNER</t>
    <phoneticPr fontId="3" type="noConversion"/>
  </si>
  <si>
    <t>南海南光化工包装有限公司</t>
    <phoneticPr fontId="3" type="noConversion"/>
  </si>
  <si>
    <t>PAD0075P010</t>
    <phoneticPr fontId="3" type="noConversion"/>
  </si>
  <si>
    <t>TRANSPARENT TAPE 500M</t>
    <phoneticPr fontId="3" type="noConversion"/>
  </si>
  <si>
    <t>Z9083</t>
    <phoneticPr fontId="3" type="noConversion"/>
  </si>
  <si>
    <t>RL</t>
    <phoneticPr fontId="3" type="noConversion"/>
  </si>
  <si>
    <t>TRANSPARENT TAPE 1000M</t>
    <phoneticPr fontId="3" type="noConversion"/>
  </si>
  <si>
    <t>PWD0133P0102</t>
    <phoneticPr fontId="3" type="noConversion"/>
  </si>
  <si>
    <t>CABLE TIE</t>
    <phoneticPr fontId="3" type="noConversion"/>
  </si>
  <si>
    <t>D9058</t>
    <phoneticPr fontId="3" type="noConversion"/>
  </si>
  <si>
    <t>东莞市华炜塑胶制品有限公司</t>
    <phoneticPr fontId="3" type="noConversion"/>
  </si>
  <si>
    <t>HSX00260000</t>
    <phoneticPr fontId="3" type="noConversion"/>
  </si>
  <si>
    <t>LUBRICANT BEL-RAY(2)CLEAR</t>
    <phoneticPr fontId="3" type="noConversion"/>
  </si>
  <si>
    <t>C0105</t>
    <phoneticPr fontId="3" type="noConversion"/>
  </si>
  <si>
    <t>RTV007500003</t>
    <phoneticPr fontId="3" type="noConversion"/>
  </si>
  <si>
    <t>JACK JUNIOR SHRINKABLE TUBE ID3.5 ORIGIN</t>
    <phoneticPr fontId="3" type="noConversion"/>
  </si>
  <si>
    <t>J9120</t>
    <phoneticPr fontId="3" type="noConversion"/>
  </si>
  <si>
    <t>东莞市璟琪电子有限公司</t>
    <phoneticPr fontId="3" type="noConversion"/>
  </si>
  <si>
    <t>RTV007300003</t>
    <phoneticPr fontId="3" type="noConversion"/>
  </si>
  <si>
    <t>JACK JUNIOR SHRINKABLE TUBE ID4.5 ORIGIN</t>
    <phoneticPr fontId="3" type="noConversion"/>
  </si>
  <si>
    <t>PWD0160P0102</t>
    <phoneticPr fontId="3" type="noConversion"/>
  </si>
  <si>
    <t>JACK JUNIOR SHOCK CORD</t>
    <phoneticPr fontId="3" type="noConversion"/>
  </si>
  <si>
    <t>Q9029</t>
    <phoneticPr fontId="3" type="noConversion"/>
  </si>
  <si>
    <t>深圳市勤达纺织品有限公司</t>
    <phoneticPr fontId="3" type="noConversion"/>
  </si>
  <si>
    <t>F9134</t>
  </si>
  <si>
    <r>
      <t>RPK2651R00</t>
    </r>
    <r>
      <rPr>
        <sz val="10"/>
        <color rgb="FF0000FF"/>
        <rFont val="Arial"/>
        <family val="2"/>
      </rPr>
      <t>2</t>
    </r>
  </si>
  <si>
    <t xml:space="preserve">Nozzle for Wetjet </t>
  </si>
  <si>
    <t xml:space="preserve">Nozzle for Infinity </t>
  </si>
  <si>
    <t>Trilambda pad</t>
    <phoneticPr fontId="3" type="noConversion"/>
  </si>
  <si>
    <t>FPS034200001</t>
    <phoneticPr fontId="3" type="noConversion"/>
  </si>
  <si>
    <t>WJ TRILAMBDA PAD FC 96794607/BC 80287965</t>
  </si>
  <si>
    <t>RTU007000004</t>
    <phoneticPr fontId="3" type="noConversion"/>
  </si>
  <si>
    <t>RPD269800003</t>
    <phoneticPr fontId="3" type="noConversion"/>
  </si>
  <si>
    <t>S8DWJ0000105</t>
    <phoneticPr fontId="3" type="noConversion"/>
  </si>
  <si>
    <t>Ex-Work</t>
    <phoneticPr fontId="3" type="noConversion"/>
  </si>
  <si>
    <t>Infnity OHB</t>
    <phoneticPr fontId="3" type="noConversion"/>
  </si>
  <si>
    <t>PBD1404P0101</t>
    <phoneticPr fontId="3" type="noConversion"/>
  </si>
  <si>
    <t>PURPLE ITB CARTON</t>
    <phoneticPr fontId="3" type="noConversion"/>
  </si>
  <si>
    <t>0DFN0000007U</t>
    <phoneticPr fontId="3" type="noConversion"/>
  </si>
  <si>
    <t>PC</t>
    <phoneticPr fontId="3" type="noConversion"/>
  </si>
  <si>
    <t>HKD</t>
    <phoneticPr fontId="3" type="noConversion"/>
  </si>
  <si>
    <t>PBD1424P0101</t>
    <phoneticPr fontId="3" type="noConversion"/>
  </si>
  <si>
    <t>WOOD OHB CARTON 97177543</t>
    <phoneticPr fontId="3" type="noConversion"/>
  </si>
  <si>
    <t>0DFN0000008U</t>
    <phoneticPr fontId="3" type="noConversion"/>
  </si>
  <si>
    <t>PBD1447P0101</t>
    <phoneticPr fontId="3" type="noConversion"/>
  </si>
  <si>
    <t>PURPLE OHB CARTON 97496919</t>
    <phoneticPr fontId="3" type="noConversion"/>
  </si>
  <si>
    <t>0DFN0000006U</t>
    <phoneticPr fontId="3" type="noConversion"/>
  </si>
  <si>
    <r>
      <t>PBD1427P0101</t>
    </r>
    <r>
      <rPr>
        <sz val="11"/>
        <color indexed="8"/>
        <rFont val="宋体"/>
        <family val="3"/>
        <charset val="134"/>
      </rPr>
      <t/>
    </r>
    <phoneticPr fontId="3" type="noConversion"/>
  </si>
  <si>
    <t>WOOD ITB CARTON 97371961</t>
    <phoneticPr fontId="3" type="noConversion"/>
  </si>
  <si>
    <t>0DFN0000009U</t>
    <phoneticPr fontId="3" type="noConversion"/>
  </si>
  <si>
    <t>PBD1475P0101</t>
    <phoneticPr fontId="3" type="noConversion"/>
  </si>
  <si>
    <t>CARTON 97515186</t>
    <phoneticPr fontId="3" type="noConversion"/>
  </si>
  <si>
    <t>0DFN0000010U</t>
    <phoneticPr fontId="3" type="noConversion"/>
  </si>
  <si>
    <t>PBD1481P0101</t>
    <phoneticPr fontId="3" type="noConversion"/>
  </si>
  <si>
    <t>PURPLE OHB(PINK BCA)CARTON 97525634</t>
    <phoneticPr fontId="3" type="noConversion"/>
  </si>
  <si>
    <t>0DFN0000011U</t>
    <phoneticPr fontId="3" type="noConversion"/>
  </si>
  <si>
    <t>PCDA478P0101</t>
    <phoneticPr fontId="3" type="noConversion"/>
  </si>
  <si>
    <t>WOOD ITB 2CT OUTERCASE 97177679</t>
    <phoneticPr fontId="3" type="noConversion"/>
  </si>
  <si>
    <t>PCDA614P0101</t>
    <phoneticPr fontId="3" type="noConversion"/>
  </si>
  <si>
    <t>PURPLE OHB 2CT OUTERCASE 97544592</t>
    <phoneticPr fontId="3" type="noConversion"/>
  </si>
  <si>
    <t>PCDA615P0101</t>
    <phoneticPr fontId="3" type="noConversion"/>
  </si>
  <si>
    <t>WOOD OHB 2CT OUTERCASE 97544595</t>
    <phoneticPr fontId="3" type="noConversion"/>
  </si>
  <si>
    <t>PCDA621P0101</t>
    <phoneticPr fontId="3" type="noConversion"/>
  </si>
  <si>
    <t>PURPLE OHB(PINK BCA)2CT CASE 97525635</t>
    <phoneticPr fontId="3" type="noConversion"/>
  </si>
  <si>
    <t>0DFN0000010U</t>
    <phoneticPr fontId="3" type="noConversion"/>
  </si>
  <si>
    <t>PMD0356P0101</t>
    <phoneticPr fontId="3" type="noConversion"/>
  </si>
  <si>
    <t>INSTRUCTION MANUAL 97177530</t>
    <phoneticPr fontId="3" type="noConversion"/>
  </si>
  <si>
    <t>0DFN0000006U/7U/8U/9U</t>
    <phoneticPr fontId="3" type="noConversion"/>
  </si>
  <si>
    <t>PSD4893P0101</t>
    <phoneticPr fontId="3" type="noConversion"/>
  </si>
  <si>
    <t>CARTON INSERT 97177538</t>
    <phoneticPr fontId="3" type="noConversion"/>
  </si>
  <si>
    <t>0DFN0000006U/8U</t>
    <phoneticPr fontId="3" type="noConversion"/>
  </si>
  <si>
    <t>PSD4895P0101</t>
    <phoneticPr fontId="3" type="noConversion"/>
  </si>
  <si>
    <t>CASE INSERT 97177515</t>
    <phoneticPr fontId="3" type="noConversion"/>
  </si>
  <si>
    <t>0DFN0000006U/8U</t>
    <phoneticPr fontId="3" type="noConversion"/>
  </si>
  <si>
    <t>PPD1852P0102</t>
    <phoneticPr fontId="3" type="noConversion"/>
  </si>
  <si>
    <t>POLYBAG FOR BODY 97321065</t>
    <phoneticPr fontId="3" type="noConversion"/>
  </si>
  <si>
    <t>Infinity ITB</t>
    <phoneticPr fontId="3" type="noConversion"/>
  </si>
  <si>
    <t>PPD1853P0101</t>
    <phoneticPr fontId="3" type="noConversion"/>
  </si>
  <si>
    <t>POLYBAG FOR REFILL 97177533</t>
    <phoneticPr fontId="3" type="noConversion"/>
  </si>
  <si>
    <t>Infnity</t>
    <phoneticPr fontId="3" type="noConversion"/>
  </si>
  <si>
    <t>PPD1853P0102</t>
    <phoneticPr fontId="3" type="noConversion"/>
  </si>
  <si>
    <t>MPR074900004</t>
    <phoneticPr fontId="3" type="noConversion"/>
  </si>
  <si>
    <t>Contact bridge</t>
    <phoneticPr fontId="3" type="noConversion"/>
  </si>
  <si>
    <t>Infinity</t>
    <phoneticPr fontId="3" type="noConversion"/>
  </si>
  <si>
    <t>K0055</t>
    <phoneticPr fontId="3" type="noConversion"/>
  </si>
  <si>
    <t>MPR075000007</t>
    <phoneticPr fontId="3" type="noConversion"/>
  </si>
  <si>
    <t>Contact plate positive</t>
    <phoneticPr fontId="3" type="noConversion"/>
  </si>
  <si>
    <t>MPR075100006</t>
    <phoneticPr fontId="3" type="noConversion"/>
  </si>
  <si>
    <t>Contact plate Negative</t>
    <phoneticPr fontId="3" type="noConversion"/>
  </si>
  <si>
    <t>BATTERY CONTACT</t>
    <phoneticPr fontId="3" type="noConversion"/>
  </si>
  <si>
    <t>MSS020200002</t>
    <phoneticPr fontId="3" type="noConversion"/>
  </si>
  <si>
    <t>TENSION SPRING FOR BASEPLATE</t>
    <phoneticPr fontId="3" type="noConversion"/>
  </si>
  <si>
    <t>MSS014200003</t>
    <phoneticPr fontId="34" type="noConversion"/>
  </si>
  <si>
    <r>
      <t xml:space="preserve">Spring,Dual Check Valve  </t>
    </r>
    <r>
      <rPr>
        <sz val="9"/>
        <rFont val="Arial Unicode MS"/>
        <family val="2"/>
        <charset val="134"/>
      </rPr>
      <t>弹簧</t>
    </r>
    <phoneticPr fontId="34" type="noConversion"/>
  </si>
  <si>
    <r>
      <t>WJ</t>
    </r>
    <r>
      <rPr>
        <sz val="9"/>
        <rFont val="宋体"/>
        <family val="3"/>
        <charset val="134"/>
      </rPr>
      <t>通用</t>
    </r>
    <phoneticPr fontId="3" type="noConversion"/>
  </si>
  <si>
    <t>C9178</t>
    <phoneticPr fontId="3" type="noConversion"/>
  </si>
  <si>
    <t>RAINBOW PRECISION METAL LTD</t>
    <phoneticPr fontId="3" type="noConversion"/>
  </si>
  <si>
    <t>CHECK VALVE SPRING</t>
    <phoneticPr fontId="3" type="noConversion"/>
  </si>
  <si>
    <t>MSS020400001</t>
    <phoneticPr fontId="3" type="noConversion"/>
  </si>
  <si>
    <t>金霸王（中国）有限公司</t>
  </si>
  <si>
    <t>广州市龙辉龙滤网有限公司</t>
  </si>
  <si>
    <t>东莞市寮步荣基服装辅料加工厂</t>
  </si>
  <si>
    <t>PMD0390P0101</t>
  </si>
  <si>
    <t>INSTRUCTION MANUAL BTR 90636704</t>
  </si>
  <si>
    <t>S0019</t>
    <phoneticPr fontId="3" type="noConversion"/>
  </si>
  <si>
    <t>Sun Hing Printing Co., Ltd.</t>
    <phoneticPr fontId="3" type="noConversion"/>
  </si>
  <si>
    <t>CARTON PURPLE OHB BTR 90617650</t>
  </si>
  <si>
    <t>CARTON PURPLE ITB BTR 90636811</t>
  </si>
  <si>
    <t>CARTON PURPLE ITB FDR BTR 90722455</t>
  </si>
  <si>
    <t>CARTON WOOD ITB FDR BTR 90725771</t>
  </si>
  <si>
    <t>CARTON WOOD OHB BTR 90617652</t>
  </si>
  <si>
    <t xml:space="preserve"> SHIPPER PURPLE OHB BTR 2CT LW 90617780</t>
  </si>
  <si>
    <t>SHIPPER PURPLE ITB BTR 2CT 90636812</t>
  </si>
  <si>
    <t>SHIPPER PURPLE ITB FDR BTR 2CT 90722569</t>
  </si>
  <si>
    <t>SHIPPER WOOD ITB FDR BTR 2CT 90774034</t>
  </si>
  <si>
    <t>SHIPPER WOOD OHB BTR 2CT LW 90617782</t>
  </si>
  <si>
    <t>CARTON INSERT OHB BTR 90638412</t>
  </si>
  <si>
    <t>SHIPPER INSERT OHB BTR 90766195</t>
  </si>
  <si>
    <t>CARTON INSERT ITB BTR 90759591</t>
  </si>
  <si>
    <t>EBP005600001</t>
    <phoneticPr fontId="3" type="noConversion"/>
  </si>
  <si>
    <t>PHD0040P012</t>
    <phoneticPr fontId="3" type="noConversion"/>
  </si>
  <si>
    <t>PHD0047P0101</t>
    <phoneticPr fontId="3" type="noConversion"/>
  </si>
  <si>
    <t>FILTER MESH Roll 23mm*50m</t>
    <phoneticPr fontId="3" type="noConversion"/>
  </si>
  <si>
    <t>Infinity OHB</t>
    <phoneticPr fontId="3" type="noConversion"/>
  </si>
  <si>
    <t>T9086</t>
    <phoneticPr fontId="3" type="noConversion"/>
  </si>
  <si>
    <t>东莞市千岛金属锡品有限公司</t>
    <phoneticPr fontId="3" type="noConversion"/>
  </si>
  <si>
    <t>RL</t>
    <phoneticPr fontId="3" type="noConversion"/>
  </si>
  <si>
    <t>RMB</t>
    <phoneticPr fontId="3" type="noConversion"/>
  </si>
  <si>
    <t>GM</t>
    <phoneticPr fontId="3" type="noConversion"/>
  </si>
  <si>
    <t>ML</t>
    <phoneticPr fontId="3" type="noConversion"/>
  </si>
  <si>
    <t>L9109</t>
    <phoneticPr fontId="3" type="noConversion"/>
  </si>
  <si>
    <t>广州丽盈塑料有限公司</t>
    <phoneticPr fontId="3" type="noConversion"/>
  </si>
  <si>
    <t>富力隆电子（深圳）有限公司</t>
    <phoneticPr fontId="3" type="noConversion"/>
  </si>
  <si>
    <t>PC</t>
    <phoneticPr fontId="3" type="noConversion"/>
  </si>
  <si>
    <t>HKD</t>
    <phoneticPr fontId="3" type="noConversion"/>
  </si>
  <si>
    <t>PCDA896P0101</t>
    <phoneticPr fontId="3" type="noConversion"/>
  </si>
  <si>
    <t>Y9039</t>
    <phoneticPr fontId="3" type="noConversion"/>
  </si>
  <si>
    <t>PC</t>
    <phoneticPr fontId="3" type="noConversion"/>
  </si>
  <si>
    <t>HKD</t>
    <phoneticPr fontId="3" type="noConversion"/>
  </si>
  <si>
    <t>PCDA897P0101</t>
    <phoneticPr fontId="3" type="noConversion"/>
  </si>
  <si>
    <t>0DFN0000016U/21U</t>
    <phoneticPr fontId="3" type="noConversion"/>
  </si>
  <si>
    <t>PCDA898P0101</t>
    <phoneticPr fontId="3" type="noConversion"/>
  </si>
  <si>
    <t>0DFN0000013U/18U</t>
    <phoneticPr fontId="3" type="noConversion"/>
  </si>
  <si>
    <t>PCDA899P0101</t>
    <phoneticPr fontId="3" type="noConversion"/>
  </si>
  <si>
    <t>0DFN0000014U/19U</t>
    <phoneticPr fontId="3" type="noConversion"/>
  </si>
  <si>
    <t>PCDA900P0101</t>
    <phoneticPr fontId="3" type="noConversion"/>
  </si>
  <si>
    <t>0DFN0000015U/20U</t>
    <phoneticPr fontId="3" type="noConversion"/>
  </si>
  <si>
    <t>Y9039</t>
    <phoneticPr fontId="3" type="noConversion"/>
  </si>
  <si>
    <t>PC</t>
    <phoneticPr fontId="3" type="noConversion"/>
  </si>
  <si>
    <t>HKD</t>
    <phoneticPr fontId="3" type="noConversion"/>
  </si>
  <si>
    <t>Infinity ITB</t>
    <phoneticPr fontId="3" type="noConversion"/>
  </si>
  <si>
    <t>PSD5023P0101</t>
    <phoneticPr fontId="3" type="noConversion"/>
  </si>
  <si>
    <t>Infinity OHB</t>
    <phoneticPr fontId="3" type="noConversion"/>
  </si>
  <si>
    <t>PSD5026P0101</t>
    <phoneticPr fontId="3" type="noConversion"/>
  </si>
  <si>
    <t>PSD5024P0101</t>
    <phoneticPr fontId="3" type="noConversion"/>
  </si>
  <si>
    <t>Infinity</t>
    <phoneticPr fontId="3" type="noConversion"/>
  </si>
  <si>
    <t>K0055</t>
    <phoneticPr fontId="3" type="noConversion"/>
  </si>
  <si>
    <t>PACK OF 4 SHRINK WRAPPED BATTERIES</t>
    <phoneticPr fontId="3" type="noConversion"/>
  </si>
  <si>
    <t>D0050</t>
    <phoneticPr fontId="3" type="noConversion"/>
  </si>
  <si>
    <t>含VAT 17%</t>
    <phoneticPr fontId="3" type="noConversion"/>
  </si>
  <si>
    <t>FILTER MESH ORIGINAL</t>
    <phoneticPr fontId="3" type="noConversion"/>
  </si>
  <si>
    <t>L9082</t>
    <phoneticPr fontId="3" type="noConversion"/>
  </si>
  <si>
    <t>R9095</t>
    <phoneticPr fontId="3" type="noConversion"/>
  </si>
  <si>
    <t>EEK020300006</t>
    <phoneticPr fontId="3" type="noConversion"/>
  </si>
  <si>
    <r>
      <t xml:space="preserve">Infinity </t>
    </r>
    <r>
      <rPr>
        <sz val="10"/>
        <rFont val="宋体"/>
        <family val="3"/>
        <charset val="134"/>
      </rPr>
      <t>共用</t>
    </r>
    <phoneticPr fontId="3" type="noConversion"/>
  </si>
  <si>
    <t>S0019</t>
    <phoneticPr fontId="3" type="noConversion"/>
  </si>
  <si>
    <t>Sun Hing Printing Co., Ltd.</t>
    <phoneticPr fontId="3" type="noConversion"/>
  </si>
  <si>
    <t>PC</t>
    <phoneticPr fontId="3" type="noConversion"/>
  </si>
  <si>
    <t>HKD</t>
    <phoneticPr fontId="3" type="noConversion"/>
  </si>
  <si>
    <t>PBD1534P0101</t>
    <phoneticPr fontId="3" type="noConversion"/>
  </si>
  <si>
    <t>0DFN0000017U/12U</t>
    <phoneticPr fontId="3" type="noConversion"/>
  </si>
  <si>
    <t>PBD1536P0101</t>
    <phoneticPr fontId="3" type="noConversion"/>
  </si>
  <si>
    <t>0DFN0000018U/13U</t>
    <phoneticPr fontId="3" type="noConversion"/>
  </si>
  <si>
    <t>PBD1537P0101</t>
    <phoneticPr fontId="3" type="noConversion"/>
  </si>
  <si>
    <t>0DFN0000019U/14U</t>
    <phoneticPr fontId="3" type="noConversion"/>
  </si>
  <si>
    <t>PBD1538P0101</t>
    <phoneticPr fontId="3" type="noConversion"/>
  </si>
  <si>
    <t>0DFN0000020U/15U</t>
    <phoneticPr fontId="3" type="noConversion"/>
  </si>
  <si>
    <t>PBD1535P0101</t>
    <phoneticPr fontId="3" type="noConversion"/>
  </si>
  <si>
    <t>0DFN0000021U/16U</t>
    <phoneticPr fontId="3" type="noConversion"/>
  </si>
  <si>
    <t>MEE025400001</t>
    <phoneticPr fontId="3" type="noConversion"/>
  </si>
  <si>
    <t>SCREW M3X18</t>
    <phoneticPr fontId="3" type="noConversion"/>
  </si>
  <si>
    <r>
      <t>WJ</t>
    </r>
    <r>
      <rPr>
        <sz val="9"/>
        <rFont val="宋体"/>
        <family val="3"/>
        <charset val="134"/>
      </rPr>
      <t>通用</t>
    </r>
    <phoneticPr fontId="3" type="noConversion"/>
  </si>
  <si>
    <t>C0008</t>
    <phoneticPr fontId="3" type="noConversion"/>
  </si>
  <si>
    <t>CHING MING FASTENER CO.LTD.</t>
    <phoneticPr fontId="3" type="noConversion"/>
  </si>
  <si>
    <t>PSD4894P0101</t>
    <phoneticPr fontId="3" type="noConversion"/>
  </si>
  <si>
    <t>INSERT CARD FOR BOTTLE 97298224</t>
    <phoneticPr fontId="3" type="noConversion"/>
  </si>
  <si>
    <t>2016.03.03</t>
    <phoneticPr fontId="3" type="noConversion"/>
  </si>
  <si>
    <t>2015.12.17</t>
    <phoneticPr fontId="3" type="noConversion"/>
  </si>
  <si>
    <t>2014.04.25</t>
    <phoneticPr fontId="3" type="noConversion"/>
  </si>
  <si>
    <t>2015.03.19</t>
    <phoneticPr fontId="3" type="noConversion"/>
  </si>
  <si>
    <t>2015.11.26</t>
    <phoneticPr fontId="3" type="noConversion"/>
  </si>
  <si>
    <t>2016.07.01</t>
    <phoneticPr fontId="3" type="noConversion"/>
  </si>
  <si>
    <t>S3DFN0001102</t>
    <phoneticPr fontId="3" type="noConversion"/>
  </si>
  <si>
    <t>S3DFN0001402</t>
    <phoneticPr fontId="3" type="noConversion"/>
  </si>
  <si>
    <t>S3DFN0001302</t>
    <phoneticPr fontId="3" type="noConversion"/>
  </si>
  <si>
    <t>BODY TWIST WIRE ASSEMBLY FOR 2 POLE</t>
    <phoneticPr fontId="3" type="noConversion"/>
  </si>
  <si>
    <t>HANDGRIP TWIST WIRE ASS'Y FOR 2 POLES</t>
    <phoneticPr fontId="3" type="noConversion"/>
  </si>
  <si>
    <t>BODY TWIST WIRE ASSEMBLY FOR 3 POLE</t>
    <phoneticPr fontId="3" type="noConversion"/>
  </si>
  <si>
    <t>HANDGRIP TWIST WIRE ASSEMBLY FOR 3 POLES</t>
    <phoneticPr fontId="3" type="noConversion"/>
  </si>
  <si>
    <t>MPR074900004</t>
    <phoneticPr fontId="3" type="noConversion"/>
  </si>
  <si>
    <t>Contact bridge</t>
    <phoneticPr fontId="3" type="noConversion"/>
  </si>
  <si>
    <t>Contact plate Negative</t>
    <phoneticPr fontId="3" type="noConversion"/>
  </si>
  <si>
    <t>O0027</t>
    <phoneticPr fontId="3" type="noConversion"/>
  </si>
  <si>
    <t>含VAT 17%</t>
    <phoneticPr fontId="3" type="noConversion"/>
  </si>
  <si>
    <t>CHECK VALVE SPRING</t>
    <phoneticPr fontId="3" type="noConversion"/>
  </si>
  <si>
    <t>TENSION SPRING FOR BASEPLATE</t>
    <phoneticPr fontId="3" type="noConversion"/>
  </si>
  <si>
    <t>K9159</t>
  </si>
  <si>
    <t>K9159</t>
    <phoneticPr fontId="3" type="noConversion"/>
  </si>
  <si>
    <t>SCREW M3X18</t>
    <phoneticPr fontId="3" type="noConversion"/>
  </si>
  <si>
    <t>Infinity共用</t>
    <phoneticPr fontId="3" type="noConversion"/>
  </si>
  <si>
    <t>INSERT CARD FOR CARTON 97531886</t>
    <phoneticPr fontId="3" type="noConversion"/>
  </si>
  <si>
    <t>深圳市科瑞特精密五金有限公司</t>
    <phoneticPr fontId="3" type="noConversion"/>
  </si>
  <si>
    <t>OCEAN SPRINGS MANUFACTURE LIMITED</t>
    <phoneticPr fontId="3" type="noConversion"/>
  </si>
  <si>
    <t>OCEAN SPRINGS MANUFACTURE LIMITED</t>
    <phoneticPr fontId="3" type="noConversion"/>
  </si>
  <si>
    <t>东莞彩龙五金弹簧制造有限公司</t>
  </si>
  <si>
    <t>东莞彩龙五金弹簧制造有限公司</t>
    <phoneticPr fontId="3" type="noConversion"/>
  </si>
  <si>
    <t>X9120</t>
  </si>
  <si>
    <t>PK</t>
    <phoneticPr fontId="3" type="noConversion"/>
  </si>
  <si>
    <t>PC</t>
    <phoneticPr fontId="3" type="noConversion"/>
  </si>
  <si>
    <t>HWX007000000</t>
  </si>
  <si>
    <t>WJ MP 20x500ml bottle IPS 90727856</t>
  </si>
  <si>
    <t>HWX007100000</t>
    <phoneticPr fontId="3" type="noConversion"/>
  </si>
  <si>
    <t>WJ Wood 20x500ml bottle IPS 90727855</t>
  </si>
  <si>
    <t>2016.09.23</t>
  </si>
  <si>
    <t>Beauty star</t>
    <phoneticPr fontId="3" type="noConversion"/>
  </si>
  <si>
    <t>Without VAT</t>
    <phoneticPr fontId="3" type="noConversion"/>
  </si>
  <si>
    <t>MES024500001</t>
    <phoneticPr fontId="3" type="noConversion"/>
  </si>
  <si>
    <t>Screw M4X18</t>
    <phoneticPr fontId="3" type="noConversion"/>
  </si>
  <si>
    <t>Infinity</t>
    <phoneticPr fontId="3" type="noConversion"/>
  </si>
  <si>
    <t>K9159</t>
    <phoneticPr fontId="3" type="noConversion"/>
  </si>
  <si>
    <t>深圳市科瑞特精密五金有限公司</t>
    <phoneticPr fontId="3" type="noConversion"/>
  </si>
  <si>
    <t>PC</t>
    <phoneticPr fontId="3" type="noConversion"/>
  </si>
  <si>
    <t>RMB</t>
    <phoneticPr fontId="3" type="noConversion"/>
  </si>
  <si>
    <t>MES024700002</t>
    <phoneticPr fontId="3" type="noConversion"/>
  </si>
  <si>
    <t>SCREW M4X10 SUS</t>
    <phoneticPr fontId="3" type="noConversion"/>
  </si>
  <si>
    <t>MES025500001</t>
    <phoneticPr fontId="3" type="noConversion"/>
  </si>
  <si>
    <t>Screw, Frame 3.0X15</t>
    <phoneticPr fontId="3" type="noConversion"/>
  </si>
  <si>
    <t>MES025600001</t>
    <phoneticPr fontId="3" type="noConversion"/>
  </si>
  <si>
    <t>Screw Pump 2.5X10</t>
    <phoneticPr fontId="3" type="noConversion"/>
  </si>
  <si>
    <t>MES025700001</t>
    <phoneticPr fontId="3" type="noConversion"/>
  </si>
  <si>
    <t>Screw, Frame/ Ujoint 3.0X10</t>
    <phoneticPr fontId="3" type="noConversion"/>
  </si>
  <si>
    <t>MPR078000006</t>
    <phoneticPr fontId="3" type="noConversion"/>
  </si>
  <si>
    <t>G0056</t>
    <phoneticPr fontId="3" type="noConversion"/>
  </si>
  <si>
    <t>MSS020200002</t>
    <phoneticPr fontId="3" type="noConversion"/>
  </si>
  <si>
    <t>X9120</t>
    <phoneticPr fontId="3" type="noConversion"/>
  </si>
  <si>
    <t>东莞新南利电业有限公司</t>
    <phoneticPr fontId="3" type="noConversion"/>
  </si>
  <si>
    <t>S3DFN0001202</t>
    <phoneticPr fontId="3" type="noConversion"/>
  </si>
  <si>
    <t>S3DFN0001302</t>
    <phoneticPr fontId="3" type="noConversion"/>
  </si>
  <si>
    <t>M9135</t>
    <phoneticPr fontId="3" type="noConversion"/>
  </si>
  <si>
    <t>EBP006100001</t>
    <phoneticPr fontId="3" type="noConversion"/>
  </si>
  <si>
    <t>PACK OF 4 SHRINK WRAPPED BATTERIES-NANFE</t>
    <phoneticPr fontId="3" type="noConversion"/>
  </si>
  <si>
    <t>Infinity</t>
    <phoneticPr fontId="3" type="noConversion"/>
  </si>
  <si>
    <t>K9169</t>
    <phoneticPr fontId="3" type="noConversion"/>
  </si>
  <si>
    <t>深圳市坤源冠力科技有限公司</t>
    <phoneticPr fontId="3" type="noConversion"/>
  </si>
  <si>
    <t>PK</t>
    <phoneticPr fontId="3" type="noConversion"/>
  </si>
  <si>
    <t>RMB</t>
    <phoneticPr fontId="3" type="noConversion"/>
  </si>
  <si>
    <t>含VAT 17%</t>
    <phoneticPr fontId="3" type="noConversion"/>
  </si>
  <si>
    <t>PCDA997P0101</t>
    <phoneticPr fontId="3" type="noConversion"/>
  </si>
  <si>
    <t>0DFN0000012U/17U</t>
    <phoneticPr fontId="3" type="noConversion"/>
  </si>
  <si>
    <t>0DFN00000023U</t>
    <phoneticPr fontId="3" type="noConversion"/>
  </si>
  <si>
    <t>0DFN00000022U</t>
    <phoneticPr fontId="3" type="noConversion"/>
  </si>
  <si>
    <t>PCDA998P0101</t>
    <phoneticPr fontId="3" type="noConversion"/>
  </si>
  <si>
    <t>PDD3520P0101</t>
    <phoneticPr fontId="3" type="noConversion"/>
  </si>
  <si>
    <t>PMD0409P0101</t>
    <phoneticPr fontId="3" type="noConversion"/>
  </si>
  <si>
    <t>PBD1573P0101</t>
    <phoneticPr fontId="3" type="noConversion"/>
  </si>
  <si>
    <t>0DFN0000022U</t>
    <phoneticPr fontId="3" type="noConversion"/>
  </si>
  <si>
    <t>PBD1572P0101</t>
    <phoneticPr fontId="3" type="noConversion"/>
  </si>
  <si>
    <t>PBD1571P0101</t>
    <phoneticPr fontId="3" type="noConversion"/>
  </si>
  <si>
    <t>0DFN0000023U</t>
    <phoneticPr fontId="3" type="noConversion"/>
  </si>
  <si>
    <t>0DFN0000024U</t>
    <phoneticPr fontId="3" type="noConversion"/>
  </si>
  <si>
    <r>
      <t xml:space="preserve">Infinity </t>
    </r>
    <r>
      <rPr>
        <sz val="10"/>
        <color rgb="FFFF0000"/>
        <rFont val="宋体"/>
        <family val="3"/>
        <charset val="134"/>
      </rPr>
      <t>共用</t>
    </r>
    <phoneticPr fontId="3" type="noConversion"/>
  </si>
  <si>
    <t>S0019</t>
    <phoneticPr fontId="3" type="noConversion"/>
  </si>
  <si>
    <t>PP</t>
    <phoneticPr fontId="3" type="noConversion"/>
  </si>
  <si>
    <t>INSTRUCTION MANUAL BTR 90775749</t>
    <phoneticPr fontId="3" type="noConversion"/>
  </si>
  <si>
    <t>PURPLE ITB CARTON BTR 90772179</t>
    <phoneticPr fontId="3" type="noConversion"/>
  </si>
  <si>
    <t>PURPLE OHB CARTON BTR 96535401</t>
    <phoneticPr fontId="3" type="noConversion"/>
  </si>
  <si>
    <t>WOOD OHB CARTON BTR 90696015</t>
    <phoneticPr fontId="3" type="noConversion"/>
  </si>
  <si>
    <t>PCDA999P0101</t>
    <phoneticPr fontId="3" type="noConversion"/>
  </si>
  <si>
    <t>0DFN00000024U</t>
    <phoneticPr fontId="3" type="noConversion"/>
  </si>
  <si>
    <t>Y9039</t>
    <phoneticPr fontId="3" type="noConversion"/>
  </si>
  <si>
    <t>PC</t>
    <phoneticPr fontId="3" type="noConversion"/>
  </si>
  <si>
    <t>HKD</t>
    <phoneticPr fontId="3" type="noConversion"/>
  </si>
  <si>
    <t>CARTON INSERT OHB BTR 91154571</t>
    <phoneticPr fontId="3" type="noConversion"/>
  </si>
  <si>
    <t>Purple ITB CASE BTR 2CT 90758509</t>
    <phoneticPr fontId="3" type="noConversion"/>
  </si>
  <si>
    <t>Purple OHB CASE BTR 2CT 90758559</t>
    <phoneticPr fontId="3" type="noConversion"/>
  </si>
  <si>
    <t>Wood OHB CASE BTR 2CT 90758691</t>
    <phoneticPr fontId="3" type="noConversion"/>
  </si>
  <si>
    <t>Solution(Infinity)</t>
  </si>
  <si>
    <t>2014.11.01</t>
  </si>
  <si>
    <t>THB</t>
  </si>
  <si>
    <t>2015.06.02</t>
  </si>
  <si>
    <t>2015.07.17</t>
  </si>
  <si>
    <r>
      <t>CIF price(</t>
    </r>
    <r>
      <rPr>
        <sz val="10"/>
        <color theme="1"/>
        <rFont val="宋体"/>
        <family val="3"/>
        <charset val="134"/>
      </rPr>
      <t>单价含运费）</t>
    </r>
  </si>
  <si>
    <t xml:space="preserve">Bottle </t>
  </si>
  <si>
    <t>(不再使用，已转Trilambda)</t>
  </si>
  <si>
    <t>2015.07.01</t>
  </si>
  <si>
    <r>
      <rPr>
        <sz val="10"/>
        <color theme="1"/>
        <rFont val="宋体"/>
        <family val="3"/>
        <charset val="134"/>
      </rPr>
      <t>单价</t>
    </r>
    <r>
      <rPr>
        <sz val="10"/>
        <color theme="1"/>
        <rFont val="Arial"/>
        <family val="2"/>
      </rPr>
      <t>+</t>
    </r>
    <r>
      <rPr>
        <sz val="10"/>
        <color theme="1"/>
        <rFont val="宋体"/>
        <family val="3"/>
        <charset val="134"/>
      </rPr>
      <t>运费</t>
    </r>
  </si>
  <si>
    <t>PingGao</t>
    <phoneticPr fontId="3" type="noConversion"/>
  </si>
  <si>
    <t>RTU010200001</t>
    <phoneticPr fontId="3" type="noConversion"/>
  </si>
  <si>
    <t>PU TUBE L&amp;R 120MM ER-90A</t>
    <phoneticPr fontId="3" type="noConversion"/>
  </si>
  <si>
    <t>RTU010300001</t>
    <phoneticPr fontId="3" type="noConversion"/>
  </si>
  <si>
    <t>PU TUBE LONG 230MM ER-90A</t>
    <phoneticPr fontId="3" type="noConversion"/>
  </si>
  <si>
    <t>2016.01.19</t>
  </si>
  <si>
    <t>2 &amp;3</t>
    <phoneticPr fontId="3" type="noConversion"/>
  </si>
  <si>
    <t>2011.08.31</t>
    <phoneticPr fontId="3" type="noConversion"/>
  </si>
  <si>
    <t>USD</t>
    <phoneticPr fontId="3" type="noConversion"/>
  </si>
  <si>
    <t>0303</t>
  </si>
  <si>
    <t>062/5540002283 US$3407.25/ctn</t>
    <phoneticPr fontId="3" type="noConversion"/>
  </si>
  <si>
    <t>Updated on:22 May 2017</t>
    <phoneticPr fontId="3" type="noConversion"/>
  </si>
  <si>
    <t>2017.03.01</t>
  </si>
  <si>
    <t>2017.03.01</t>
    <phoneticPr fontId="3" type="noConversion"/>
  </si>
  <si>
    <t>Wet Jet Pad FC 99244700</t>
    <phoneticPr fontId="3" type="noConversion"/>
  </si>
  <si>
    <t>HWX007700000</t>
    <phoneticPr fontId="3" type="noConversion"/>
  </si>
  <si>
    <t>WJ GEPPET WOOD 500ML BOTTLE IPS 91251331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</si>
</sst>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176" formatCode="_ * #,##0.0000_ ;_ * \-#,##0.0000_ ;_ * &quot;-&quot;??_ ;_ @_ "/>
    <numFmt numFmtId="177" formatCode="_ * #,##0_ ;_ * \-#,##0_ ;_ * &quot;-&quot;??_ ;_ @_ "/>
    <numFmt numFmtId="178" formatCode="0.0000_ "/>
    <numFmt numFmtId="179" formatCode="[$-409]dd/mmm/yy;@"/>
    <numFmt numFmtId="180" formatCode="_ * #,##0.000_ ;_ * \-#,##0.000_ ;_ * &quot;-&quot;??_ ;_ @_ "/>
    <numFmt numFmtId="181" formatCode="_ * #,##0.00000_ ;_ * \-#,##0.00000_ ;_ * &quot;-&quot;??_ ;_ @_ "/>
  </numFmts>
  <fonts count="54">
    <font>
      <sz val="12"/>
      <name val="宋体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</font>
    <font>
      <sz val="10"/>
      <color indexed="10"/>
      <name val="Arial"/>
      <family val="2"/>
    </font>
    <font>
      <b/>
      <u/>
      <sz val="10"/>
      <name val="Arial"/>
      <family val="2"/>
    </font>
    <font>
      <sz val="10"/>
      <color indexed="8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indexed="48"/>
      <name val="Arial"/>
      <family val="2"/>
    </font>
    <font>
      <sz val="10"/>
      <color indexed="14"/>
      <name val="Arial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宋体"/>
      <family val="3"/>
      <charset val="134"/>
    </font>
    <font>
      <b/>
      <u/>
      <sz val="10"/>
      <color indexed="12"/>
      <name val="宋体"/>
      <family val="3"/>
      <charset val="134"/>
    </font>
    <font>
      <b/>
      <sz val="8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sz val="9"/>
      <name val="細明體"/>
      <family val="3"/>
    </font>
    <font>
      <sz val="9"/>
      <name val="Arial Unicode MS"/>
      <family val="2"/>
      <charset val="134"/>
    </font>
    <font>
      <sz val="9"/>
      <color indexed="10"/>
      <name val="Arial"/>
      <family val="2"/>
    </font>
    <font>
      <b/>
      <sz val="9"/>
      <color indexed="81"/>
      <name val="Tahoma"/>
      <family val="2"/>
    </font>
    <font>
      <b/>
      <sz val="9"/>
      <color indexed="10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0000FF"/>
      <name val="Arial"/>
      <family val="2"/>
    </font>
    <font>
      <sz val="10"/>
      <color rgb="FF0000FF"/>
      <name val="宋体"/>
      <family val="3"/>
      <charset val="134"/>
    </font>
    <font>
      <b/>
      <sz val="9"/>
      <name val="Arial"/>
      <family val="2"/>
    </font>
    <font>
      <sz val="10"/>
      <name val="Arial Unicode MS"/>
      <family val="2"/>
      <charset val="134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  <font>
      <sz val="10"/>
      <name val="Calibri"/>
      <family val="2"/>
    </font>
    <font>
      <sz val="10"/>
      <color rgb="FFFF0000"/>
      <name val="Arial Unicode MS"/>
      <family val="2"/>
      <charset val="134"/>
    </font>
    <font>
      <sz val="9"/>
      <color rgb="FFFF0000"/>
      <name val="Arial"/>
      <family val="2"/>
    </font>
    <font>
      <sz val="10"/>
      <color rgb="FFFF0000"/>
      <name val="Calibri"/>
      <family val="2"/>
    </font>
    <font>
      <sz val="10"/>
      <color theme="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0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</borders>
  <cellStyleXfs count="49">
    <xf numFmtId="0" fontId="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16" borderId="8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2" fillId="0" borderId="0" applyNumberFormat="0" applyFill="0" applyBorder="0" applyAlignment="0" applyProtection="0"/>
    <xf numFmtId="0" fontId="1" fillId="23" borderId="9" applyNumberFormat="0" applyFont="0" applyAlignment="0" applyProtection="0">
      <alignment vertical="center"/>
    </xf>
    <xf numFmtId="178" fontId="2" fillId="0" borderId="0"/>
    <xf numFmtId="43" fontId="1" fillId="0" borderId="0" applyFont="0" applyFill="0" applyBorder="0" applyAlignment="0" applyProtection="0">
      <alignment vertical="center"/>
    </xf>
    <xf numFmtId="0" fontId="1" fillId="0" borderId="0"/>
  </cellStyleXfs>
  <cellXfs count="967">
    <xf numFmtId="0" fontId="0" fillId="0" borderId="0" xfId="0">
      <alignment vertical="center"/>
    </xf>
    <xf numFmtId="176" fontId="2" fillId="24" borderId="10" xfId="34" applyNumberFormat="1" applyFont="1" applyFill="1" applyBorder="1">
      <alignment vertical="center"/>
    </xf>
    <xf numFmtId="176" fontId="2" fillId="24" borderId="0" xfId="34" applyNumberFormat="1" applyFont="1" applyFill="1" applyBorder="1">
      <alignment vertical="center"/>
    </xf>
    <xf numFmtId="176" fontId="6" fillId="25" borderId="10" xfId="34" applyNumberFormat="1" applyFont="1" applyFill="1" applyBorder="1">
      <alignment vertical="center"/>
    </xf>
    <xf numFmtId="176" fontId="2" fillId="25" borderId="10" xfId="34" applyNumberFormat="1" applyFont="1" applyFill="1" applyBorder="1">
      <alignment vertical="center"/>
    </xf>
    <xf numFmtId="0" fontId="28" fillId="0" borderId="0" xfId="0" applyFont="1">
      <alignment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Fill="1">
      <alignment vertical="center"/>
    </xf>
    <xf numFmtId="176" fontId="6" fillId="0" borderId="10" xfId="34" applyNumberFormat="1" applyFont="1" applyFill="1" applyBorder="1" applyAlignment="1">
      <alignment horizontal="center" vertical="center"/>
    </xf>
    <xf numFmtId="176" fontId="32" fillId="24" borderId="10" xfId="34" applyNumberFormat="1" applyFont="1" applyFill="1" applyBorder="1">
      <alignment vertical="center"/>
    </xf>
    <xf numFmtId="176" fontId="32" fillId="0" borderId="10" xfId="34" applyNumberFormat="1" applyFont="1" applyFill="1" applyBorder="1" applyAlignment="1">
      <alignment horizontal="center" vertical="center"/>
    </xf>
    <xf numFmtId="0" fontId="33" fillId="0" borderId="10" xfId="44" applyFont="1" applyFill="1" applyBorder="1"/>
    <xf numFmtId="0" fontId="3" fillId="0" borderId="14" xfId="0" applyFont="1" applyFill="1" applyBorder="1">
      <alignment vertical="center"/>
    </xf>
    <xf numFmtId="0" fontId="3" fillId="0" borderId="15" xfId="0" applyFont="1" applyFill="1" applyBorder="1">
      <alignment vertical="center"/>
    </xf>
    <xf numFmtId="0" fontId="33" fillId="0" borderId="14" xfId="0" applyFont="1" applyFill="1" applyBorder="1">
      <alignment vertical="center"/>
    </xf>
    <xf numFmtId="0" fontId="33" fillId="27" borderId="14" xfId="0" applyFont="1" applyFill="1" applyBorder="1">
      <alignment vertical="center"/>
    </xf>
    <xf numFmtId="0" fontId="33" fillId="0" borderId="14" xfId="0" applyFont="1" applyFill="1" applyBorder="1" applyAlignment="1">
      <alignment horizontal="center" vertical="center"/>
    </xf>
    <xf numFmtId="0" fontId="33" fillId="0" borderId="0" xfId="0" applyFont="1" applyFill="1">
      <alignment vertical="center"/>
    </xf>
    <xf numFmtId="0" fontId="33" fillId="0" borderId="10" xfId="0" applyFont="1" applyFill="1" applyBorder="1">
      <alignment vertical="center"/>
    </xf>
    <xf numFmtId="0" fontId="33" fillId="27" borderId="10" xfId="0" applyFont="1" applyFill="1" applyBorder="1">
      <alignment vertical="center"/>
    </xf>
    <xf numFmtId="0" fontId="33" fillId="0" borderId="10" xfId="0" applyFont="1" applyFill="1" applyBorder="1" applyAlignment="1">
      <alignment horizontal="center" vertical="center"/>
    </xf>
    <xf numFmtId="0" fontId="33" fillId="0" borderId="16" xfId="0" applyFont="1" applyFill="1" applyBorder="1">
      <alignment vertical="center"/>
    </xf>
    <xf numFmtId="0" fontId="33" fillId="0" borderId="16" xfId="0" applyFont="1" applyFill="1" applyBorder="1" applyAlignment="1">
      <alignment horizontal="center" vertical="center"/>
    </xf>
    <xf numFmtId="0" fontId="33" fillId="0" borderId="17" xfId="44" applyFont="1" applyFill="1" applyBorder="1" applyAlignment="1">
      <alignment horizontal="left"/>
    </xf>
    <xf numFmtId="0" fontId="33" fillId="0" borderId="18" xfId="44" applyFont="1" applyFill="1" applyBorder="1" applyAlignment="1">
      <alignment horizontal="left"/>
    </xf>
    <xf numFmtId="0" fontId="33" fillId="0" borderId="19" xfId="44" applyFont="1" applyFill="1" applyBorder="1" applyAlignment="1">
      <alignment horizontal="left"/>
    </xf>
    <xf numFmtId="0" fontId="33" fillId="0" borderId="20" xfId="0" applyFont="1" applyFill="1" applyBorder="1">
      <alignment vertical="center"/>
    </xf>
    <xf numFmtId="3" fontId="33" fillId="27" borderId="20" xfId="0" applyNumberFormat="1" applyFont="1" applyFill="1" applyBorder="1">
      <alignment vertical="center"/>
    </xf>
    <xf numFmtId="0" fontId="33" fillId="27" borderId="20" xfId="0" applyFont="1" applyFill="1" applyBorder="1">
      <alignment vertical="center"/>
    </xf>
    <xf numFmtId="0" fontId="33" fillId="0" borderId="20" xfId="0" applyFont="1" applyFill="1" applyBorder="1" applyAlignment="1">
      <alignment horizontal="center" vertical="center"/>
    </xf>
    <xf numFmtId="0" fontId="33" fillId="0" borderId="21" xfId="0" applyFont="1" applyFill="1" applyBorder="1">
      <alignment vertical="center"/>
    </xf>
    <xf numFmtId="0" fontId="33" fillId="0" borderId="17" xfId="44" applyFont="1" applyFill="1" applyBorder="1" applyAlignment="1">
      <alignment horizontal="left" vertical="center"/>
    </xf>
    <xf numFmtId="0" fontId="33" fillId="0" borderId="19" xfId="44" applyFont="1" applyFill="1" applyBorder="1" applyAlignment="1">
      <alignment horizontal="left" vertical="center"/>
    </xf>
    <xf numFmtId="0" fontId="3" fillId="0" borderId="20" xfId="0" applyFont="1" applyFill="1" applyBorder="1">
      <alignment vertical="center"/>
    </xf>
    <xf numFmtId="0" fontId="33" fillId="0" borderId="22" xfId="44" applyFont="1" applyFill="1" applyBorder="1" applyAlignment="1">
      <alignment horizontal="left"/>
    </xf>
    <xf numFmtId="0" fontId="33" fillId="0" borderId="23" xfId="44" applyFont="1" applyFill="1" applyBorder="1" applyAlignment="1">
      <alignment horizontal="left" vertical="center" shrinkToFit="1"/>
    </xf>
    <xf numFmtId="0" fontId="33" fillId="0" borderId="23" xfId="0" applyFont="1" applyFill="1" applyBorder="1">
      <alignment vertical="center"/>
    </xf>
    <xf numFmtId="0" fontId="33" fillId="27" borderId="23" xfId="0" applyFont="1" applyFill="1" applyBorder="1">
      <alignment vertical="center"/>
    </xf>
    <xf numFmtId="0" fontId="33" fillId="0" borderId="23" xfId="0" applyFont="1" applyFill="1" applyBorder="1" applyAlignment="1">
      <alignment horizontal="center" vertical="center"/>
    </xf>
    <xf numFmtId="0" fontId="3" fillId="0" borderId="23" xfId="0" applyFont="1" applyFill="1" applyBorder="1">
      <alignment vertical="center"/>
    </xf>
    <xf numFmtId="176" fontId="28" fillId="0" borderId="0" xfId="34" applyNumberFormat="1" applyFont="1">
      <alignment vertical="center"/>
    </xf>
    <xf numFmtId="176" fontId="33" fillId="0" borderId="14" xfId="34" applyNumberFormat="1" applyFont="1" applyFill="1" applyBorder="1">
      <alignment vertical="center"/>
    </xf>
    <xf numFmtId="176" fontId="33" fillId="0" borderId="20" xfId="34" applyNumberFormat="1" applyFont="1" applyFill="1" applyBorder="1">
      <alignment vertical="center"/>
    </xf>
    <xf numFmtId="176" fontId="33" fillId="0" borderId="10" xfId="34" applyNumberFormat="1" applyFont="1" applyFill="1" applyBorder="1">
      <alignment vertical="center"/>
    </xf>
    <xf numFmtId="176" fontId="33" fillId="0" borderId="23" xfId="34" applyNumberFormat="1" applyFont="1" applyFill="1" applyBorder="1">
      <alignment vertical="center"/>
    </xf>
    <xf numFmtId="0" fontId="3" fillId="0" borderId="21" xfId="0" applyFont="1" applyFill="1" applyBorder="1">
      <alignment vertical="center"/>
    </xf>
    <xf numFmtId="0" fontId="3" fillId="0" borderId="24" xfId="0" applyFont="1" applyFill="1" applyBorder="1">
      <alignment vertical="center"/>
    </xf>
    <xf numFmtId="0" fontId="33" fillId="25" borderId="10" xfId="0" applyFont="1" applyFill="1" applyBorder="1">
      <alignment vertical="center"/>
    </xf>
    <xf numFmtId="176" fontId="2" fillId="28" borderId="26" xfId="34" applyNumberFormat="1" applyFont="1" applyFill="1" applyBorder="1">
      <alignment vertical="center"/>
    </xf>
    <xf numFmtId="176" fontId="2" fillId="28" borderId="10" xfId="34" applyNumberFormat="1" applyFont="1" applyFill="1" applyBorder="1">
      <alignment vertical="center"/>
    </xf>
    <xf numFmtId="176" fontId="2" fillId="28" borderId="28" xfId="34" applyNumberFormat="1" applyFont="1" applyFill="1" applyBorder="1">
      <alignment vertical="center"/>
    </xf>
    <xf numFmtId="177" fontId="2" fillId="28" borderId="10" xfId="34" applyNumberFormat="1" applyFont="1" applyFill="1" applyBorder="1">
      <alignment vertical="center"/>
    </xf>
    <xf numFmtId="176" fontId="6" fillId="28" borderId="29" xfId="34" applyNumberFormat="1" applyFont="1" applyFill="1" applyBorder="1">
      <alignment vertical="center"/>
    </xf>
    <xf numFmtId="177" fontId="6" fillId="28" borderId="10" xfId="34" applyNumberFormat="1" applyFont="1" applyFill="1" applyBorder="1">
      <alignment vertical="center"/>
    </xf>
    <xf numFmtId="176" fontId="6" fillId="28" borderId="10" xfId="34" applyNumberFormat="1" applyFont="1" applyFill="1" applyBorder="1">
      <alignment vertical="center"/>
    </xf>
    <xf numFmtId="176" fontId="6" fillId="28" borderId="10" xfId="34" applyNumberFormat="1" applyFont="1" applyFill="1" applyBorder="1" applyAlignment="1">
      <alignment horizontal="center" vertical="center"/>
    </xf>
    <xf numFmtId="177" fontId="6" fillId="28" borderId="25" xfId="34" applyNumberFormat="1" applyFont="1" applyFill="1" applyBorder="1">
      <alignment vertical="center"/>
    </xf>
    <xf numFmtId="177" fontId="2" fillId="28" borderId="25" xfId="34" applyNumberFormat="1" applyFont="1" applyFill="1" applyBorder="1">
      <alignment vertical="center"/>
    </xf>
    <xf numFmtId="176" fontId="2" fillId="28" borderId="10" xfId="34" applyNumberFormat="1" applyFont="1" applyFill="1" applyBorder="1" applyAlignment="1">
      <alignment horizontal="center" vertical="center"/>
    </xf>
    <xf numFmtId="176" fontId="32" fillId="0" borderId="10" xfId="34" applyNumberFormat="1" applyFont="1" applyFill="1" applyBorder="1">
      <alignment vertical="center"/>
    </xf>
    <xf numFmtId="176" fontId="32" fillId="24" borderId="26" xfId="34" applyNumberFormat="1" applyFont="1" applyFill="1" applyBorder="1">
      <alignment vertical="center"/>
    </xf>
    <xf numFmtId="0" fontId="33" fillId="25" borderId="14" xfId="0" applyFont="1" applyFill="1" applyBorder="1">
      <alignment vertical="center"/>
    </xf>
    <xf numFmtId="0" fontId="28" fillId="0" borderId="0" xfId="0" applyFont="1" applyAlignment="1">
      <alignment vertical="center" shrinkToFit="1"/>
    </xf>
    <xf numFmtId="177" fontId="28" fillId="0" borderId="0" xfId="34" applyNumberFormat="1" applyFont="1" applyAlignment="1">
      <alignment vertical="center" shrinkToFit="1"/>
    </xf>
    <xf numFmtId="0" fontId="28" fillId="0" borderId="0" xfId="0" applyFont="1" applyFill="1" applyAlignment="1">
      <alignment vertical="center" shrinkToFit="1"/>
    </xf>
    <xf numFmtId="176" fontId="33" fillId="0" borderId="29" xfId="34" applyNumberFormat="1" applyFont="1" applyFill="1" applyBorder="1">
      <alignment vertical="center"/>
    </xf>
    <xf numFmtId="0" fontId="28" fillId="0" borderId="0" xfId="0" applyFont="1" applyAlignment="1">
      <alignment horizontal="center" vertical="center" shrinkToFit="1"/>
    </xf>
    <xf numFmtId="0" fontId="28" fillId="25" borderId="17" xfId="0" applyFont="1" applyFill="1" applyBorder="1" applyAlignment="1">
      <alignment vertical="center" shrinkToFit="1"/>
    </xf>
    <xf numFmtId="0" fontId="28" fillId="25" borderId="14" xfId="0" applyFont="1" applyFill="1" applyBorder="1" applyAlignment="1">
      <alignment vertical="center" shrinkToFit="1"/>
    </xf>
    <xf numFmtId="177" fontId="28" fillId="25" borderId="14" xfId="34" applyNumberFormat="1" applyFont="1" applyFill="1" applyBorder="1" applyAlignment="1">
      <alignment vertical="center" shrinkToFit="1"/>
    </xf>
    <xf numFmtId="0" fontId="28" fillId="25" borderId="14" xfId="0" applyFont="1" applyFill="1" applyBorder="1" applyAlignment="1">
      <alignment horizontal="center" vertical="center" shrinkToFit="1"/>
    </xf>
    <xf numFmtId="0" fontId="28" fillId="25" borderId="15" xfId="0" applyFont="1" applyFill="1" applyBorder="1" applyAlignment="1">
      <alignment vertical="center" shrinkToFit="1"/>
    </xf>
    <xf numFmtId="0" fontId="28" fillId="25" borderId="0" xfId="0" applyFont="1" applyFill="1" applyAlignment="1">
      <alignment vertical="center" shrinkToFit="1"/>
    </xf>
    <xf numFmtId="0" fontId="28" fillId="25" borderId="18" xfId="0" applyFont="1" applyFill="1" applyBorder="1" applyAlignment="1">
      <alignment vertical="center" shrinkToFit="1"/>
    </xf>
    <xf numFmtId="0" fontId="28" fillId="25" borderId="10" xfId="0" applyFont="1" applyFill="1" applyBorder="1" applyAlignment="1">
      <alignment vertical="center" shrinkToFit="1"/>
    </xf>
    <xf numFmtId="177" fontId="28" fillId="25" borderId="10" xfId="34" applyNumberFormat="1" applyFont="1" applyFill="1" applyBorder="1" applyAlignment="1">
      <alignment vertical="center" shrinkToFit="1"/>
    </xf>
    <xf numFmtId="0" fontId="28" fillId="0" borderId="10" xfId="0" applyFont="1" applyFill="1" applyBorder="1" applyAlignment="1">
      <alignment vertical="center" shrinkToFit="1"/>
    </xf>
    <xf numFmtId="0" fontId="28" fillId="25" borderId="10" xfId="0" applyFont="1" applyFill="1" applyBorder="1" applyAlignment="1">
      <alignment horizontal="center" vertical="center" shrinkToFit="1"/>
    </xf>
    <xf numFmtId="0" fontId="28" fillId="25" borderId="16" xfId="0" applyFont="1" applyFill="1" applyBorder="1" applyAlignment="1">
      <alignment vertical="center" shrinkToFit="1"/>
    </xf>
    <xf numFmtId="0" fontId="28" fillId="25" borderId="19" xfId="0" applyFont="1" applyFill="1" applyBorder="1" applyAlignment="1">
      <alignment vertical="center" shrinkToFit="1"/>
    </xf>
    <xf numFmtId="0" fontId="28" fillId="25" borderId="20" xfId="0" applyFont="1" applyFill="1" applyBorder="1" applyAlignment="1">
      <alignment vertical="center" shrinkToFit="1"/>
    </xf>
    <xf numFmtId="177" fontId="28" fillId="25" borderId="20" xfId="34" applyNumberFormat="1" applyFont="1" applyFill="1" applyBorder="1" applyAlignment="1">
      <alignment vertical="center" shrinkToFit="1"/>
    </xf>
    <xf numFmtId="0" fontId="28" fillId="0" borderId="20" xfId="0" applyFont="1" applyFill="1" applyBorder="1" applyAlignment="1">
      <alignment vertical="center" shrinkToFit="1"/>
    </xf>
    <xf numFmtId="0" fontId="28" fillId="25" borderId="20" xfId="0" applyFont="1" applyFill="1" applyBorder="1" applyAlignment="1">
      <alignment horizontal="center" vertical="center" shrinkToFit="1"/>
    </xf>
    <xf numFmtId="0" fontId="28" fillId="25" borderId="21" xfId="0" applyFont="1" applyFill="1" applyBorder="1" applyAlignment="1">
      <alignment vertical="center" shrinkToFit="1"/>
    </xf>
    <xf numFmtId="0" fontId="28" fillId="25" borderId="13" xfId="0" applyFont="1" applyFill="1" applyBorder="1" applyAlignment="1">
      <alignment vertical="center" shrinkToFit="1"/>
    </xf>
    <xf numFmtId="0" fontId="28" fillId="25" borderId="11" xfId="0" applyFont="1" applyFill="1" applyBorder="1" applyAlignment="1">
      <alignment vertical="center" shrinkToFit="1"/>
    </xf>
    <xf numFmtId="177" fontId="28" fillId="25" borderId="11" xfId="34" applyNumberFormat="1" applyFont="1" applyFill="1" applyBorder="1" applyAlignment="1">
      <alignment vertical="center" shrinkToFit="1"/>
    </xf>
    <xf numFmtId="0" fontId="28" fillId="25" borderId="32" xfId="0" applyFont="1" applyFill="1" applyBorder="1" applyAlignment="1">
      <alignment vertical="center" shrinkToFit="1"/>
    </xf>
    <xf numFmtId="0" fontId="28" fillId="25" borderId="27" xfId="0" applyFont="1" applyFill="1" applyBorder="1" applyAlignment="1">
      <alignment vertical="center" shrinkToFit="1"/>
    </xf>
    <xf numFmtId="177" fontId="28" fillId="25" borderId="27" xfId="34" applyNumberFormat="1" applyFont="1" applyFill="1" applyBorder="1" applyAlignment="1">
      <alignment vertical="center" shrinkToFit="1"/>
    </xf>
    <xf numFmtId="0" fontId="28" fillId="25" borderId="33" xfId="0" applyFont="1" applyFill="1" applyBorder="1" applyAlignment="1">
      <alignment vertical="center" shrinkToFit="1"/>
    </xf>
    <xf numFmtId="0" fontId="28" fillId="25" borderId="28" xfId="0" applyFont="1" applyFill="1" applyBorder="1" applyAlignment="1">
      <alignment vertical="center" shrinkToFit="1"/>
    </xf>
    <xf numFmtId="0" fontId="28" fillId="25" borderId="29" xfId="0" applyFont="1" applyFill="1" applyBorder="1" applyAlignment="1">
      <alignment vertical="center" shrinkToFit="1"/>
    </xf>
    <xf numFmtId="0" fontId="28" fillId="25" borderId="29" xfId="0" applyFont="1" applyFill="1" applyBorder="1" applyAlignment="1">
      <alignment horizontal="center" vertical="center" shrinkToFit="1"/>
    </xf>
    <xf numFmtId="0" fontId="28" fillId="25" borderId="31" xfId="0" applyFont="1" applyFill="1" applyBorder="1" applyAlignment="1">
      <alignment vertical="center" shrinkToFit="1"/>
    </xf>
    <xf numFmtId="0" fontId="28" fillId="25" borderId="22" xfId="0" applyFont="1" applyFill="1" applyBorder="1" applyAlignment="1">
      <alignment vertical="center" shrinkToFit="1"/>
    </xf>
    <xf numFmtId="0" fontId="28" fillId="25" borderId="23" xfId="0" applyFont="1" applyFill="1" applyBorder="1" applyAlignment="1">
      <alignment vertical="center" shrinkToFit="1"/>
    </xf>
    <xf numFmtId="177" fontId="28" fillId="25" borderId="23" xfId="34" applyNumberFormat="1" applyFont="1" applyFill="1" applyBorder="1" applyAlignment="1">
      <alignment vertical="center" shrinkToFit="1"/>
    </xf>
    <xf numFmtId="0" fontId="28" fillId="25" borderId="23" xfId="0" applyFont="1" applyFill="1" applyBorder="1" applyAlignment="1">
      <alignment horizontal="center" vertical="center" shrinkToFit="1"/>
    </xf>
    <xf numFmtId="0" fontId="28" fillId="25" borderId="24" xfId="0" applyFont="1" applyFill="1" applyBorder="1" applyAlignment="1">
      <alignment vertical="center" shrinkToFit="1"/>
    </xf>
    <xf numFmtId="0" fontId="28" fillId="25" borderId="37" xfId="0" applyFont="1" applyFill="1" applyBorder="1" applyAlignment="1">
      <alignment vertical="center" shrinkToFit="1"/>
    </xf>
    <xf numFmtId="0" fontId="28" fillId="25" borderId="38" xfId="0" applyFont="1" applyFill="1" applyBorder="1" applyAlignment="1">
      <alignment vertical="center" shrinkToFit="1"/>
    </xf>
    <xf numFmtId="177" fontId="28" fillId="25" borderId="38" xfId="34" applyNumberFormat="1" applyFont="1" applyFill="1" applyBorder="1" applyAlignment="1">
      <alignment vertical="center" shrinkToFit="1"/>
    </xf>
    <xf numFmtId="0" fontId="28" fillId="25" borderId="38" xfId="0" applyFont="1" applyFill="1" applyBorder="1" applyAlignment="1">
      <alignment horizontal="center" vertical="center" shrinkToFit="1"/>
    </xf>
    <xf numFmtId="0" fontId="28" fillId="25" borderId="39" xfId="0" applyFont="1" applyFill="1" applyBorder="1" applyAlignment="1">
      <alignment horizontal="center" vertical="center" shrinkToFit="1"/>
    </xf>
    <xf numFmtId="0" fontId="28" fillId="25" borderId="40" xfId="0" applyFont="1" applyFill="1" applyBorder="1" applyAlignment="1">
      <alignment vertical="center" shrinkToFit="1"/>
    </xf>
    <xf numFmtId="0" fontId="28" fillId="25" borderId="41" xfId="0" applyFont="1" applyFill="1" applyBorder="1" applyAlignment="1">
      <alignment vertical="center" shrinkToFit="1"/>
    </xf>
    <xf numFmtId="177" fontId="28" fillId="25" borderId="41" xfId="34" applyNumberFormat="1" applyFont="1" applyFill="1" applyBorder="1" applyAlignment="1">
      <alignment vertical="center" shrinkToFit="1"/>
    </xf>
    <xf numFmtId="0" fontId="28" fillId="25" borderId="41" xfId="0" applyFont="1" applyFill="1" applyBorder="1" applyAlignment="1">
      <alignment horizontal="center" vertical="center" shrinkToFit="1"/>
    </xf>
    <xf numFmtId="0" fontId="28" fillId="25" borderId="42" xfId="0" applyFont="1" applyFill="1" applyBorder="1" applyAlignment="1">
      <alignment horizontal="center" vertical="center" shrinkToFit="1"/>
    </xf>
    <xf numFmtId="0" fontId="28" fillId="25" borderId="43" xfId="0" applyFont="1" applyFill="1" applyBorder="1" applyAlignment="1">
      <alignment horizontal="center" vertical="center" shrinkToFit="1"/>
    </xf>
    <xf numFmtId="0" fontId="28" fillId="25" borderId="44" xfId="0" applyFont="1" applyFill="1" applyBorder="1" applyAlignment="1">
      <alignment vertical="center" shrinkToFit="1"/>
    </xf>
    <xf numFmtId="0" fontId="28" fillId="25" borderId="45" xfId="0" applyFont="1" applyFill="1" applyBorder="1" applyAlignment="1">
      <alignment vertical="center" shrinkToFit="1"/>
    </xf>
    <xf numFmtId="177" fontId="28" fillId="25" borderId="45" xfId="34" applyNumberFormat="1" applyFont="1" applyFill="1" applyBorder="1" applyAlignment="1">
      <alignment vertical="center" shrinkToFit="1"/>
    </xf>
    <xf numFmtId="0" fontId="28" fillId="25" borderId="45" xfId="0" applyFont="1" applyFill="1" applyBorder="1" applyAlignment="1">
      <alignment horizontal="center" vertical="center" shrinkToFit="1"/>
    </xf>
    <xf numFmtId="0" fontId="28" fillId="25" borderId="46" xfId="0" applyFont="1" applyFill="1" applyBorder="1" applyAlignment="1">
      <alignment horizontal="center" vertical="center" shrinkToFit="1"/>
    </xf>
    <xf numFmtId="0" fontId="28" fillId="25" borderId="47" xfId="0" applyFont="1" applyFill="1" applyBorder="1" applyAlignment="1">
      <alignment vertical="center" shrinkToFit="1"/>
    </xf>
    <xf numFmtId="0" fontId="28" fillId="25" borderId="48" xfId="0" applyFont="1" applyFill="1" applyBorder="1" applyAlignment="1">
      <alignment vertical="center" shrinkToFit="1"/>
    </xf>
    <xf numFmtId="177" fontId="28" fillId="25" borderId="48" xfId="34" applyNumberFormat="1" applyFont="1" applyFill="1" applyBorder="1" applyAlignment="1">
      <alignment vertical="center" shrinkToFit="1"/>
    </xf>
    <xf numFmtId="0" fontId="28" fillId="25" borderId="48" xfId="0" applyFont="1" applyFill="1" applyBorder="1" applyAlignment="1">
      <alignment horizontal="center" vertical="center" shrinkToFit="1"/>
    </xf>
    <xf numFmtId="0" fontId="28" fillId="25" borderId="30" xfId="0" applyFont="1" applyFill="1" applyBorder="1" applyAlignment="1">
      <alignment vertical="center" shrinkToFit="1"/>
    </xf>
    <xf numFmtId="0" fontId="28" fillId="25" borderId="21" xfId="0" applyFont="1" applyFill="1" applyBorder="1" applyAlignment="1">
      <alignment horizontal="center" vertical="center" shrinkToFit="1"/>
    </xf>
    <xf numFmtId="177" fontId="28" fillId="25" borderId="28" xfId="34" applyNumberFormat="1" applyFont="1" applyFill="1" applyBorder="1" applyAlignment="1">
      <alignment vertical="center" shrinkToFit="1"/>
    </xf>
    <xf numFmtId="0" fontId="28" fillId="25" borderId="28" xfId="0" applyFont="1" applyFill="1" applyBorder="1" applyAlignment="1">
      <alignment horizontal="center" vertical="center" shrinkToFit="1"/>
    </xf>
    <xf numFmtId="0" fontId="28" fillId="25" borderId="49" xfId="0" applyFont="1" applyFill="1" applyBorder="1" applyAlignment="1">
      <alignment vertical="center" shrinkToFit="1"/>
    </xf>
    <xf numFmtId="0" fontId="28" fillId="25" borderId="27" xfId="0" applyFont="1" applyFill="1" applyBorder="1" applyAlignment="1">
      <alignment horizontal="center" vertical="center" shrinkToFit="1"/>
    </xf>
    <xf numFmtId="0" fontId="28" fillId="0" borderId="14" xfId="0" applyFont="1" applyFill="1" applyBorder="1" applyAlignment="1">
      <alignment vertical="center" shrinkToFit="1"/>
    </xf>
    <xf numFmtId="0" fontId="29" fillId="0" borderId="0" xfId="0" applyFont="1" applyAlignment="1">
      <alignment vertical="center" shrinkToFit="1"/>
    </xf>
    <xf numFmtId="0" fontId="30" fillId="25" borderId="14" xfId="0" applyFont="1" applyFill="1" applyBorder="1" applyAlignment="1">
      <alignment horizontal="center" vertical="center" shrinkToFit="1"/>
    </xf>
    <xf numFmtId="0" fontId="30" fillId="25" borderId="15" xfId="0" applyFont="1" applyFill="1" applyBorder="1" applyAlignment="1">
      <alignment horizontal="center" vertical="center" shrinkToFit="1"/>
    </xf>
    <xf numFmtId="0" fontId="31" fillId="25" borderId="10" xfId="0" applyFont="1" applyFill="1" applyBorder="1" applyAlignment="1">
      <alignment horizontal="center" vertical="center" shrinkToFit="1"/>
    </xf>
    <xf numFmtId="0" fontId="30" fillId="25" borderId="16" xfId="0" applyFont="1" applyFill="1" applyBorder="1" applyAlignment="1">
      <alignment horizontal="center" vertical="center" shrinkToFit="1"/>
    </xf>
    <xf numFmtId="0" fontId="30" fillId="0" borderId="18" xfId="0" applyFont="1" applyFill="1" applyBorder="1" applyAlignment="1">
      <alignment vertical="center" shrinkToFit="1"/>
    </xf>
    <xf numFmtId="0" fontId="30" fillId="0" borderId="25" xfId="0" applyFont="1" applyFill="1" applyBorder="1" applyAlignment="1">
      <alignment horizontal="center" shrinkToFit="1"/>
    </xf>
    <xf numFmtId="0" fontId="31" fillId="0" borderId="10" xfId="0" applyFont="1" applyBorder="1" applyAlignment="1">
      <alignment horizontal="center" shrinkToFit="1"/>
    </xf>
    <xf numFmtId="0" fontId="31" fillId="0" borderId="16" xfId="0" applyFont="1" applyBorder="1" applyAlignment="1">
      <alignment horizontal="center" shrinkToFit="1"/>
    </xf>
    <xf numFmtId="0" fontId="28" fillId="0" borderId="0" xfId="0" applyFont="1" applyAlignment="1">
      <alignment horizontal="center" vertical="center" wrapText="1" shrinkToFit="1"/>
    </xf>
    <xf numFmtId="0" fontId="33" fillId="0" borderId="14" xfId="44" applyFont="1" applyFill="1" applyBorder="1" applyAlignment="1">
      <alignment horizontal="left" vertical="center" shrinkToFit="1"/>
    </xf>
    <xf numFmtId="0" fontId="33" fillId="0" borderId="20" xfId="44" applyFont="1" applyFill="1" applyBorder="1" applyAlignment="1">
      <alignment horizontal="left" vertical="center" shrinkToFit="1"/>
    </xf>
    <xf numFmtId="0" fontId="33" fillId="0" borderId="20" xfId="44" applyFont="1" applyFill="1" applyBorder="1" applyAlignment="1">
      <alignment shrinkToFit="1"/>
    </xf>
    <xf numFmtId="0" fontId="33" fillId="0" borderId="23" xfId="44" applyFont="1" applyFill="1" applyBorder="1" applyAlignment="1">
      <alignment shrinkToFit="1"/>
    </xf>
    <xf numFmtId="0" fontId="33" fillId="0" borderId="14" xfId="44" applyFont="1" applyFill="1" applyBorder="1" applyAlignment="1">
      <alignment shrinkToFit="1"/>
    </xf>
    <xf numFmtId="0" fontId="33" fillId="0" borderId="10" xfId="44" applyFont="1" applyFill="1" applyBorder="1" applyAlignment="1">
      <alignment horizontal="left" shrinkToFit="1"/>
    </xf>
    <xf numFmtId="0" fontId="33" fillId="0" borderId="20" xfId="44" applyFont="1" applyFill="1" applyBorder="1" applyAlignment="1">
      <alignment horizontal="left" shrinkToFit="1"/>
    </xf>
    <xf numFmtId="0" fontId="33" fillId="0" borderId="10" xfId="44" applyFont="1" applyFill="1" applyBorder="1" applyAlignment="1">
      <alignment shrinkToFit="1"/>
    </xf>
    <xf numFmtId="176" fontId="28" fillId="0" borderId="0" xfId="34" applyNumberFormat="1" applyFont="1" applyFill="1">
      <alignment vertical="center"/>
    </xf>
    <xf numFmtId="0" fontId="5" fillId="24" borderId="0" xfId="26" applyFont="1" applyFill="1">
      <alignment vertical="center"/>
    </xf>
    <xf numFmtId="0" fontId="2" fillId="24" borderId="0" xfId="26" applyFont="1" applyFill="1">
      <alignment vertical="center"/>
    </xf>
    <xf numFmtId="0" fontId="2" fillId="24" borderId="0" xfId="26" applyFont="1" applyFill="1" applyAlignment="1">
      <alignment horizontal="center" vertical="center"/>
    </xf>
    <xf numFmtId="0" fontId="2" fillId="26" borderId="26" xfId="26" applyFont="1" applyFill="1" applyBorder="1">
      <alignment vertical="center"/>
    </xf>
    <xf numFmtId="0" fontId="2" fillId="26" borderId="10" xfId="26" applyFont="1" applyFill="1" applyBorder="1">
      <alignment vertical="center"/>
    </xf>
    <xf numFmtId="0" fontId="2" fillId="26" borderId="56" xfId="26" applyFont="1" applyFill="1" applyBorder="1">
      <alignment vertical="center"/>
    </xf>
    <xf numFmtId="0" fontId="2" fillId="26" borderId="56" xfId="26" applyFont="1" applyFill="1" applyBorder="1" applyAlignment="1">
      <alignment horizontal="center" vertical="center"/>
    </xf>
    <xf numFmtId="0" fontId="2" fillId="26" borderId="56" xfId="26" applyFont="1" applyFill="1" applyBorder="1" applyAlignment="1">
      <alignment horizontal="center" vertical="center" wrapText="1"/>
    </xf>
    <xf numFmtId="0" fontId="2" fillId="26" borderId="25" xfId="26" applyFont="1" applyFill="1" applyBorder="1">
      <alignment vertical="center"/>
    </xf>
    <xf numFmtId="0" fontId="2" fillId="24" borderId="26" xfId="26" applyFont="1" applyFill="1" applyBorder="1">
      <alignment vertical="center"/>
    </xf>
    <xf numFmtId="0" fontId="2" fillId="28" borderId="26" xfId="26" applyFont="1" applyFill="1" applyBorder="1">
      <alignment vertical="center"/>
    </xf>
    <xf numFmtId="0" fontId="2" fillId="28" borderId="26" xfId="26" applyFont="1" applyFill="1" applyBorder="1" applyAlignment="1">
      <alignment horizontal="center" vertical="center"/>
    </xf>
    <xf numFmtId="176" fontId="2" fillId="24" borderId="26" xfId="26" applyNumberFormat="1" applyFont="1" applyFill="1" applyBorder="1">
      <alignment vertical="center"/>
    </xf>
    <xf numFmtId="0" fontId="2" fillId="24" borderId="26" xfId="26" applyFont="1" applyFill="1" applyBorder="1" applyAlignment="1">
      <alignment horizontal="center" vertical="center"/>
    </xf>
    <xf numFmtId="0" fontId="6" fillId="24" borderId="10" xfId="26" applyFont="1" applyFill="1" applyBorder="1">
      <alignment vertical="center"/>
    </xf>
    <xf numFmtId="0" fontId="2" fillId="24" borderId="10" xfId="26" applyFont="1" applyFill="1" applyBorder="1">
      <alignment vertical="center"/>
    </xf>
    <xf numFmtId="0" fontId="2" fillId="24" borderId="28" xfId="26" applyFont="1" applyFill="1" applyBorder="1">
      <alignment vertical="center"/>
    </xf>
    <xf numFmtId="0" fontId="2" fillId="28" borderId="10" xfId="26" applyFont="1" applyFill="1" applyBorder="1">
      <alignment vertical="center"/>
    </xf>
    <xf numFmtId="0" fontId="2" fillId="28" borderId="10" xfId="26" applyFont="1" applyFill="1" applyBorder="1" applyAlignment="1">
      <alignment horizontal="center" vertical="center"/>
    </xf>
    <xf numFmtId="176" fontId="2" fillId="24" borderId="10" xfId="26" applyNumberFormat="1" applyFont="1" applyFill="1" applyBorder="1">
      <alignment vertical="center"/>
    </xf>
    <xf numFmtId="0" fontId="2" fillId="24" borderId="10" xfId="26" applyFont="1" applyFill="1" applyBorder="1" applyAlignment="1">
      <alignment horizontal="center" vertical="center"/>
    </xf>
    <xf numFmtId="0" fontId="6" fillId="24" borderId="28" xfId="26" applyFont="1" applyFill="1" applyBorder="1">
      <alignment vertical="center"/>
    </xf>
    <xf numFmtId="0" fontId="2" fillId="28" borderId="28" xfId="26" applyFont="1" applyFill="1" applyBorder="1">
      <alignment vertical="center"/>
    </xf>
    <xf numFmtId="0" fontId="2" fillId="28" borderId="28" xfId="26" applyFont="1" applyFill="1" applyBorder="1" applyAlignment="1">
      <alignment horizontal="center" vertical="center"/>
    </xf>
    <xf numFmtId="176" fontId="2" fillId="24" borderId="28" xfId="26" applyNumberFormat="1" applyFont="1" applyFill="1" applyBorder="1">
      <alignment vertical="center"/>
    </xf>
    <xf numFmtId="0" fontId="2" fillId="24" borderId="28" xfId="26" applyFont="1" applyFill="1" applyBorder="1" applyAlignment="1">
      <alignment horizontal="center" vertical="center"/>
    </xf>
    <xf numFmtId="0" fontId="32" fillId="24" borderId="26" xfId="26" applyFont="1" applyFill="1" applyBorder="1">
      <alignment vertical="center"/>
    </xf>
    <xf numFmtId="0" fontId="6" fillId="24" borderId="26" xfId="26" applyFont="1" applyFill="1" applyBorder="1">
      <alignment vertical="center"/>
    </xf>
    <xf numFmtId="0" fontId="32" fillId="24" borderId="10" xfId="26" applyFont="1" applyFill="1" applyBorder="1">
      <alignment vertical="center"/>
    </xf>
    <xf numFmtId="0" fontId="2" fillId="24" borderId="29" xfId="26" applyFont="1" applyFill="1" applyBorder="1">
      <alignment vertical="center"/>
    </xf>
    <xf numFmtId="176" fontId="32" fillId="24" borderId="29" xfId="34" applyNumberFormat="1" applyFont="1" applyFill="1" applyBorder="1">
      <alignment vertical="center"/>
    </xf>
    <xf numFmtId="0" fontId="2" fillId="24" borderId="29" xfId="26" applyFont="1" applyFill="1" applyBorder="1" applyAlignment="1">
      <alignment horizontal="center" vertical="center"/>
    </xf>
    <xf numFmtId="176" fontId="2" fillId="24" borderId="29" xfId="26" applyNumberFormat="1" applyFont="1" applyFill="1" applyBorder="1">
      <alignment vertical="center"/>
    </xf>
    <xf numFmtId="0" fontId="2" fillId="25" borderId="26" xfId="26" applyFont="1" applyFill="1" applyBorder="1">
      <alignment vertical="center"/>
    </xf>
    <xf numFmtId="176" fontId="2" fillId="28" borderId="10" xfId="26" applyNumberFormat="1" applyFont="1" applyFill="1" applyBorder="1">
      <alignment vertical="center"/>
    </xf>
    <xf numFmtId="176" fontId="2" fillId="25" borderId="10" xfId="26" applyNumberFormat="1" applyFont="1" applyFill="1" applyBorder="1">
      <alignment vertical="center"/>
    </xf>
    <xf numFmtId="176" fontId="4" fillId="25" borderId="10" xfId="26" applyNumberFormat="1" applyFont="1" applyFill="1" applyBorder="1">
      <alignment vertical="center"/>
    </xf>
    <xf numFmtId="0" fontId="2" fillId="25" borderId="56" xfId="26" applyFont="1" applyFill="1" applyBorder="1">
      <alignment vertical="center"/>
    </xf>
    <xf numFmtId="0" fontId="2" fillId="25" borderId="26" xfId="26" applyFont="1" applyFill="1" applyBorder="1" applyAlignment="1">
      <alignment horizontal="center" vertical="center"/>
    </xf>
    <xf numFmtId="0" fontId="2" fillId="25" borderId="57" xfId="26" applyFont="1" applyFill="1" applyBorder="1" applyAlignment="1">
      <alignment horizontal="center" vertical="center"/>
    </xf>
    <xf numFmtId="0" fontId="2" fillId="25" borderId="0" xfId="26" applyFont="1" applyFill="1">
      <alignment vertical="center"/>
    </xf>
    <xf numFmtId="0" fontId="2" fillId="25" borderId="28" xfId="26" applyFont="1" applyFill="1" applyBorder="1">
      <alignment vertical="center"/>
    </xf>
    <xf numFmtId="0" fontId="2" fillId="25" borderId="28" xfId="26" applyFont="1" applyFill="1" applyBorder="1" applyAlignment="1">
      <alignment horizontal="center" vertical="center"/>
    </xf>
    <xf numFmtId="0" fontId="2" fillId="25" borderId="58" xfId="26" applyFont="1" applyFill="1" applyBorder="1" applyAlignment="1">
      <alignment horizontal="center" vertical="center"/>
    </xf>
    <xf numFmtId="0" fontId="2" fillId="25" borderId="29" xfId="26" applyFont="1" applyFill="1" applyBorder="1">
      <alignment vertical="center"/>
    </xf>
    <xf numFmtId="0" fontId="2" fillId="25" borderId="29" xfId="26" applyFont="1" applyFill="1" applyBorder="1" applyAlignment="1">
      <alignment horizontal="center" vertical="center"/>
    </xf>
    <xf numFmtId="0" fontId="2" fillId="25" borderId="59" xfId="26" applyFont="1" applyFill="1" applyBorder="1" applyAlignment="1">
      <alignment horizontal="center" vertical="center"/>
    </xf>
    <xf numFmtId="0" fontId="2" fillId="25" borderId="10" xfId="26" applyFont="1" applyFill="1" applyBorder="1">
      <alignment vertical="center"/>
    </xf>
    <xf numFmtId="0" fontId="6" fillId="25" borderId="26" xfId="26" applyFont="1" applyFill="1" applyBorder="1">
      <alignment vertical="center"/>
    </xf>
    <xf numFmtId="0" fontId="2" fillId="0" borderId="28" xfId="26" applyFont="1" applyFill="1" applyBorder="1">
      <alignment vertical="center"/>
    </xf>
    <xf numFmtId="0" fontId="2" fillId="0" borderId="26" xfId="26" applyFont="1" applyFill="1" applyBorder="1">
      <alignment vertical="center"/>
    </xf>
    <xf numFmtId="43" fontId="2" fillId="28" borderId="10" xfId="26" applyNumberFormat="1" applyFont="1" applyFill="1" applyBorder="1">
      <alignment vertical="center"/>
    </xf>
    <xf numFmtId="176" fontId="6" fillId="25" borderId="29" xfId="26" applyNumberFormat="1" applyFont="1" applyFill="1" applyBorder="1" applyAlignment="1">
      <alignment horizontal="center" vertical="center"/>
    </xf>
    <xf numFmtId="0" fontId="2" fillId="0" borderId="10" xfId="26" applyFont="1" applyFill="1" applyBorder="1">
      <alignment vertical="center"/>
    </xf>
    <xf numFmtId="0" fontId="2" fillId="0" borderId="56" xfId="26" applyFont="1" applyFill="1" applyBorder="1" applyAlignment="1">
      <alignment horizontal="center" vertical="center"/>
    </xf>
    <xf numFmtId="0" fontId="2" fillId="0" borderId="0" xfId="26" applyFont="1" applyFill="1">
      <alignment vertical="center"/>
    </xf>
    <xf numFmtId="0" fontId="2" fillId="0" borderId="60" xfId="26" applyFont="1" applyFill="1" applyBorder="1">
      <alignment vertical="center"/>
    </xf>
    <xf numFmtId="176" fontId="2" fillId="0" borderId="26" xfId="26" applyNumberFormat="1" applyFont="1" applyFill="1" applyBorder="1">
      <alignment vertical="center"/>
    </xf>
    <xf numFmtId="176" fontId="6" fillId="0" borderId="28" xfId="26" applyNumberFormat="1" applyFont="1" applyFill="1" applyBorder="1" applyAlignment="1">
      <alignment horizontal="center" vertical="center"/>
    </xf>
    <xf numFmtId="0" fontId="2" fillId="0" borderId="10" xfId="26" applyFont="1" applyFill="1" applyBorder="1" applyAlignment="1">
      <alignment horizontal="center" vertical="center"/>
    </xf>
    <xf numFmtId="0" fontId="2" fillId="25" borderId="60" xfId="26" applyFont="1" applyFill="1" applyBorder="1">
      <alignment vertical="center"/>
    </xf>
    <xf numFmtId="0" fontId="2" fillId="28" borderId="29" xfId="26" applyFont="1" applyFill="1" applyBorder="1">
      <alignment vertical="center"/>
    </xf>
    <xf numFmtId="0" fontId="6" fillId="28" borderId="29" xfId="26" applyFont="1" applyFill="1" applyBorder="1" applyAlignment="1">
      <alignment horizontal="center" vertical="center"/>
    </xf>
    <xf numFmtId="176" fontId="6" fillId="25" borderId="29" xfId="26" applyNumberFormat="1" applyFont="1" applyFill="1" applyBorder="1">
      <alignment vertical="center"/>
    </xf>
    <xf numFmtId="176" fontId="2" fillId="25" borderId="29" xfId="26" applyNumberFormat="1" applyFont="1" applyFill="1" applyBorder="1">
      <alignment vertical="center"/>
    </xf>
    <xf numFmtId="0" fontId="6" fillId="25" borderId="59" xfId="26" applyFont="1" applyFill="1" applyBorder="1">
      <alignment vertical="center"/>
    </xf>
    <xf numFmtId="0" fontId="2" fillId="25" borderId="61" xfId="26" applyFont="1" applyFill="1" applyBorder="1">
      <alignment vertical="center"/>
    </xf>
    <xf numFmtId="0" fontId="6" fillId="28" borderId="10" xfId="26" applyFont="1" applyFill="1" applyBorder="1" applyAlignment="1">
      <alignment horizontal="center" vertical="center"/>
    </xf>
    <xf numFmtId="176" fontId="6" fillId="25" borderId="10" xfId="26" applyNumberFormat="1" applyFont="1" applyFill="1" applyBorder="1">
      <alignment vertical="center"/>
    </xf>
    <xf numFmtId="0" fontId="2" fillId="25" borderId="62" xfId="26" applyFont="1" applyFill="1" applyBorder="1">
      <alignment vertical="center"/>
    </xf>
    <xf numFmtId="0" fontId="2" fillId="25" borderId="26" xfId="26" applyFont="1" applyFill="1" applyBorder="1" applyAlignment="1">
      <alignment horizontal="right" vertical="center"/>
    </xf>
    <xf numFmtId="49" fontId="6" fillId="25" borderId="26" xfId="26" applyNumberFormat="1" applyFont="1" applyFill="1" applyBorder="1" applyAlignment="1">
      <alignment horizontal="center" vertical="center"/>
    </xf>
    <xf numFmtId="49" fontId="6" fillId="25" borderId="28" xfId="26" applyNumberFormat="1" applyFont="1" applyFill="1" applyBorder="1" applyAlignment="1">
      <alignment horizontal="center" vertical="center"/>
    </xf>
    <xf numFmtId="49" fontId="6" fillId="25" borderId="29" xfId="26" applyNumberFormat="1" applyFont="1" applyFill="1" applyBorder="1" applyAlignment="1">
      <alignment horizontal="center" vertical="center"/>
    </xf>
    <xf numFmtId="0" fontId="2" fillId="24" borderId="58" xfId="26" applyFont="1" applyFill="1" applyBorder="1">
      <alignment vertical="center"/>
    </xf>
    <xf numFmtId="0" fontId="2" fillId="24" borderId="60" xfId="26" applyFont="1" applyFill="1" applyBorder="1">
      <alignment vertical="center"/>
    </xf>
    <xf numFmtId="49" fontId="6" fillId="24" borderId="26" xfId="26" applyNumberFormat="1" applyFont="1" applyFill="1" applyBorder="1" applyAlignment="1">
      <alignment horizontal="center" vertical="center"/>
    </xf>
    <xf numFmtId="176" fontId="6" fillId="24" borderId="10" xfId="26" applyNumberFormat="1" applyFont="1" applyFill="1" applyBorder="1">
      <alignment vertical="center"/>
    </xf>
    <xf numFmtId="0" fontId="2" fillId="24" borderId="56" xfId="26" applyFont="1" applyFill="1" applyBorder="1">
      <alignment vertical="center"/>
    </xf>
    <xf numFmtId="0" fontId="2" fillId="24" borderId="57" xfId="26" applyFont="1" applyFill="1" applyBorder="1">
      <alignment vertical="center"/>
    </xf>
    <xf numFmtId="49" fontId="6" fillId="0" borderId="26" xfId="26" applyNumberFormat="1" applyFont="1" applyFill="1" applyBorder="1" applyAlignment="1">
      <alignment horizontal="center" vertical="center"/>
    </xf>
    <xf numFmtId="49" fontId="6" fillId="0" borderId="28" xfId="26" applyNumberFormat="1" applyFont="1" applyFill="1" applyBorder="1" applyAlignment="1">
      <alignment horizontal="center" vertical="center"/>
    </xf>
    <xf numFmtId="0" fontId="2" fillId="0" borderId="58" xfId="26" applyFont="1" applyFill="1" applyBorder="1">
      <alignment vertical="center"/>
    </xf>
    <xf numFmtId="49" fontId="6" fillId="24" borderId="63" xfId="26" applyNumberFormat="1" applyFont="1" applyFill="1" applyBorder="1" applyAlignment="1">
      <alignment horizontal="center" vertical="center"/>
    </xf>
    <xf numFmtId="49" fontId="6" fillId="24" borderId="0" xfId="26" applyNumberFormat="1" applyFont="1" applyFill="1" applyBorder="1" applyAlignment="1">
      <alignment horizontal="center" vertical="center"/>
    </xf>
    <xf numFmtId="178" fontId="32" fillId="24" borderId="28" xfId="26" applyNumberFormat="1" applyFont="1" applyFill="1" applyBorder="1" applyAlignment="1">
      <alignment horizontal="right" vertical="center"/>
    </xf>
    <xf numFmtId="178" fontId="32" fillId="24" borderId="10" xfId="26" applyNumberFormat="1" applyFont="1" applyFill="1" applyBorder="1" applyAlignment="1">
      <alignment horizontal="right" vertical="center"/>
    </xf>
    <xf numFmtId="0" fontId="2" fillId="24" borderId="61" xfId="26" applyFont="1" applyFill="1" applyBorder="1">
      <alignment vertical="center"/>
    </xf>
    <xf numFmtId="176" fontId="2" fillId="28" borderId="29" xfId="26" applyNumberFormat="1" applyFont="1" applyFill="1" applyBorder="1">
      <alignment vertical="center"/>
    </xf>
    <xf numFmtId="176" fontId="6" fillId="24" borderId="29" xfId="26" applyNumberFormat="1" applyFont="1" applyFill="1" applyBorder="1">
      <alignment vertical="center"/>
    </xf>
    <xf numFmtId="0" fontId="2" fillId="24" borderId="59" xfId="26" applyFont="1" applyFill="1" applyBorder="1">
      <alignment vertical="center"/>
    </xf>
    <xf numFmtId="43" fontId="2" fillId="24" borderId="10" xfId="26" applyNumberFormat="1" applyFont="1" applyFill="1" applyBorder="1">
      <alignment vertical="center"/>
    </xf>
    <xf numFmtId="0" fontId="2" fillId="24" borderId="0" xfId="26" applyFont="1" applyFill="1" applyBorder="1">
      <alignment vertical="center"/>
    </xf>
    <xf numFmtId="0" fontId="2" fillId="24" borderId="0" xfId="26" applyFont="1" applyFill="1" applyBorder="1" applyAlignment="1">
      <alignment horizontal="center" vertical="center"/>
    </xf>
    <xf numFmtId="176" fontId="2" fillId="24" borderId="0" xfId="26" applyNumberFormat="1" applyFont="1" applyFill="1" applyBorder="1">
      <alignment vertical="center"/>
    </xf>
    <xf numFmtId="43" fontId="2" fillId="24" borderId="0" xfId="26" applyNumberFormat="1" applyFont="1" applyFill="1" applyBorder="1">
      <alignment vertical="center"/>
    </xf>
    <xf numFmtId="176" fontId="2" fillId="24" borderId="0" xfId="26" applyNumberFormat="1" applyFont="1" applyFill="1">
      <alignment vertical="center"/>
    </xf>
    <xf numFmtId="0" fontId="2" fillId="24" borderId="0" xfId="26" applyFont="1" applyFill="1" applyAlignment="1">
      <alignment horizontal="left" vertical="center"/>
    </xf>
    <xf numFmtId="0" fontId="32" fillId="24" borderId="0" xfId="26" applyFont="1" applyFill="1">
      <alignment vertical="center"/>
    </xf>
    <xf numFmtId="0" fontId="32" fillId="24" borderId="0" xfId="26" applyFont="1" applyFill="1" applyAlignment="1">
      <alignment horizontal="center" vertical="center"/>
    </xf>
    <xf numFmtId="43" fontId="32" fillId="0" borderId="10" xfId="26" applyNumberFormat="1" applyFont="1" applyFill="1" applyBorder="1">
      <alignment vertical="center"/>
    </xf>
    <xf numFmtId="0" fontId="40" fillId="0" borderId="10" xfId="0" applyFont="1" applyBorder="1">
      <alignment vertical="center"/>
    </xf>
    <xf numFmtId="0" fontId="40" fillId="0" borderId="10" xfId="0" applyFont="1" applyBorder="1" applyAlignment="1">
      <alignment horizontal="center" vertical="center" wrapText="1"/>
    </xf>
    <xf numFmtId="0" fontId="40" fillId="0" borderId="25" xfId="0" applyFont="1" applyBorder="1" applyAlignment="1">
      <alignment horizontal="center" vertical="center" wrapText="1"/>
    </xf>
    <xf numFmtId="0" fontId="40" fillId="0" borderId="29" xfId="0" applyFont="1" applyBorder="1">
      <alignment vertical="center"/>
    </xf>
    <xf numFmtId="0" fontId="40" fillId="0" borderId="26" xfId="0" applyFont="1" applyBorder="1">
      <alignment vertical="center"/>
    </xf>
    <xf numFmtId="0" fontId="40" fillId="31" borderId="10" xfId="0" applyFont="1" applyFill="1" applyBorder="1">
      <alignment vertical="center"/>
    </xf>
    <xf numFmtId="9" fontId="40" fillId="31" borderId="10" xfId="19" applyFont="1" applyFill="1" applyBorder="1">
      <alignment vertical="center"/>
    </xf>
    <xf numFmtId="0" fontId="40" fillId="30" borderId="10" xfId="0" applyFont="1" applyFill="1" applyBorder="1" applyAlignment="1">
      <alignment horizontal="center" vertical="center" wrapText="1"/>
    </xf>
    <xf numFmtId="0" fontId="2" fillId="25" borderId="28" xfId="26" applyFont="1" applyFill="1" applyBorder="1" applyAlignment="1">
      <alignment horizontal="left" vertical="center"/>
    </xf>
    <xf numFmtId="0" fontId="28" fillId="32" borderId="13" xfId="0" applyFont="1" applyFill="1" applyBorder="1" applyAlignment="1">
      <alignment vertical="center" shrinkToFit="1"/>
    </xf>
    <xf numFmtId="0" fontId="28" fillId="32" borderId="11" xfId="0" applyFont="1" applyFill="1" applyBorder="1" applyAlignment="1">
      <alignment vertical="center" shrinkToFit="1"/>
    </xf>
    <xf numFmtId="177" fontId="28" fillId="32" borderId="14" xfId="34" applyNumberFormat="1" applyFont="1" applyFill="1" applyBorder="1" applyAlignment="1">
      <alignment vertical="center" shrinkToFit="1"/>
    </xf>
    <xf numFmtId="0" fontId="28" fillId="32" borderId="14" xfId="0" applyFont="1" applyFill="1" applyBorder="1" applyAlignment="1">
      <alignment vertical="center" shrinkToFit="1"/>
    </xf>
    <xf numFmtId="0" fontId="28" fillId="32" borderId="14" xfId="0" applyFont="1" applyFill="1" applyBorder="1" applyAlignment="1">
      <alignment horizontal="center" vertical="center" shrinkToFit="1"/>
    </xf>
    <xf numFmtId="0" fontId="28" fillId="32" borderId="15" xfId="0" applyFont="1" applyFill="1" applyBorder="1" applyAlignment="1">
      <alignment vertical="center" shrinkToFit="1"/>
    </xf>
    <xf numFmtId="0" fontId="28" fillId="32" borderId="0" xfId="0" applyFont="1" applyFill="1" applyAlignment="1">
      <alignment vertical="center" shrinkToFit="1"/>
    </xf>
    <xf numFmtId="0" fontId="28" fillId="32" borderId="32" xfId="0" applyFont="1" applyFill="1" applyBorder="1" applyAlignment="1">
      <alignment vertical="center" shrinkToFit="1"/>
    </xf>
    <xf numFmtId="0" fontId="28" fillId="32" borderId="27" xfId="0" applyFont="1" applyFill="1" applyBorder="1" applyAlignment="1">
      <alignment vertical="center" shrinkToFit="1"/>
    </xf>
    <xf numFmtId="177" fontId="28" fillId="32" borderId="20" xfId="34" applyNumberFormat="1" applyFont="1" applyFill="1" applyBorder="1" applyAlignment="1">
      <alignment vertical="center" shrinkToFit="1"/>
    </xf>
    <xf numFmtId="0" fontId="28" fillId="32" borderId="10" xfId="0" applyFont="1" applyFill="1" applyBorder="1" applyAlignment="1">
      <alignment vertical="center" shrinkToFit="1"/>
    </xf>
    <xf numFmtId="0" fontId="28" fillId="32" borderId="10" xfId="0" applyFont="1" applyFill="1" applyBorder="1" applyAlignment="1">
      <alignment horizontal="center" vertical="center" shrinkToFit="1"/>
    </xf>
    <xf numFmtId="0" fontId="28" fillId="32" borderId="16" xfId="0" applyFont="1" applyFill="1" applyBorder="1" applyAlignment="1">
      <alignment vertical="center" shrinkToFit="1"/>
    </xf>
    <xf numFmtId="177" fontId="28" fillId="32" borderId="29" xfId="34" applyNumberFormat="1" applyFont="1" applyFill="1" applyBorder="1" applyAlignment="1">
      <alignment vertical="center" shrinkToFit="1"/>
    </xf>
    <xf numFmtId="0" fontId="28" fillId="32" borderId="33" xfId="0" applyFont="1" applyFill="1" applyBorder="1" applyAlignment="1">
      <alignment vertical="center" shrinkToFit="1"/>
    </xf>
    <xf numFmtId="0" fontId="28" fillId="32" borderId="28" xfId="0" applyFont="1" applyFill="1" applyBorder="1" applyAlignment="1">
      <alignment vertical="center" shrinkToFit="1"/>
    </xf>
    <xf numFmtId="177" fontId="28" fillId="32" borderId="10" xfId="34" applyNumberFormat="1" applyFont="1" applyFill="1" applyBorder="1" applyAlignment="1">
      <alignment vertical="center" shrinkToFit="1"/>
    </xf>
    <xf numFmtId="0" fontId="28" fillId="32" borderId="29" xfId="0" applyFont="1" applyFill="1" applyBorder="1" applyAlignment="1">
      <alignment vertical="center" shrinkToFit="1"/>
    </xf>
    <xf numFmtId="0" fontId="28" fillId="32" borderId="29" xfId="0" applyFont="1" applyFill="1" applyBorder="1" applyAlignment="1">
      <alignment horizontal="center" vertical="center" shrinkToFit="1"/>
    </xf>
    <xf numFmtId="0" fontId="28" fillId="32" borderId="31" xfId="0" applyFont="1" applyFill="1" applyBorder="1" applyAlignment="1">
      <alignment vertical="center" shrinkToFit="1"/>
    </xf>
    <xf numFmtId="0" fontId="28" fillId="32" borderId="17" xfId="0" applyFont="1" applyFill="1" applyBorder="1" applyAlignment="1">
      <alignment vertical="center" shrinkToFit="1"/>
    </xf>
    <xf numFmtId="0" fontId="28" fillId="32" borderId="43" xfId="0" applyFont="1" applyFill="1" applyBorder="1" applyAlignment="1">
      <alignment horizontal="center" vertical="center" shrinkToFit="1"/>
    </xf>
    <xf numFmtId="0" fontId="28" fillId="32" borderId="20" xfId="0" applyFont="1" applyFill="1" applyBorder="1" applyAlignment="1">
      <alignment vertical="center" shrinkToFit="1"/>
    </xf>
    <xf numFmtId="0" fontId="3" fillId="0" borderId="10" xfId="0" applyFont="1" applyFill="1" applyBorder="1">
      <alignment vertical="center"/>
    </xf>
    <xf numFmtId="0" fontId="3" fillId="0" borderId="16" xfId="0" applyFont="1" applyFill="1" applyBorder="1">
      <alignment vertical="center"/>
    </xf>
    <xf numFmtId="0" fontId="10" fillId="24" borderId="10" xfId="26" applyFont="1" applyFill="1" applyBorder="1" applyAlignment="1">
      <alignment horizontal="center" vertical="center"/>
    </xf>
    <xf numFmtId="0" fontId="2" fillId="30" borderId="60" xfId="26" applyFont="1" applyFill="1" applyBorder="1" applyAlignment="1">
      <alignment horizontal="left" vertical="center" wrapText="1"/>
    </xf>
    <xf numFmtId="0" fontId="2" fillId="30" borderId="29" xfId="26" applyFont="1" applyFill="1" applyBorder="1" applyAlignment="1">
      <alignment horizontal="left" vertical="center" wrapText="1"/>
    </xf>
    <xf numFmtId="0" fontId="2" fillId="30" borderId="61" xfId="26" applyFont="1" applyFill="1" applyBorder="1" applyAlignment="1">
      <alignment horizontal="left" vertical="center" wrapText="1"/>
    </xf>
    <xf numFmtId="0" fontId="2" fillId="26" borderId="10" xfId="26" applyFont="1" applyFill="1" applyBorder="1" applyAlignment="1">
      <alignment horizontal="left" vertical="center"/>
    </xf>
    <xf numFmtId="0" fontId="2" fillId="24" borderId="10" xfId="26" applyFont="1" applyFill="1" applyBorder="1" applyAlignment="1">
      <alignment horizontal="left" vertical="center"/>
    </xf>
    <xf numFmtId="0" fontId="2" fillId="24" borderId="26" xfId="26" applyFont="1" applyFill="1" applyBorder="1" applyAlignment="1">
      <alignment horizontal="left" vertical="center"/>
    </xf>
    <xf numFmtId="0" fontId="2" fillId="24" borderId="28" xfId="26" applyFont="1" applyFill="1" applyBorder="1" applyAlignment="1">
      <alignment horizontal="left" vertical="center"/>
    </xf>
    <xf numFmtId="0" fontId="2" fillId="25" borderId="29" xfId="26" applyFont="1" applyFill="1" applyBorder="1" applyAlignment="1">
      <alignment horizontal="left" vertical="center"/>
    </xf>
    <xf numFmtId="0" fontId="2" fillId="24" borderId="29" xfId="26" applyFont="1" applyFill="1" applyBorder="1" applyAlignment="1">
      <alignment horizontal="left" vertical="center"/>
    </xf>
    <xf numFmtId="0" fontId="10" fillId="24" borderId="10" xfId="26" applyFont="1" applyFill="1" applyBorder="1" applyAlignment="1">
      <alignment horizontal="left" vertical="center"/>
    </xf>
    <xf numFmtId="0" fontId="10" fillId="24" borderId="26" xfId="26" applyFont="1" applyFill="1" applyBorder="1" applyAlignment="1">
      <alignment horizontal="left" vertical="center"/>
    </xf>
    <xf numFmtId="0" fontId="2" fillId="24" borderId="0" xfId="26" applyFont="1" applyFill="1" applyBorder="1" applyAlignment="1">
      <alignment horizontal="left" vertical="center"/>
    </xf>
    <xf numFmtId="0" fontId="32" fillId="24" borderId="0" xfId="26" applyFont="1" applyFill="1" applyAlignment="1">
      <alignment horizontal="left" vertical="center"/>
    </xf>
    <xf numFmtId="0" fontId="2" fillId="26" borderId="25" xfId="26" applyFont="1" applyFill="1" applyBorder="1" applyAlignment="1">
      <alignment horizontal="left" vertical="center"/>
    </xf>
    <xf numFmtId="0" fontId="2" fillId="24" borderId="29" xfId="26" applyFont="1" applyFill="1" applyBorder="1" applyAlignment="1">
      <alignment horizontal="left" vertical="center" wrapText="1"/>
    </xf>
    <xf numFmtId="0" fontId="2" fillId="24" borderId="10" xfId="26" applyFont="1" applyFill="1" applyBorder="1" applyAlignment="1">
      <alignment horizontal="left" vertical="center" wrapText="1"/>
    </xf>
    <xf numFmtId="0" fontId="43" fillId="24" borderId="10" xfId="26" applyFont="1" applyFill="1" applyBorder="1" applyAlignment="1">
      <alignment horizontal="left" vertical="center"/>
    </xf>
    <xf numFmtId="0" fontId="2" fillId="25" borderId="28" xfId="26" applyFont="1" applyFill="1" applyBorder="1" applyAlignment="1">
      <alignment horizontal="center" vertical="center"/>
    </xf>
    <xf numFmtId="0" fontId="2" fillId="25" borderId="28" xfId="26" applyFont="1" applyFill="1" applyBorder="1" applyAlignment="1">
      <alignment horizontal="left" vertical="center"/>
    </xf>
    <xf numFmtId="0" fontId="2" fillId="24" borderId="26" xfId="26" applyFont="1" applyFill="1" applyBorder="1" applyAlignment="1">
      <alignment horizontal="center" vertical="center"/>
    </xf>
    <xf numFmtId="0" fontId="2" fillId="24" borderId="28" xfId="26" applyFont="1" applyFill="1" applyBorder="1" applyAlignment="1">
      <alignment horizontal="center" vertical="center"/>
    </xf>
    <xf numFmtId="0" fontId="2" fillId="24" borderId="29" xfId="26" applyFont="1" applyFill="1" applyBorder="1" applyAlignment="1">
      <alignment horizontal="center" vertical="center"/>
    </xf>
    <xf numFmtId="0" fontId="2" fillId="24" borderId="26" xfId="26" applyFont="1" applyFill="1" applyBorder="1" applyAlignment="1">
      <alignment horizontal="left" vertical="center"/>
    </xf>
    <xf numFmtId="0" fontId="2" fillId="24" borderId="28" xfId="26" applyFont="1" applyFill="1" applyBorder="1" applyAlignment="1">
      <alignment horizontal="left" vertical="center"/>
    </xf>
    <xf numFmtId="0" fontId="2" fillId="24" borderId="29" xfId="26" applyFont="1" applyFill="1" applyBorder="1" applyAlignment="1">
      <alignment horizontal="left" vertical="center"/>
    </xf>
    <xf numFmtId="176" fontId="6" fillId="24" borderId="28" xfId="26" applyNumberFormat="1" applyFont="1" applyFill="1" applyBorder="1">
      <alignment vertical="center"/>
    </xf>
    <xf numFmtId="0" fontId="2" fillId="0" borderId="29" xfId="26" applyFont="1" applyFill="1" applyBorder="1">
      <alignment vertical="center"/>
    </xf>
    <xf numFmtId="0" fontId="2" fillId="0" borderId="61" xfId="26" applyFont="1" applyFill="1" applyBorder="1">
      <alignment vertical="center"/>
    </xf>
    <xf numFmtId="0" fontId="2" fillId="24" borderId="58" xfId="26" applyFont="1" applyFill="1" applyBorder="1" applyAlignment="1">
      <alignment horizontal="left" vertical="center"/>
    </xf>
    <xf numFmtId="0" fontId="2" fillId="24" borderId="60" xfId="26" applyFont="1" applyFill="1" applyBorder="1" applyAlignment="1">
      <alignment horizontal="left" vertical="center"/>
    </xf>
    <xf numFmtId="0" fontId="2" fillId="24" borderId="57" xfId="26" applyFont="1" applyFill="1" applyBorder="1" applyAlignment="1">
      <alignment horizontal="center" vertical="center"/>
    </xf>
    <xf numFmtId="0" fontId="2" fillId="24" borderId="58" xfId="26" applyFont="1" applyFill="1" applyBorder="1" applyAlignment="1">
      <alignment horizontal="center" vertical="center"/>
    </xf>
    <xf numFmtId="0" fontId="2" fillId="24" borderId="59" xfId="26" applyFont="1" applyFill="1" applyBorder="1" applyAlignment="1">
      <alignment horizontal="center" vertical="center"/>
    </xf>
    <xf numFmtId="0" fontId="2" fillId="24" borderId="62" xfId="26" applyFont="1" applyFill="1" applyBorder="1" applyAlignment="1">
      <alignment horizontal="left" vertical="center"/>
    </xf>
    <xf numFmtId="0" fontId="2" fillId="24" borderId="61" xfId="26" applyFont="1" applyFill="1" applyBorder="1" applyAlignment="1">
      <alignment horizontal="left" vertical="center"/>
    </xf>
    <xf numFmtId="0" fontId="42" fillId="33" borderId="0" xfId="0" applyFont="1" applyFill="1" applyAlignment="1">
      <alignment vertical="center" shrinkToFit="1"/>
    </xf>
    <xf numFmtId="0" fontId="42" fillId="33" borderId="23" xfId="0" applyFont="1" applyFill="1" applyBorder="1" applyAlignment="1">
      <alignment horizontal="center" vertical="center" wrapText="1" shrinkToFit="1"/>
    </xf>
    <xf numFmtId="0" fontId="42" fillId="33" borderId="14" xfId="0" applyFont="1" applyFill="1" applyBorder="1" applyAlignment="1">
      <alignment vertical="center" shrinkToFit="1"/>
    </xf>
    <xf numFmtId="0" fontId="42" fillId="33" borderId="10" xfId="0" applyFont="1" applyFill="1" applyBorder="1" applyAlignment="1">
      <alignment vertical="center" shrinkToFit="1"/>
    </xf>
    <xf numFmtId="0" fontId="42" fillId="33" borderId="20" xfId="0" applyFont="1" applyFill="1" applyBorder="1" applyAlignment="1">
      <alignment vertical="center" shrinkToFit="1"/>
    </xf>
    <xf numFmtId="0" fontId="42" fillId="33" borderId="29" xfId="0" applyFont="1" applyFill="1" applyBorder="1" applyAlignment="1">
      <alignment vertical="center" shrinkToFit="1"/>
    </xf>
    <xf numFmtId="0" fontId="28" fillId="33" borderId="14" xfId="0" applyFont="1" applyFill="1" applyBorder="1" applyAlignment="1">
      <alignment vertical="center" shrinkToFit="1"/>
    </xf>
    <xf numFmtId="0" fontId="42" fillId="33" borderId="23" xfId="0" applyFont="1" applyFill="1" applyBorder="1" applyAlignment="1">
      <alignment vertical="center" shrinkToFit="1"/>
    </xf>
    <xf numFmtId="0" fontId="42" fillId="33" borderId="38" xfId="0" applyFont="1" applyFill="1" applyBorder="1" applyAlignment="1">
      <alignment vertical="center" shrinkToFit="1"/>
    </xf>
    <xf numFmtId="0" fontId="42" fillId="33" borderId="41" xfId="0" applyFont="1" applyFill="1" applyBorder="1" applyAlignment="1">
      <alignment vertical="center" shrinkToFit="1"/>
    </xf>
    <xf numFmtId="0" fontId="42" fillId="33" borderId="45" xfId="0" applyFont="1" applyFill="1" applyBorder="1" applyAlignment="1">
      <alignment vertical="center" shrinkToFit="1"/>
    </xf>
    <xf numFmtId="0" fontId="42" fillId="33" borderId="48" xfId="0" applyFont="1" applyFill="1" applyBorder="1" applyAlignment="1">
      <alignment vertical="center" shrinkToFit="1"/>
    </xf>
    <xf numFmtId="0" fontId="42" fillId="33" borderId="28" xfId="0" applyFont="1" applyFill="1" applyBorder="1" applyAlignment="1">
      <alignment vertical="center" shrinkToFit="1"/>
    </xf>
    <xf numFmtId="0" fontId="28" fillId="31" borderId="22" xfId="0" applyFont="1" applyFill="1" applyBorder="1" applyAlignment="1">
      <alignment horizontal="center" vertical="center" wrapText="1" shrinkToFit="1"/>
    </xf>
    <xf numFmtId="0" fontId="28" fillId="31" borderId="23" xfId="0" applyFont="1" applyFill="1" applyBorder="1" applyAlignment="1">
      <alignment horizontal="center" vertical="center" wrapText="1" shrinkToFit="1"/>
    </xf>
    <xf numFmtId="177" fontId="28" fillId="31" borderId="23" xfId="34" applyNumberFormat="1" applyFont="1" applyFill="1" applyBorder="1" applyAlignment="1">
      <alignment horizontal="center" vertical="center" wrapText="1" shrinkToFit="1"/>
    </xf>
    <xf numFmtId="0" fontId="28" fillId="31" borderId="24" xfId="0" applyFont="1" applyFill="1" applyBorder="1" applyAlignment="1">
      <alignment horizontal="center" vertical="center" wrapText="1" shrinkToFit="1"/>
    </xf>
    <xf numFmtId="0" fontId="28" fillId="31" borderId="13" xfId="0" applyFont="1" applyFill="1" applyBorder="1" applyAlignment="1">
      <alignment horizontal="center" vertical="center"/>
    </xf>
    <xf numFmtId="0" fontId="28" fillId="31" borderId="11" xfId="0" applyFont="1" applyFill="1" applyBorder="1" applyAlignment="1">
      <alignment horizontal="center" vertical="center" shrinkToFit="1"/>
    </xf>
    <xf numFmtId="0" fontId="28" fillId="31" borderId="11" xfId="0" applyFont="1" applyFill="1" applyBorder="1" applyAlignment="1">
      <alignment horizontal="center" vertical="center"/>
    </xf>
    <xf numFmtId="176" fontId="28" fillId="31" borderId="11" xfId="34" applyNumberFormat="1" applyFont="1" applyFill="1" applyBorder="1" applyAlignment="1">
      <alignment horizontal="center" vertical="center"/>
    </xf>
    <xf numFmtId="0" fontId="28" fillId="31" borderId="12" xfId="0" applyFont="1" applyFill="1" applyBorder="1" applyAlignment="1">
      <alignment horizontal="center" vertical="center"/>
    </xf>
    <xf numFmtId="0" fontId="33" fillId="29" borderId="14" xfId="0" applyFont="1" applyFill="1" applyBorder="1">
      <alignment vertical="center"/>
    </xf>
    <xf numFmtId="0" fontId="33" fillId="29" borderId="20" xfId="0" applyFont="1" applyFill="1" applyBorder="1">
      <alignment vertical="center"/>
    </xf>
    <xf numFmtId="0" fontId="33" fillId="29" borderId="10" xfId="0" applyFont="1" applyFill="1" applyBorder="1">
      <alignment vertical="center"/>
    </xf>
    <xf numFmtId="0" fontId="33" fillId="29" borderId="23" xfId="0" applyFont="1" applyFill="1" applyBorder="1">
      <alignment vertical="center"/>
    </xf>
    <xf numFmtId="3" fontId="33" fillId="29" borderId="20" xfId="0" applyNumberFormat="1" applyFont="1" applyFill="1" applyBorder="1">
      <alignment vertical="center"/>
    </xf>
    <xf numFmtId="0" fontId="2" fillId="24" borderId="26" xfId="26" applyFont="1" applyFill="1" applyBorder="1" applyAlignment="1">
      <alignment horizontal="center" vertical="center"/>
    </xf>
    <xf numFmtId="0" fontId="2" fillId="24" borderId="28" xfId="26" applyFont="1" applyFill="1" applyBorder="1" applyAlignment="1">
      <alignment horizontal="center" vertical="center"/>
    </xf>
    <xf numFmtId="0" fontId="2" fillId="24" borderId="26" xfId="26" applyFont="1" applyFill="1" applyBorder="1" applyAlignment="1">
      <alignment horizontal="left" vertical="center"/>
    </xf>
    <xf numFmtId="0" fontId="2" fillId="24" borderId="28" xfId="26" applyFont="1" applyFill="1" applyBorder="1" applyAlignment="1">
      <alignment horizontal="left" vertical="center"/>
    </xf>
    <xf numFmtId="176" fontId="6" fillId="25" borderId="28" xfId="34" applyNumberFormat="1" applyFont="1" applyFill="1" applyBorder="1">
      <alignment vertical="center"/>
    </xf>
    <xf numFmtId="178" fontId="32" fillId="24" borderId="26" xfId="26" applyNumberFormat="1" applyFont="1" applyFill="1" applyBorder="1" applyAlignment="1">
      <alignment horizontal="right" vertical="center"/>
    </xf>
    <xf numFmtId="176" fontId="6" fillId="24" borderId="26" xfId="26" applyNumberFormat="1" applyFont="1" applyFill="1" applyBorder="1">
      <alignment vertical="center"/>
    </xf>
    <xf numFmtId="0" fontId="6" fillId="24" borderId="10" xfId="26" applyFont="1" applyFill="1" applyBorder="1" applyAlignment="1">
      <alignment horizontal="left" vertical="center"/>
    </xf>
    <xf numFmtId="176" fontId="43" fillId="0" borderId="10" xfId="34" applyNumberFormat="1" applyFont="1" applyFill="1" applyBorder="1">
      <alignment vertical="center"/>
    </xf>
    <xf numFmtId="0" fontId="43" fillId="0" borderId="10" xfId="26" applyFont="1" applyFill="1" applyBorder="1" applyAlignment="1">
      <alignment horizontal="center" vertical="center"/>
    </xf>
    <xf numFmtId="0" fontId="28" fillId="34" borderId="51" xfId="0" applyFont="1" applyFill="1" applyBorder="1" applyAlignment="1">
      <alignment vertical="center" shrinkToFit="1"/>
    </xf>
    <xf numFmtId="0" fontId="28" fillId="34" borderId="52" xfId="0" applyFont="1" applyFill="1" applyBorder="1" applyAlignment="1">
      <alignment vertical="center" shrinkToFit="1"/>
    </xf>
    <xf numFmtId="177" fontId="28" fillId="34" borderId="52" xfId="34" applyNumberFormat="1" applyFont="1" applyFill="1" applyBorder="1" applyAlignment="1">
      <alignment vertical="center" shrinkToFit="1"/>
    </xf>
    <xf numFmtId="0" fontId="42" fillId="34" borderId="52" xfId="0" applyFont="1" applyFill="1" applyBorder="1" applyAlignment="1">
      <alignment vertical="center" shrinkToFit="1"/>
    </xf>
    <xf numFmtId="0" fontId="28" fillId="34" borderId="52" xfId="0" applyFont="1" applyFill="1" applyBorder="1" applyAlignment="1">
      <alignment horizontal="center" vertical="center" shrinkToFit="1"/>
    </xf>
    <xf numFmtId="0" fontId="28" fillId="34" borderId="43" xfId="0" applyFont="1" applyFill="1" applyBorder="1" applyAlignment="1">
      <alignment vertical="center" shrinkToFit="1"/>
    </xf>
    <xf numFmtId="0" fontId="28" fillId="34" borderId="0" xfId="0" applyFont="1" applyFill="1" applyAlignment="1">
      <alignment vertical="center" shrinkToFit="1"/>
    </xf>
    <xf numFmtId="0" fontId="28" fillId="34" borderId="40" xfId="0" applyFont="1" applyFill="1" applyBorder="1" applyAlignment="1">
      <alignment vertical="center" shrinkToFit="1"/>
    </xf>
    <xf numFmtId="0" fontId="28" fillId="34" borderId="41" xfId="0" applyFont="1" applyFill="1" applyBorder="1" applyAlignment="1">
      <alignment vertical="center" shrinkToFit="1"/>
    </xf>
    <xf numFmtId="177" fontId="28" fillId="34" borderId="41" xfId="34" applyNumberFormat="1" applyFont="1" applyFill="1" applyBorder="1" applyAlignment="1">
      <alignment vertical="center" shrinkToFit="1"/>
    </xf>
    <xf numFmtId="0" fontId="42" fillId="34" borderId="41" xfId="0" applyFont="1" applyFill="1" applyBorder="1" applyAlignment="1">
      <alignment vertical="center" shrinkToFit="1"/>
    </xf>
    <xf numFmtId="0" fontId="28" fillId="34" borderId="41" xfId="0" applyFont="1" applyFill="1" applyBorder="1" applyAlignment="1">
      <alignment horizontal="center" vertical="center" shrinkToFit="1"/>
    </xf>
    <xf numFmtId="0" fontId="28" fillId="34" borderId="42" xfId="0" applyFont="1" applyFill="1" applyBorder="1" applyAlignment="1">
      <alignment vertical="center" shrinkToFit="1"/>
    </xf>
    <xf numFmtId="0" fontId="33" fillId="34" borderId="14" xfId="0" applyFont="1" applyFill="1" applyBorder="1">
      <alignment vertical="center"/>
    </xf>
    <xf numFmtId="0" fontId="33" fillId="34" borderId="0" xfId="0" applyFont="1" applyFill="1">
      <alignment vertical="center"/>
    </xf>
    <xf numFmtId="0" fontId="33" fillId="0" borderId="64" xfId="44" applyFont="1" applyFill="1" applyBorder="1" applyAlignment="1">
      <alignment horizontal="left"/>
    </xf>
    <xf numFmtId="0" fontId="33" fillId="0" borderId="26" xfId="44" applyFont="1" applyFill="1" applyBorder="1" applyAlignment="1">
      <alignment shrinkToFit="1"/>
    </xf>
    <xf numFmtId="176" fontId="33" fillId="0" borderId="26" xfId="34" applyNumberFormat="1" applyFont="1" applyFill="1" applyBorder="1">
      <alignment vertical="center"/>
    </xf>
    <xf numFmtId="0" fontId="33" fillId="27" borderId="26" xfId="0" applyFont="1" applyFill="1" applyBorder="1">
      <alignment vertical="center"/>
    </xf>
    <xf numFmtId="0" fontId="33" fillId="0" borderId="65" xfId="0" applyFont="1" applyFill="1" applyBorder="1">
      <alignment vertical="center"/>
    </xf>
    <xf numFmtId="0" fontId="33" fillId="34" borderId="22" xfId="44" applyFont="1" applyFill="1" applyBorder="1" applyAlignment="1">
      <alignment vertical="center"/>
    </xf>
    <xf numFmtId="0" fontId="33" fillId="34" borderId="23" xfId="44" applyFont="1" applyFill="1" applyBorder="1" applyAlignment="1">
      <alignment vertical="center" shrinkToFit="1"/>
    </xf>
    <xf numFmtId="0" fontId="33" fillId="34" borderId="23" xfId="0" applyFont="1" applyFill="1" applyBorder="1">
      <alignment vertical="center"/>
    </xf>
    <xf numFmtId="0" fontId="3" fillId="34" borderId="23" xfId="0" applyFont="1" applyFill="1" applyBorder="1">
      <alignment vertical="center"/>
    </xf>
    <xf numFmtId="176" fontId="33" fillId="34" borderId="23" xfId="34" applyNumberFormat="1" applyFont="1" applyFill="1" applyBorder="1">
      <alignment vertical="center"/>
    </xf>
    <xf numFmtId="0" fontId="33" fillId="34" borderId="23" xfId="0" applyFont="1" applyFill="1" applyBorder="1" applyAlignment="1">
      <alignment horizontal="center" vertical="center"/>
    </xf>
    <xf numFmtId="0" fontId="3" fillId="34" borderId="24" xfId="0" applyFont="1" applyFill="1" applyBorder="1" applyAlignment="1">
      <alignment horizontal="left" vertical="center"/>
    </xf>
    <xf numFmtId="179" fontId="46" fillId="30" borderId="67" xfId="46" applyNumberFormat="1" applyFont="1" applyFill="1" applyBorder="1" applyAlignment="1">
      <alignment horizontal="left" vertical="center"/>
    </xf>
    <xf numFmtId="179" fontId="46" fillId="30" borderId="70" xfId="46" applyNumberFormat="1" applyFont="1" applyFill="1" applyBorder="1" applyAlignment="1">
      <alignment horizontal="left" vertical="center"/>
    </xf>
    <xf numFmtId="179" fontId="46" fillId="30" borderId="73" xfId="46" applyNumberFormat="1" applyFont="1" applyFill="1" applyBorder="1" applyAlignment="1">
      <alignment horizontal="left" vertical="center"/>
    </xf>
    <xf numFmtId="179" fontId="46" fillId="30" borderId="76" xfId="46" applyNumberFormat="1" applyFont="1" applyFill="1" applyBorder="1" applyAlignment="1">
      <alignment horizontal="left" vertical="center"/>
    </xf>
    <xf numFmtId="0" fontId="2" fillId="26" borderId="10" xfId="26" applyFont="1" applyFill="1" applyBorder="1" applyAlignment="1">
      <alignment horizontal="center" vertical="center" wrapText="1"/>
    </xf>
    <xf numFmtId="0" fontId="2" fillId="26" borderId="10" xfId="26" applyFont="1" applyFill="1" applyBorder="1" applyAlignment="1">
      <alignment horizontal="center" vertical="center"/>
    </xf>
    <xf numFmtId="177" fontId="2" fillId="35" borderId="25" xfId="34" applyNumberFormat="1" applyFont="1" applyFill="1" applyBorder="1">
      <alignment vertical="center"/>
    </xf>
    <xf numFmtId="176" fontId="2" fillId="35" borderId="10" xfId="34" applyNumberFormat="1" applyFont="1" applyFill="1" applyBorder="1">
      <alignment vertical="center"/>
    </xf>
    <xf numFmtId="176" fontId="2" fillId="35" borderId="10" xfId="34" applyNumberFormat="1" applyFont="1" applyFill="1" applyBorder="1" applyAlignment="1">
      <alignment horizontal="center" vertical="center"/>
    </xf>
    <xf numFmtId="176" fontId="2" fillId="35" borderId="10" xfId="34" applyNumberFormat="1" applyFont="1" applyFill="1" applyBorder="1" applyAlignment="1">
      <alignment horizontal="left" vertical="center"/>
    </xf>
    <xf numFmtId="177" fontId="2" fillId="35" borderId="28" xfId="34" applyNumberFormat="1" applyFont="1" applyFill="1" applyBorder="1">
      <alignment vertical="center"/>
    </xf>
    <xf numFmtId="176" fontId="2" fillId="35" borderId="28" xfId="34" applyNumberFormat="1" applyFont="1" applyFill="1" applyBorder="1">
      <alignment vertical="center"/>
    </xf>
    <xf numFmtId="0" fontId="28" fillId="36" borderId="13" xfId="0" applyFont="1" applyFill="1" applyBorder="1" applyAlignment="1">
      <alignment vertical="center" shrinkToFit="1"/>
    </xf>
    <xf numFmtId="0" fontId="28" fillId="36" borderId="11" xfId="0" applyFont="1" applyFill="1" applyBorder="1" applyAlignment="1">
      <alignment vertical="center" shrinkToFit="1"/>
    </xf>
    <xf numFmtId="177" fontId="28" fillId="36" borderId="29" xfId="34" applyNumberFormat="1" applyFont="1" applyFill="1" applyBorder="1" applyAlignment="1">
      <alignment vertical="center" shrinkToFit="1"/>
    </xf>
    <xf numFmtId="0" fontId="28" fillId="36" borderId="14" xfId="0" applyFont="1" applyFill="1" applyBorder="1" applyAlignment="1">
      <alignment vertical="center" shrinkToFit="1"/>
    </xf>
    <xf numFmtId="0" fontId="28" fillId="36" borderId="14" xfId="0" applyFont="1" applyFill="1" applyBorder="1" applyAlignment="1">
      <alignment horizontal="center" vertical="center" shrinkToFit="1"/>
    </xf>
    <xf numFmtId="0" fontId="28" fillId="36" borderId="15" xfId="0" applyFont="1" applyFill="1" applyBorder="1" applyAlignment="1">
      <alignment vertical="center" shrinkToFit="1"/>
    </xf>
    <xf numFmtId="0" fontId="28" fillId="36" borderId="0" xfId="0" applyFont="1" applyFill="1" applyAlignment="1">
      <alignment vertical="center" shrinkToFit="1"/>
    </xf>
    <xf numFmtId="0" fontId="28" fillId="36" borderId="32" xfId="0" applyFont="1" applyFill="1" applyBorder="1" applyAlignment="1">
      <alignment vertical="center" shrinkToFit="1"/>
    </xf>
    <xf numFmtId="0" fontId="28" fillId="36" borderId="27" xfId="0" applyFont="1" applyFill="1" applyBorder="1" applyAlignment="1">
      <alignment vertical="center" shrinkToFit="1"/>
    </xf>
    <xf numFmtId="177" fontId="28" fillId="36" borderId="10" xfId="34" applyNumberFormat="1" applyFont="1" applyFill="1" applyBorder="1" applyAlignment="1">
      <alignment vertical="center" shrinkToFit="1"/>
    </xf>
    <xf numFmtId="0" fontId="28" fillId="36" borderId="10" xfId="0" applyFont="1" applyFill="1" applyBorder="1" applyAlignment="1">
      <alignment vertical="center" shrinkToFit="1"/>
    </xf>
    <xf numFmtId="0" fontId="28" fillId="36" borderId="10" xfId="0" applyFont="1" applyFill="1" applyBorder="1" applyAlignment="1">
      <alignment horizontal="center" vertical="center" shrinkToFit="1"/>
    </xf>
    <xf numFmtId="0" fontId="28" fillId="36" borderId="16" xfId="0" applyFont="1" applyFill="1" applyBorder="1" applyAlignment="1">
      <alignment vertical="center" shrinkToFit="1"/>
    </xf>
    <xf numFmtId="0" fontId="28" fillId="36" borderId="22" xfId="0" applyFont="1" applyFill="1" applyBorder="1" applyAlignment="1">
      <alignment vertical="center" shrinkToFit="1"/>
    </xf>
    <xf numFmtId="0" fontId="28" fillId="36" borderId="23" xfId="0" applyFont="1" applyFill="1" applyBorder="1" applyAlignment="1">
      <alignment vertical="center" shrinkToFit="1"/>
    </xf>
    <xf numFmtId="177" fontId="28" fillId="36" borderId="23" xfId="34" applyNumberFormat="1" applyFont="1" applyFill="1" applyBorder="1" applyAlignment="1">
      <alignment vertical="center" shrinkToFit="1"/>
    </xf>
    <xf numFmtId="0" fontId="42" fillId="36" borderId="23" xfId="0" applyFont="1" applyFill="1" applyBorder="1" applyAlignment="1">
      <alignment vertical="center" shrinkToFit="1"/>
    </xf>
    <xf numFmtId="0" fontId="28" fillId="36" borderId="23" xfId="0" applyFont="1" applyFill="1" applyBorder="1" applyAlignment="1">
      <alignment horizontal="center" vertical="center" shrinkToFit="1"/>
    </xf>
    <xf numFmtId="0" fontId="28" fillId="36" borderId="24" xfId="0" applyFont="1" applyFill="1" applyBorder="1" applyAlignment="1">
      <alignment vertical="center" shrinkToFit="1"/>
    </xf>
    <xf numFmtId="0" fontId="28" fillId="36" borderId="24" xfId="0" applyFont="1" applyFill="1" applyBorder="1" applyAlignment="1">
      <alignment horizontal="center" vertical="center" shrinkToFit="1"/>
    </xf>
    <xf numFmtId="177" fontId="28" fillId="36" borderId="14" xfId="34" applyNumberFormat="1" applyFont="1" applyFill="1" applyBorder="1" applyAlignment="1">
      <alignment vertical="center" shrinkToFit="1"/>
    </xf>
    <xf numFmtId="0" fontId="42" fillId="36" borderId="14" xfId="0" applyFont="1" applyFill="1" applyBorder="1" applyAlignment="1">
      <alignment vertical="center" shrinkToFit="1"/>
    </xf>
    <xf numFmtId="0" fontId="28" fillId="36" borderId="33" xfId="0" applyFont="1" applyFill="1" applyBorder="1" applyAlignment="1">
      <alignment vertical="center" shrinkToFit="1"/>
    </xf>
    <xf numFmtId="0" fontId="28" fillId="36" borderId="28" xfId="0" applyFont="1" applyFill="1" applyBorder="1" applyAlignment="1">
      <alignment vertical="center" shrinkToFit="1"/>
    </xf>
    <xf numFmtId="0" fontId="28" fillId="36" borderId="29" xfId="0" applyFont="1" applyFill="1" applyBorder="1" applyAlignment="1">
      <alignment vertical="center" shrinkToFit="1"/>
    </xf>
    <xf numFmtId="0" fontId="42" fillId="36" borderId="29" xfId="0" applyFont="1" applyFill="1" applyBorder="1" applyAlignment="1">
      <alignment vertical="center" shrinkToFit="1"/>
    </xf>
    <xf numFmtId="0" fontId="28" fillId="36" borderId="29" xfId="0" applyFont="1" applyFill="1" applyBorder="1" applyAlignment="1">
      <alignment horizontal="center" vertical="center" shrinkToFit="1"/>
    </xf>
    <xf numFmtId="0" fontId="28" fillId="36" borderId="31" xfId="0" applyFont="1" applyFill="1" applyBorder="1" applyAlignment="1">
      <alignment vertical="center" shrinkToFit="1"/>
    </xf>
    <xf numFmtId="0" fontId="42" fillId="36" borderId="10" xfId="0" applyFont="1" applyFill="1" applyBorder="1" applyAlignment="1">
      <alignment vertical="center" shrinkToFit="1"/>
    </xf>
    <xf numFmtId="179" fontId="46" fillId="36" borderId="67" xfId="46" applyNumberFormat="1" applyFont="1" applyFill="1" applyBorder="1" applyAlignment="1">
      <alignment horizontal="left" vertical="center"/>
    </xf>
    <xf numFmtId="179" fontId="46" fillId="36" borderId="70" xfId="46" applyNumberFormat="1" applyFont="1" applyFill="1" applyBorder="1" applyAlignment="1">
      <alignment horizontal="left" vertical="center"/>
    </xf>
    <xf numFmtId="179" fontId="46" fillId="36" borderId="73" xfId="46" applyNumberFormat="1" applyFont="1" applyFill="1" applyBorder="1" applyAlignment="1">
      <alignment horizontal="left" vertical="center"/>
    </xf>
    <xf numFmtId="0" fontId="33" fillId="0" borderId="60" xfId="44" applyFont="1" applyFill="1" applyBorder="1" applyAlignment="1">
      <alignment vertical="center"/>
    </xf>
    <xf numFmtId="0" fontId="33" fillId="0" borderId="28" xfId="44" applyFont="1" applyFill="1" applyBorder="1" applyAlignment="1">
      <alignment vertical="center" shrinkToFit="1"/>
    </xf>
    <xf numFmtId="176" fontId="33" fillId="0" borderId="28" xfId="34" applyNumberFormat="1" applyFont="1" applyFill="1" applyBorder="1">
      <alignment vertical="center"/>
    </xf>
    <xf numFmtId="0" fontId="33" fillId="0" borderId="28" xfId="0" applyFont="1" applyFill="1" applyBorder="1">
      <alignment vertical="center"/>
    </xf>
    <xf numFmtId="0" fontId="33" fillId="29" borderId="28" xfId="0" applyFont="1" applyFill="1" applyBorder="1">
      <alignment vertical="center"/>
    </xf>
    <xf numFmtId="0" fontId="33" fillId="27" borderId="28" xfId="0" applyFont="1" applyFill="1" applyBorder="1">
      <alignment vertical="center"/>
    </xf>
    <xf numFmtId="0" fontId="33" fillId="0" borderId="28" xfId="0" applyFont="1" applyFill="1" applyBorder="1" applyAlignment="1">
      <alignment horizontal="center" vertical="center"/>
    </xf>
    <xf numFmtId="0" fontId="2" fillId="24" borderId="26" xfId="26" applyFont="1" applyFill="1" applyBorder="1" applyAlignment="1">
      <alignment horizontal="left" vertical="center"/>
    </xf>
    <xf numFmtId="0" fontId="2" fillId="24" borderId="26" xfId="26" applyFont="1" applyFill="1" applyBorder="1" applyAlignment="1">
      <alignment horizontal="center" vertical="center"/>
    </xf>
    <xf numFmtId="0" fontId="48" fillId="24" borderId="0" xfId="26" applyFont="1" applyFill="1">
      <alignment vertical="center"/>
    </xf>
    <xf numFmtId="0" fontId="48" fillId="24" borderId="10" xfId="26" applyFont="1" applyFill="1" applyBorder="1">
      <alignment vertical="center"/>
    </xf>
    <xf numFmtId="176" fontId="48" fillId="24" borderId="10" xfId="34" applyNumberFormat="1" applyFont="1" applyFill="1" applyBorder="1">
      <alignment vertical="center"/>
    </xf>
    <xf numFmtId="0" fontId="48" fillId="24" borderId="10" xfId="26" applyFont="1" applyFill="1" applyBorder="1" applyAlignment="1">
      <alignment horizontal="center" vertical="center"/>
    </xf>
    <xf numFmtId="176" fontId="48" fillId="24" borderId="10" xfId="26" applyNumberFormat="1" applyFont="1" applyFill="1" applyBorder="1">
      <alignment vertical="center"/>
    </xf>
    <xf numFmtId="43" fontId="48" fillId="24" borderId="10" xfId="26" applyNumberFormat="1" applyFont="1" applyFill="1" applyBorder="1">
      <alignment vertical="center"/>
    </xf>
    <xf numFmtId="0" fontId="48" fillId="24" borderId="10" xfId="26" applyFont="1" applyFill="1" applyBorder="1" applyAlignment="1">
      <alignment horizontal="left" vertical="center"/>
    </xf>
    <xf numFmtId="0" fontId="2" fillId="35" borderId="10" xfId="26" applyFont="1" applyFill="1" applyBorder="1">
      <alignment vertical="center"/>
    </xf>
    <xf numFmtId="0" fontId="2" fillId="35" borderId="10" xfId="26" applyFont="1" applyFill="1" applyBorder="1" applyAlignment="1">
      <alignment horizontal="center" vertical="center"/>
    </xf>
    <xf numFmtId="0" fontId="6" fillId="35" borderId="10" xfId="26" applyFont="1" applyFill="1" applyBorder="1">
      <alignment vertical="center"/>
    </xf>
    <xf numFmtId="176" fontId="6" fillId="35" borderId="10" xfId="34" applyNumberFormat="1" applyFont="1" applyFill="1" applyBorder="1">
      <alignment vertical="center"/>
    </xf>
    <xf numFmtId="0" fontId="6" fillId="35" borderId="10" xfId="26" applyFont="1" applyFill="1" applyBorder="1" applyAlignment="1">
      <alignment horizontal="center" vertical="center"/>
    </xf>
    <xf numFmtId="49" fontId="6" fillId="24" borderId="29" xfId="26" applyNumberFormat="1" applyFont="1" applyFill="1" applyBorder="1" applyAlignment="1">
      <alignment horizontal="center" vertical="center"/>
    </xf>
    <xf numFmtId="49" fontId="6" fillId="24" borderId="28" xfId="26" applyNumberFormat="1" applyFont="1" applyFill="1" applyBorder="1" applyAlignment="1">
      <alignment horizontal="center" vertical="center"/>
    </xf>
    <xf numFmtId="0" fontId="2" fillId="0" borderId="59" xfId="26" applyFont="1" applyFill="1" applyBorder="1">
      <alignment vertical="center"/>
    </xf>
    <xf numFmtId="177" fontId="32" fillId="0" borderId="29" xfId="34" applyNumberFormat="1" applyFont="1" applyFill="1" applyBorder="1">
      <alignment vertical="center"/>
    </xf>
    <xf numFmtId="43" fontId="32" fillId="0" borderId="29" xfId="26" applyNumberFormat="1" applyFont="1" applyFill="1" applyBorder="1">
      <alignment vertical="center"/>
    </xf>
    <xf numFmtId="0" fontId="32" fillId="0" borderId="29" xfId="26" applyFont="1" applyFill="1" applyBorder="1" applyAlignment="1">
      <alignment horizontal="center" vertical="center"/>
    </xf>
    <xf numFmtId="176" fontId="2" fillId="0" borderId="29" xfId="26" applyNumberFormat="1" applyFont="1" applyFill="1" applyBorder="1">
      <alignment vertical="center"/>
    </xf>
    <xf numFmtId="176" fontId="6" fillId="0" borderId="29" xfId="26" applyNumberFormat="1" applyFont="1" applyFill="1" applyBorder="1" applyAlignment="1">
      <alignment horizontal="center" vertical="center"/>
    </xf>
    <xf numFmtId="0" fontId="2" fillId="0" borderId="59" xfId="26" applyFont="1" applyFill="1" applyBorder="1" applyAlignment="1">
      <alignment horizontal="center" vertical="center"/>
    </xf>
    <xf numFmtId="176" fontId="43" fillId="24" borderId="10" xfId="34" applyNumberFormat="1" applyFont="1" applyFill="1" applyBorder="1">
      <alignment vertical="center"/>
    </xf>
    <xf numFmtId="0" fontId="2" fillId="35" borderId="28" xfId="26" applyFont="1" applyFill="1" applyBorder="1">
      <alignment vertical="center"/>
    </xf>
    <xf numFmtId="176" fontId="6" fillId="35" borderId="10" xfId="26" applyNumberFormat="1" applyFont="1" applyFill="1" applyBorder="1">
      <alignment vertical="center"/>
    </xf>
    <xf numFmtId="43" fontId="6" fillId="35" borderId="10" xfId="26" applyNumberFormat="1" applyFont="1" applyFill="1" applyBorder="1">
      <alignment vertical="center"/>
    </xf>
    <xf numFmtId="0" fontId="2" fillId="35" borderId="0" xfId="26" applyFont="1" applyFill="1">
      <alignment vertical="center"/>
    </xf>
    <xf numFmtId="0" fontId="2" fillId="35" borderId="26" xfId="26" applyFont="1" applyFill="1" applyBorder="1">
      <alignment vertical="center"/>
    </xf>
    <xf numFmtId="0" fontId="2" fillId="35" borderId="29" xfId="26" applyFont="1" applyFill="1" applyBorder="1">
      <alignment vertical="center"/>
    </xf>
    <xf numFmtId="43" fontId="4" fillId="35" borderId="10" xfId="26" applyNumberFormat="1" applyFont="1" applyFill="1" applyBorder="1">
      <alignment vertical="center"/>
    </xf>
    <xf numFmtId="0" fontId="2" fillId="35" borderId="10" xfId="26" applyFont="1" applyFill="1" applyBorder="1" applyAlignment="1">
      <alignment horizontal="left" vertical="center"/>
    </xf>
    <xf numFmtId="177" fontId="28" fillId="36" borderId="20" xfId="34" applyNumberFormat="1" applyFont="1" applyFill="1" applyBorder="1" applyAlignment="1">
      <alignment vertical="center" shrinkToFit="1"/>
    </xf>
    <xf numFmtId="0" fontId="28" fillId="36" borderId="17" xfId="0" applyFont="1" applyFill="1" applyBorder="1" applyAlignment="1">
      <alignment vertical="center" shrinkToFit="1"/>
    </xf>
    <xf numFmtId="0" fontId="28" fillId="36" borderId="43" xfId="0" applyFont="1" applyFill="1" applyBorder="1" applyAlignment="1">
      <alignment horizontal="center" vertical="center" shrinkToFit="1"/>
    </xf>
    <xf numFmtId="0" fontId="28" fillId="36" borderId="34" xfId="0" applyFont="1" applyFill="1" applyBorder="1" applyAlignment="1">
      <alignment vertical="center" shrinkToFit="1"/>
    </xf>
    <xf numFmtId="0" fontId="28" fillId="36" borderId="35" xfId="0" applyFont="1" applyFill="1" applyBorder="1" applyAlignment="1">
      <alignment vertical="center" shrinkToFit="1"/>
    </xf>
    <xf numFmtId="177" fontId="28" fillId="36" borderId="35" xfId="34" applyNumberFormat="1" applyFont="1" applyFill="1" applyBorder="1" applyAlignment="1">
      <alignment vertical="center" shrinkToFit="1"/>
    </xf>
    <xf numFmtId="0" fontId="42" fillId="36" borderId="35" xfId="0" applyFont="1" applyFill="1" applyBorder="1" applyAlignment="1">
      <alignment vertical="center" shrinkToFit="1"/>
    </xf>
    <xf numFmtId="0" fontId="28" fillId="36" borderId="35" xfId="0" applyFont="1" applyFill="1" applyBorder="1" applyAlignment="1">
      <alignment horizontal="center" vertical="center" shrinkToFit="1"/>
    </xf>
    <xf numFmtId="0" fontId="28" fillId="36" borderId="39" xfId="0" applyFont="1" applyFill="1" applyBorder="1" applyAlignment="1">
      <alignment horizontal="center" vertical="center" shrinkToFit="1"/>
    </xf>
    <xf numFmtId="0" fontId="28" fillId="36" borderId="37" xfId="0" applyFont="1" applyFill="1" applyBorder="1" applyAlignment="1">
      <alignment vertical="center" shrinkToFit="1"/>
    </xf>
    <xf numFmtId="0" fontId="28" fillId="36" borderId="38" xfId="0" applyFont="1" applyFill="1" applyBorder="1" applyAlignment="1">
      <alignment vertical="center" shrinkToFit="1"/>
    </xf>
    <xf numFmtId="177" fontId="28" fillId="36" borderId="38" xfId="34" applyNumberFormat="1" applyFont="1" applyFill="1" applyBorder="1" applyAlignment="1">
      <alignment vertical="center" shrinkToFit="1"/>
    </xf>
    <xf numFmtId="0" fontId="42" fillId="36" borderId="38" xfId="0" applyFont="1" applyFill="1" applyBorder="1" applyAlignment="1">
      <alignment vertical="center" shrinkToFit="1"/>
    </xf>
    <xf numFmtId="0" fontId="28" fillId="36" borderId="38" xfId="0" applyFont="1" applyFill="1" applyBorder="1" applyAlignment="1">
      <alignment horizontal="center" vertical="center" shrinkToFit="1"/>
    </xf>
    <xf numFmtId="0" fontId="28" fillId="36" borderId="40" xfId="0" applyFont="1" applyFill="1" applyBorder="1" applyAlignment="1">
      <alignment vertical="center" shrinkToFit="1"/>
    </xf>
    <xf numFmtId="0" fontId="28" fillId="36" borderId="41" xfId="0" applyFont="1" applyFill="1" applyBorder="1" applyAlignment="1">
      <alignment vertical="center" shrinkToFit="1"/>
    </xf>
    <xf numFmtId="177" fontId="28" fillId="36" borderId="41" xfId="34" applyNumberFormat="1" applyFont="1" applyFill="1" applyBorder="1" applyAlignment="1">
      <alignment vertical="center" shrinkToFit="1"/>
    </xf>
    <xf numFmtId="0" fontId="42" fillId="36" borderId="41" xfId="0" applyFont="1" applyFill="1" applyBorder="1" applyAlignment="1">
      <alignment vertical="center" shrinkToFit="1"/>
    </xf>
    <xf numFmtId="0" fontId="28" fillId="36" borderId="41" xfId="0" applyFont="1" applyFill="1" applyBorder="1" applyAlignment="1">
      <alignment horizontal="center" vertical="center" shrinkToFit="1"/>
    </xf>
    <xf numFmtId="0" fontId="28" fillId="36" borderId="42" xfId="0" applyFont="1" applyFill="1" applyBorder="1" applyAlignment="1">
      <alignment horizontal="center" vertical="center" shrinkToFit="1"/>
    </xf>
    <xf numFmtId="0" fontId="28" fillId="36" borderId="30" xfId="0" applyFont="1" applyFill="1" applyBorder="1" applyAlignment="1">
      <alignment vertical="center" shrinkToFit="1"/>
    </xf>
    <xf numFmtId="0" fontId="28" fillId="36" borderId="18" xfId="0" applyFont="1" applyFill="1" applyBorder="1" applyAlignment="1">
      <alignment vertical="center" shrinkToFit="1"/>
    </xf>
    <xf numFmtId="0" fontId="28" fillId="36" borderId="19" xfId="0" applyFont="1" applyFill="1" applyBorder="1" applyAlignment="1">
      <alignment vertical="center" shrinkToFit="1"/>
    </xf>
    <xf numFmtId="0" fontId="28" fillId="36" borderId="20" xfId="0" applyFont="1" applyFill="1" applyBorder="1" applyAlignment="1">
      <alignment vertical="center" shrinkToFit="1"/>
    </xf>
    <xf numFmtId="0" fontId="42" fillId="36" borderId="20" xfId="0" applyFont="1" applyFill="1" applyBorder="1" applyAlignment="1">
      <alignment vertical="center" shrinkToFit="1"/>
    </xf>
    <xf numFmtId="0" fontId="28" fillId="36" borderId="20" xfId="0" applyFont="1" applyFill="1" applyBorder="1" applyAlignment="1">
      <alignment horizontal="center" vertical="center" shrinkToFit="1"/>
    </xf>
    <xf numFmtId="0" fontId="28" fillId="36" borderId="15" xfId="0" applyFont="1" applyFill="1" applyBorder="1" applyAlignment="1">
      <alignment horizontal="center" vertical="center" shrinkToFit="1"/>
    </xf>
    <xf numFmtId="0" fontId="47" fillId="36" borderId="35" xfId="0" applyFont="1" applyFill="1" applyBorder="1" applyAlignment="1">
      <alignment vertical="center" shrinkToFit="1"/>
    </xf>
    <xf numFmtId="0" fontId="28" fillId="36" borderId="36" xfId="0" applyFont="1" applyFill="1" applyBorder="1" applyAlignment="1">
      <alignment horizontal="center" vertical="center" shrinkToFit="1"/>
    </xf>
    <xf numFmtId="0" fontId="28" fillId="36" borderId="21" xfId="0" applyFont="1" applyFill="1" applyBorder="1" applyAlignment="1">
      <alignment vertical="center" shrinkToFit="1"/>
    </xf>
    <xf numFmtId="0" fontId="28" fillId="36" borderId="27" xfId="0" applyFont="1" applyFill="1" applyBorder="1" applyAlignment="1">
      <alignment horizontal="center" vertical="center" shrinkToFit="1"/>
    </xf>
    <xf numFmtId="3" fontId="28" fillId="36" borderId="23" xfId="0" applyNumberFormat="1" applyFont="1" applyFill="1" applyBorder="1" applyAlignment="1">
      <alignment vertical="center" shrinkToFit="1"/>
    </xf>
    <xf numFmtId="0" fontId="28" fillId="36" borderId="50" xfId="0" applyFont="1" applyFill="1" applyBorder="1" applyAlignment="1">
      <alignment vertical="center" shrinkToFit="1"/>
    </xf>
    <xf numFmtId="0" fontId="28" fillId="36" borderId="47" xfId="0" applyFont="1" applyFill="1" applyBorder="1" applyAlignment="1">
      <alignment vertical="center" shrinkToFit="1"/>
    </xf>
    <xf numFmtId="0" fontId="28" fillId="36" borderId="48" xfId="0" applyFont="1" applyFill="1" applyBorder="1" applyAlignment="1">
      <alignment vertical="center" shrinkToFit="1"/>
    </xf>
    <xf numFmtId="177" fontId="28" fillId="36" borderId="48" xfId="34" applyNumberFormat="1" applyFont="1" applyFill="1" applyBorder="1" applyAlignment="1">
      <alignment vertical="center" shrinkToFit="1"/>
    </xf>
    <xf numFmtId="0" fontId="42" fillId="36" borderId="48" xfId="0" applyFont="1" applyFill="1" applyBorder="1" applyAlignment="1">
      <alignment vertical="center" shrinkToFit="1"/>
    </xf>
    <xf numFmtId="0" fontId="28" fillId="36" borderId="48" xfId="0" applyFont="1" applyFill="1" applyBorder="1" applyAlignment="1">
      <alignment horizontal="center" vertical="center" shrinkToFit="1"/>
    </xf>
    <xf numFmtId="0" fontId="28" fillId="36" borderId="43" xfId="0" applyFont="1" applyFill="1" applyBorder="1" applyAlignment="1">
      <alignment vertical="center" shrinkToFit="1"/>
    </xf>
    <xf numFmtId="0" fontId="28" fillId="36" borderId="53" xfId="0" applyFont="1" applyFill="1" applyBorder="1" applyAlignment="1">
      <alignment vertical="center" shrinkToFit="1"/>
    </xf>
    <xf numFmtId="0" fontId="28" fillId="36" borderId="54" xfId="0" applyFont="1" applyFill="1" applyBorder="1" applyAlignment="1">
      <alignment vertical="center" shrinkToFit="1"/>
    </xf>
    <xf numFmtId="177" fontId="28" fillId="36" borderId="54" xfId="34" applyNumberFormat="1" applyFont="1" applyFill="1" applyBorder="1" applyAlignment="1">
      <alignment vertical="center" shrinkToFit="1"/>
    </xf>
    <xf numFmtId="0" fontId="42" fillId="36" borderId="54" xfId="0" applyFont="1" applyFill="1" applyBorder="1" applyAlignment="1">
      <alignment vertical="center" shrinkToFit="1"/>
    </xf>
    <xf numFmtId="0" fontId="28" fillId="36" borderId="54" xfId="0" applyFont="1" applyFill="1" applyBorder="1" applyAlignment="1">
      <alignment horizontal="center" vertical="center" shrinkToFit="1"/>
    </xf>
    <xf numFmtId="0" fontId="28" fillId="36" borderId="55" xfId="0" applyFont="1" applyFill="1" applyBorder="1" applyAlignment="1">
      <alignment vertical="center" shrinkToFit="1"/>
    </xf>
    <xf numFmtId="177" fontId="28" fillId="36" borderId="27" xfId="34" applyNumberFormat="1" applyFont="1" applyFill="1" applyBorder="1" applyAlignment="1">
      <alignment vertical="center" shrinkToFit="1"/>
    </xf>
    <xf numFmtId="0" fontId="42" fillId="36" borderId="27" xfId="0" applyFont="1" applyFill="1" applyBorder="1" applyAlignment="1">
      <alignment vertical="center" shrinkToFit="1"/>
    </xf>
    <xf numFmtId="0" fontId="33" fillId="36" borderId="17" xfId="44" applyFont="1" applyFill="1" applyBorder="1" applyAlignment="1">
      <alignment horizontal="left"/>
    </xf>
    <xf numFmtId="0" fontId="33" fillId="36" borderId="14" xfId="44" applyFont="1" applyFill="1" applyBorder="1" applyAlignment="1">
      <alignment shrinkToFit="1"/>
    </xf>
    <xf numFmtId="0" fontId="33" fillId="36" borderId="14" xfId="0" applyFont="1" applyFill="1" applyBorder="1">
      <alignment vertical="center"/>
    </xf>
    <xf numFmtId="176" fontId="33" fillId="36" borderId="14" xfId="34" applyNumberFormat="1" applyFont="1" applyFill="1" applyBorder="1">
      <alignment vertical="center"/>
    </xf>
    <xf numFmtId="0" fontId="33" fillId="36" borderId="14" xfId="0" applyFont="1" applyFill="1" applyBorder="1" applyAlignment="1">
      <alignment horizontal="center" vertical="center"/>
    </xf>
    <xf numFmtId="0" fontId="33" fillId="36" borderId="15" xfId="0" applyFont="1" applyFill="1" applyBorder="1">
      <alignment vertical="center"/>
    </xf>
    <xf numFmtId="0" fontId="33" fillId="36" borderId="0" xfId="0" applyFont="1" applyFill="1">
      <alignment vertical="center"/>
    </xf>
    <xf numFmtId="0" fontId="33" fillId="36" borderId="18" xfId="44" applyFont="1" applyFill="1" applyBorder="1" applyAlignment="1">
      <alignment horizontal="left"/>
    </xf>
    <xf numFmtId="0" fontId="33" fillId="36" borderId="10" xfId="44" applyFont="1" applyFill="1" applyBorder="1" applyAlignment="1">
      <alignment shrinkToFit="1"/>
    </xf>
    <xf numFmtId="0" fontId="33" fillId="36" borderId="10" xfId="0" applyFont="1" applyFill="1" applyBorder="1">
      <alignment vertical="center"/>
    </xf>
    <xf numFmtId="176" fontId="33" fillId="36" borderId="10" xfId="34" applyNumberFormat="1" applyFont="1" applyFill="1" applyBorder="1">
      <alignment vertical="center"/>
    </xf>
    <xf numFmtId="0" fontId="33" fillId="36" borderId="10" xfId="0" applyFont="1" applyFill="1" applyBorder="1" applyAlignment="1">
      <alignment horizontal="center" vertical="center"/>
    </xf>
    <xf numFmtId="0" fontId="33" fillId="36" borderId="16" xfId="0" applyFont="1" applyFill="1" applyBorder="1">
      <alignment vertical="center"/>
    </xf>
    <xf numFmtId="0" fontId="33" fillId="36" borderId="10" xfId="44" applyFont="1" applyFill="1" applyBorder="1" applyAlignment="1">
      <alignment horizontal="left" shrinkToFit="1"/>
    </xf>
    <xf numFmtId="0" fontId="33" fillId="36" borderId="10" xfId="44" applyFont="1" applyFill="1" applyBorder="1" applyAlignment="1">
      <alignment horizontal="left" vertical="center" shrinkToFit="1"/>
    </xf>
    <xf numFmtId="0" fontId="33" fillId="36" borderId="19" xfId="44" applyFont="1" applyFill="1" applyBorder="1" applyAlignment="1">
      <alignment horizontal="left"/>
    </xf>
    <xf numFmtId="0" fontId="33" fillId="36" borderId="20" xfId="44" applyFont="1" applyFill="1" applyBorder="1" applyAlignment="1">
      <alignment horizontal="left" shrinkToFit="1"/>
    </xf>
    <xf numFmtId="0" fontId="33" fillId="36" borderId="20" xfId="0" applyFont="1" applyFill="1" applyBorder="1">
      <alignment vertical="center"/>
    </xf>
    <xf numFmtId="176" fontId="33" fillId="36" borderId="20" xfId="34" applyNumberFormat="1" applyFont="1" applyFill="1" applyBorder="1">
      <alignment vertical="center"/>
    </xf>
    <xf numFmtId="0" fontId="33" fillId="36" borderId="20" xfId="0" applyFont="1" applyFill="1" applyBorder="1" applyAlignment="1">
      <alignment horizontal="center" vertical="center"/>
    </xf>
    <xf numFmtId="0" fontId="33" fillId="36" borderId="21" xfId="0" applyFont="1" applyFill="1" applyBorder="1">
      <alignment vertical="center"/>
    </xf>
    <xf numFmtId="0" fontId="33" fillId="36" borderId="20" xfId="44" applyFont="1" applyFill="1" applyBorder="1" applyAlignment="1">
      <alignment shrinkToFit="1"/>
    </xf>
    <xf numFmtId="0" fontId="33" fillId="36" borderId="21" xfId="0" applyFont="1" applyFill="1" applyBorder="1" applyAlignment="1">
      <alignment horizontal="center" vertical="center"/>
    </xf>
    <xf numFmtId="0" fontId="3" fillId="36" borderId="20" xfId="0" applyFont="1" applyFill="1" applyBorder="1">
      <alignment vertical="center"/>
    </xf>
    <xf numFmtId="0" fontId="3" fillId="36" borderId="15" xfId="0" applyFont="1" applyFill="1" applyBorder="1" applyAlignment="1">
      <alignment horizontal="left" vertical="center"/>
    </xf>
    <xf numFmtId="0" fontId="3" fillId="36" borderId="14" xfId="0" applyFont="1" applyFill="1" applyBorder="1">
      <alignment vertical="center"/>
    </xf>
    <xf numFmtId="0" fontId="33" fillId="36" borderId="30" xfId="44" applyFont="1" applyFill="1" applyBorder="1" applyAlignment="1">
      <alignment horizontal="left"/>
    </xf>
    <xf numFmtId="0" fontId="33" fillId="36" borderId="29" xfId="44" applyFont="1" applyFill="1" applyBorder="1" applyAlignment="1">
      <alignment shrinkToFit="1"/>
    </xf>
    <xf numFmtId="0" fontId="33" fillId="36" borderId="29" xfId="0" applyFont="1" applyFill="1" applyBorder="1">
      <alignment vertical="center"/>
    </xf>
    <xf numFmtId="176" fontId="33" fillId="36" borderId="29" xfId="34" applyNumberFormat="1" applyFont="1" applyFill="1" applyBorder="1">
      <alignment vertical="center"/>
    </xf>
    <xf numFmtId="0" fontId="33" fillId="36" borderId="29" xfId="0" applyFont="1" applyFill="1" applyBorder="1" applyAlignment="1">
      <alignment horizontal="center" vertical="center"/>
    </xf>
    <xf numFmtId="0" fontId="33" fillId="36" borderId="17" xfId="44" applyFont="1" applyFill="1" applyBorder="1" applyAlignment="1">
      <alignment vertical="center"/>
    </xf>
    <xf numFmtId="0" fontId="33" fillId="36" borderId="14" xfId="44" applyFont="1" applyFill="1" applyBorder="1" applyAlignment="1">
      <alignment vertical="center" shrinkToFit="1"/>
    </xf>
    <xf numFmtId="0" fontId="33" fillId="36" borderId="19" xfId="44" applyFont="1" applyFill="1" applyBorder="1" applyAlignment="1">
      <alignment vertical="center"/>
    </xf>
    <xf numFmtId="0" fontId="33" fillId="36" borderId="20" xfId="44" applyFont="1" applyFill="1" applyBorder="1" applyAlignment="1">
      <alignment vertical="center" shrinkToFit="1"/>
    </xf>
    <xf numFmtId="0" fontId="3" fillId="36" borderId="21" xfId="0" applyFont="1" applyFill="1" applyBorder="1" applyAlignment="1">
      <alignment horizontal="left" vertical="center"/>
    </xf>
    <xf numFmtId="179" fontId="46" fillId="30" borderId="81" xfId="46" applyNumberFormat="1" applyFont="1" applyFill="1" applyBorder="1" applyAlignment="1">
      <alignment horizontal="left" vertical="center"/>
    </xf>
    <xf numFmtId="0" fontId="45" fillId="36" borderId="15" xfId="0" applyFont="1" applyFill="1" applyBorder="1" applyAlignment="1">
      <alignment horizontal="left" vertical="center"/>
    </xf>
    <xf numFmtId="0" fontId="33" fillId="36" borderId="15" xfId="0" applyFont="1" applyFill="1" applyBorder="1" applyAlignment="1">
      <alignment horizontal="center" vertical="center"/>
    </xf>
    <xf numFmtId="0" fontId="46" fillId="0" borderId="0" xfId="0" applyFont="1" applyAlignment="1">
      <alignment vertical="center" shrinkToFit="1"/>
    </xf>
    <xf numFmtId="0" fontId="46" fillId="0" borderId="0" xfId="0" applyFont="1" applyAlignment="1">
      <alignment horizontal="center" vertical="center" shrinkToFit="1"/>
    </xf>
    <xf numFmtId="177" fontId="46" fillId="0" borderId="0" xfId="34" applyNumberFormat="1" applyFont="1" applyAlignment="1">
      <alignment vertical="center" shrinkToFit="1"/>
    </xf>
    <xf numFmtId="0" fontId="46" fillId="0" borderId="0" xfId="0" applyFont="1" applyFill="1" applyAlignment="1">
      <alignment vertical="center" shrinkToFit="1"/>
    </xf>
    <xf numFmtId="180" fontId="46" fillId="0" borderId="0" xfId="34" applyNumberFormat="1" applyFont="1" applyFill="1" applyAlignment="1">
      <alignment vertical="center" shrinkToFit="1"/>
    </xf>
    <xf numFmtId="0" fontId="46" fillId="31" borderId="22" xfId="0" applyFont="1" applyFill="1" applyBorder="1" applyAlignment="1">
      <alignment horizontal="center" vertical="center" wrapText="1" shrinkToFit="1"/>
    </xf>
    <xf numFmtId="0" fontId="46" fillId="31" borderId="23" xfId="0" applyFont="1" applyFill="1" applyBorder="1" applyAlignment="1">
      <alignment horizontal="center" vertical="center" wrapText="1" shrinkToFit="1"/>
    </xf>
    <xf numFmtId="177" fontId="46" fillId="31" borderId="23" xfId="34" applyNumberFormat="1" applyFont="1" applyFill="1" applyBorder="1" applyAlignment="1">
      <alignment horizontal="center" vertical="center" wrapText="1" shrinkToFit="1"/>
    </xf>
    <xf numFmtId="180" fontId="46" fillId="31" borderId="23" xfId="34" applyNumberFormat="1" applyFont="1" applyFill="1" applyBorder="1" applyAlignment="1">
      <alignment horizontal="center" vertical="center" wrapText="1" shrinkToFit="1"/>
    </xf>
    <xf numFmtId="0" fontId="46" fillId="31" borderId="24" xfId="0" applyFont="1" applyFill="1" applyBorder="1" applyAlignment="1">
      <alignment horizontal="center" vertical="center" wrapText="1" shrinkToFit="1"/>
    </xf>
    <xf numFmtId="0" fontId="46" fillId="0" borderId="0" xfId="0" applyFont="1" applyAlignment="1">
      <alignment horizontal="center" vertical="center" wrapText="1" shrinkToFit="1"/>
    </xf>
    <xf numFmtId="0" fontId="46" fillId="30" borderId="66" xfId="0" applyFont="1" applyFill="1" applyBorder="1" applyAlignment="1">
      <alignment vertical="center" shrinkToFit="1"/>
    </xf>
    <xf numFmtId="0" fontId="46" fillId="30" borderId="67" xfId="0" applyFont="1" applyFill="1" applyBorder="1" applyAlignment="1">
      <alignment vertical="center" shrinkToFit="1"/>
    </xf>
    <xf numFmtId="0" fontId="46" fillId="30" borderId="67" xfId="0" applyFont="1" applyFill="1" applyBorder="1" applyAlignment="1">
      <alignment horizontal="center" vertical="center" shrinkToFit="1"/>
    </xf>
    <xf numFmtId="177" fontId="46" fillId="30" borderId="67" xfId="34" applyNumberFormat="1" applyFont="1" applyFill="1" applyBorder="1" applyAlignment="1">
      <alignment vertical="center" shrinkToFit="1"/>
    </xf>
    <xf numFmtId="180" fontId="46" fillId="30" borderId="67" xfId="34" applyNumberFormat="1" applyFont="1" applyFill="1" applyBorder="1" applyAlignment="1">
      <alignment vertical="center" shrinkToFit="1"/>
    </xf>
    <xf numFmtId="0" fontId="46" fillId="30" borderId="68" xfId="0" applyFont="1" applyFill="1" applyBorder="1" applyAlignment="1">
      <alignment vertical="center" shrinkToFit="1"/>
    </xf>
    <xf numFmtId="0" fontId="46" fillId="30" borderId="0" xfId="0" applyFont="1" applyFill="1" applyAlignment="1">
      <alignment vertical="center" shrinkToFit="1"/>
    </xf>
    <xf numFmtId="0" fontId="46" fillId="30" borderId="69" xfId="0" applyFont="1" applyFill="1" applyBorder="1" applyAlignment="1">
      <alignment vertical="center" shrinkToFit="1"/>
    </xf>
    <xf numFmtId="0" fontId="46" fillId="30" borderId="70" xfId="0" applyFont="1" applyFill="1" applyBorder="1" applyAlignment="1">
      <alignment vertical="center" shrinkToFit="1"/>
    </xf>
    <xf numFmtId="0" fontId="46" fillId="30" borderId="70" xfId="0" applyFont="1" applyFill="1" applyBorder="1" applyAlignment="1">
      <alignment horizontal="center" vertical="center" shrinkToFit="1"/>
    </xf>
    <xf numFmtId="177" fontId="46" fillId="30" borderId="70" xfId="34" applyNumberFormat="1" applyFont="1" applyFill="1" applyBorder="1" applyAlignment="1">
      <alignment vertical="center" shrinkToFit="1"/>
    </xf>
    <xf numFmtId="180" fontId="46" fillId="30" borderId="70" xfId="34" applyNumberFormat="1" applyFont="1" applyFill="1" applyBorder="1" applyAlignment="1">
      <alignment vertical="center" shrinkToFit="1"/>
    </xf>
    <xf numFmtId="0" fontId="46" fillId="30" borderId="71" xfId="0" applyFont="1" applyFill="1" applyBorder="1" applyAlignment="1">
      <alignment vertical="center" shrinkToFit="1"/>
    </xf>
    <xf numFmtId="0" fontId="46" fillId="30" borderId="75" xfId="0" applyFont="1" applyFill="1" applyBorder="1" applyAlignment="1">
      <alignment vertical="center" shrinkToFit="1"/>
    </xf>
    <xf numFmtId="0" fontId="46" fillId="30" borderId="76" xfId="0" applyFont="1" applyFill="1" applyBorder="1" applyAlignment="1">
      <alignment vertical="center" shrinkToFit="1"/>
    </xf>
    <xf numFmtId="0" fontId="46" fillId="30" borderId="76" xfId="0" applyFont="1" applyFill="1" applyBorder="1" applyAlignment="1">
      <alignment horizontal="center" vertical="center" shrinkToFit="1"/>
    </xf>
    <xf numFmtId="177" fontId="46" fillId="30" borderId="76" xfId="34" applyNumberFormat="1" applyFont="1" applyFill="1" applyBorder="1" applyAlignment="1">
      <alignment vertical="center" shrinkToFit="1"/>
    </xf>
    <xf numFmtId="0" fontId="46" fillId="30" borderId="77" xfId="0" applyFont="1" applyFill="1" applyBorder="1" applyAlignment="1">
      <alignment vertical="center" shrinkToFit="1"/>
    </xf>
    <xf numFmtId="0" fontId="46" fillId="30" borderId="72" xfId="0" applyFont="1" applyFill="1" applyBorder="1" applyAlignment="1">
      <alignment vertical="center" shrinkToFit="1"/>
    </xf>
    <xf numFmtId="0" fontId="46" fillId="30" borderId="73" xfId="0" applyFont="1" applyFill="1" applyBorder="1" applyAlignment="1">
      <alignment vertical="center" shrinkToFit="1"/>
    </xf>
    <xf numFmtId="0" fontId="46" fillId="30" borderId="73" xfId="0" applyFont="1" applyFill="1" applyBorder="1" applyAlignment="1">
      <alignment horizontal="center" vertical="center" shrinkToFit="1"/>
    </xf>
    <xf numFmtId="177" fontId="46" fillId="30" borderId="73" xfId="34" applyNumberFormat="1" applyFont="1" applyFill="1" applyBorder="1" applyAlignment="1">
      <alignment vertical="center" shrinkToFit="1"/>
    </xf>
    <xf numFmtId="180" fontId="46" fillId="30" borderId="73" xfId="34" applyNumberFormat="1" applyFont="1" applyFill="1" applyBorder="1" applyAlignment="1">
      <alignment vertical="center" shrinkToFit="1"/>
    </xf>
    <xf numFmtId="0" fontId="46" fillId="30" borderId="74" xfId="0" applyFont="1" applyFill="1" applyBorder="1" applyAlignment="1">
      <alignment vertical="center" shrinkToFit="1"/>
    </xf>
    <xf numFmtId="0" fontId="46" fillId="0" borderId="71" xfId="0" applyFont="1" applyFill="1" applyBorder="1" applyAlignment="1">
      <alignment horizontal="center" vertical="center" shrinkToFit="1"/>
    </xf>
    <xf numFmtId="0" fontId="46" fillId="0" borderId="74" xfId="0" applyFont="1" applyFill="1" applyBorder="1" applyAlignment="1">
      <alignment horizontal="center" vertical="center" shrinkToFit="1"/>
    </xf>
    <xf numFmtId="0" fontId="46" fillId="0" borderId="68" xfId="0" applyFont="1" applyFill="1" applyBorder="1" applyAlignment="1">
      <alignment horizontal="center" vertical="center" shrinkToFit="1"/>
    </xf>
    <xf numFmtId="0" fontId="46" fillId="30" borderId="81" xfId="0" applyFont="1" applyFill="1" applyBorder="1" applyAlignment="1">
      <alignment horizontal="center" vertical="center" shrinkToFit="1"/>
    </xf>
    <xf numFmtId="0" fontId="46" fillId="30" borderId="80" xfId="0" applyFont="1" applyFill="1" applyBorder="1" applyAlignment="1">
      <alignment vertical="center" shrinkToFit="1"/>
    </xf>
    <xf numFmtId="177" fontId="46" fillId="30" borderId="80" xfId="34" applyNumberFormat="1" applyFont="1" applyFill="1" applyBorder="1" applyAlignment="1">
      <alignment vertical="center" shrinkToFit="1"/>
    </xf>
    <xf numFmtId="0" fontId="46" fillId="30" borderId="78" xfId="0" applyFont="1" applyFill="1" applyBorder="1" applyAlignment="1">
      <alignment horizontal="center" vertical="center" shrinkToFit="1"/>
    </xf>
    <xf numFmtId="0" fontId="46" fillId="30" borderId="78" xfId="0" applyFont="1" applyFill="1" applyBorder="1" applyAlignment="1">
      <alignment vertical="center" shrinkToFit="1"/>
    </xf>
    <xf numFmtId="177" fontId="46" fillId="30" borderId="78" xfId="34" applyNumberFormat="1" applyFont="1" applyFill="1" applyBorder="1" applyAlignment="1">
      <alignment vertical="center" shrinkToFit="1"/>
    </xf>
    <xf numFmtId="180" fontId="46" fillId="30" borderId="78" xfId="34" applyNumberFormat="1" applyFont="1" applyFill="1" applyBorder="1" applyAlignment="1">
      <alignment vertical="center" shrinkToFit="1"/>
    </xf>
    <xf numFmtId="0" fontId="46" fillId="0" borderId="79" xfId="0" applyFont="1" applyFill="1" applyBorder="1" applyAlignment="1">
      <alignment horizontal="center" vertical="center" shrinkToFit="1"/>
    </xf>
    <xf numFmtId="0" fontId="46" fillId="36" borderId="66" xfId="0" applyFont="1" applyFill="1" applyBorder="1" applyAlignment="1">
      <alignment vertical="center" shrinkToFit="1"/>
    </xf>
    <xf numFmtId="0" fontId="46" fillId="36" borderId="67" xfId="0" applyFont="1" applyFill="1" applyBorder="1" applyAlignment="1">
      <alignment vertical="center" shrinkToFit="1"/>
    </xf>
    <xf numFmtId="0" fontId="46" fillId="36" borderId="67" xfId="0" applyFont="1" applyFill="1" applyBorder="1" applyAlignment="1">
      <alignment horizontal="center" vertical="center" shrinkToFit="1"/>
    </xf>
    <xf numFmtId="177" fontId="46" fillId="36" borderId="67" xfId="34" applyNumberFormat="1" applyFont="1" applyFill="1" applyBorder="1" applyAlignment="1">
      <alignment vertical="center" shrinkToFit="1"/>
    </xf>
    <xf numFmtId="180" fontId="46" fillId="36" borderId="67" xfId="34" applyNumberFormat="1" applyFont="1" applyFill="1" applyBorder="1" applyAlignment="1">
      <alignment vertical="center" shrinkToFit="1"/>
    </xf>
    <xf numFmtId="0" fontId="46" fillId="36" borderId="68" xfId="0" applyFont="1" applyFill="1" applyBorder="1" applyAlignment="1">
      <alignment vertical="center" shrinkToFit="1"/>
    </xf>
    <xf numFmtId="0" fontId="46" fillId="36" borderId="0" xfId="0" applyFont="1" applyFill="1" applyAlignment="1">
      <alignment vertical="center" shrinkToFit="1"/>
    </xf>
    <xf numFmtId="0" fontId="46" fillId="36" borderId="69" xfId="0" applyFont="1" applyFill="1" applyBorder="1" applyAlignment="1">
      <alignment vertical="center" shrinkToFit="1"/>
    </xf>
    <xf numFmtId="0" fontId="46" fillId="36" borderId="70" xfId="0" applyFont="1" applyFill="1" applyBorder="1" applyAlignment="1">
      <alignment vertical="center" shrinkToFit="1"/>
    </xf>
    <xf numFmtId="0" fontId="46" fillId="36" borderId="70" xfId="0" applyFont="1" applyFill="1" applyBorder="1" applyAlignment="1">
      <alignment horizontal="center" vertical="center" shrinkToFit="1"/>
    </xf>
    <xf numFmtId="177" fontId="46" fillId="36" borderId="70" xfId="34" applyNumberFormat="1" applyFont="1" applyFill="1" applyBorder="1" applyAlignment="1">
      <alignment vertical="center" shrinkToFit="1"/>
    </xf>
    <xf numFmtId="180" fontId="46" fillId="36" borderId="70" xfId="34" applyNumberFormat="1" applyFont="1" applyFill="1" applyBorder="1" applyAlignment="1">
      <alignment vertical="center" shrinkToFit="1"/>
    </xf>
    <xf numFmtId="0" fontId="46" fillId="36" borderId="71" xfId="0" applyFont="1" applyFill="1" applyBorder="1" applyAlignment="1">
      <alignment vertical="center" shrinkToFit="1"/>
    </xf>
    <xf numFmtId="0" fontId="46" fillId="36" borderId="72" xfId="0" applyFont="1" applyFill="1" applyBorder="1" applyAlignment="1">
      <alignment vertical="center" shrinkToFit="1"/>
    </xf>
    <xf numFmtId="0" fontId="46" fillId="36" borderId="73" xfId="0" applyFont="1" applyFill="1" applyBorder="1" applyAlignment="1">
      <alignment vertical="center" shrinkToFit="1"/>
    </xf>
    <xf numFmtId="0" fontId="46" fillId="36" borderId="73" xfId="0" applyFont="1" applyFill="1" applyBorder="1" applyAlignment="1">
      <alignment horizontal="center" vertical="center" shrinkToFit="1"/>
    </xf>
    <xf numFmtId="177" fontId="46" fillId="36" borderId="73" xfId="34" applyNumberFormat="1" applyFont="1" applyFill="1" applyBorder="1" applyAlignment="1">
      <alignment vertical="center" shrinkToFit="1"/>
    </xf>
    <xf numFmtId="180" fontId="46" fillId="36" borderId="73" xfId="34" applyNumberFormat="1" applyFont="1" applyFill="1" applyBorder="1" applyAlignment="1">
      <alignment vertical="center" shrinkToFit="1"/>
    </xf>
    <xf numFmtId="0" fontId="46" fillId="36" borderId="74" xfId="0" applyFont="1" applyFill="1" applyBorder="1" applyAlignment="1">
      <alignment vertical="center" shrinkToFit="1"/>
    </xf>
    <xf numFmtId="0" fontId="46" fillId="0" borderId="68" xfId="0" applyFont="1" applyFill="1" applyBorder="1" applyAlignment="1">
      <alignment horizontal="right" vertical="center" shrinkToFit="1"/>
    </xf>
    <xf numFmtId="0" fontId="46" fillId="30" borderId="68" xfId="0" applyFont="1" applyFill="1" applyBorder="1" applyAlignment="1">
      <alignment horizontal="right" vertical="center" shrinkToFit="1"/>
    </xf>
    <xf numFmtId="0" fontId="46" fillId="30" borderId="29" xfId="0" applyFont="1" applyFill="1" applyBorder="1" applyAlignment="1">
      <alignment vertical="center" shrinkToFit="1"/>
    </xf>
    <xf numFmtId="0" fontId="46" fillId="30" borderId="14" xfId="0" applyFont="1" applyFill="1" applyBorder="1" applyAlignment="1">
      <alignment vertical="center" shrinkToFit="1"/>
    </xf>
    <xf numFmtId="177" fontId="46" fillId="30" borderId="14" xfId="34" applyNumberFormat="1" applyFont="1" applyFill="1" applyBorder="1" applyAlignment="1">
      <alignment vertical="center" shrinkToFit="1"/>
    </xf>
    <xf numFmtId="0" fontId="46" fillId="30" borderId="14" xfId="0" applyFont="1" applyFill="1" applyBorder="1" applyAlignment="1">
      <alignment horizontal="center" vertical="center" shrinkToFit="1"/>
    </xf>
    <xf numFmtId="0" fontId="46" fillId="30" borderId="15" xfId="0" applyFont="1" applyFill="1" applyBorder="1" applyAlignment="1">
      <alignment horizontal="center" vertical="center" shrinkToFit="1"/>
    </xf>
    <xf numFmtId="0" fontId="46" fillId="30" borderId="35" xfId="0" applyFont="1" applyFill="1" applyBorder="1" applyAlignment="1">
      <alignment vertical="center" shrinkToFit="1"/>
    </xf>
    <xf numFmtId="177" fontId="46" fillId="30" borderId="35" xfId="34" applyNumberFormat="1" applyFont="1" applyFill="1" applyBorder="1" applyAlignment="1">
      <alignment vertical="center" shrinkToFit="1"/>
    </xf>
    <xf numFmtId="0" fontId="46" fillId="30" borderId="35" xfId="0" applyFont="1" applyFill="1" applyBorder="1" applyAlignment="1">
      <alignment horizontal="center" vertical="center" shrinkToFit="1"/>
    </xf>
    <xf numFmtId="0" fontId="46" fillId="30" borderId="36" xfId="0" applyFont="1" applyFill="1" applyBorder="1" applyAlignment="1">
      <alignment horizontal="center" vertical="center" shrinkToFit="1"/>
    </xf>
    <xf numFmtId="0" fontId="46" fillId="30" borderId="38" xfId="0" applyFont="1" applyFill="1" applyBorder="1" applyAlignment="1">
      <alignment vertical="center" shrinkToFit="1"/>
    </xf>
    <xf numFmtId="177" fontId="46" fillId="30" borderId="38" xfId="34" applyNumberFormat="1" applyFont="1" applyFill="1" applyBorder="1" applyAlignment="1">
      <alignment vertical="center" shrinkToFit="1"/>
    </xf>
    <xf numFmtId="0" fontId="46" fillId="30" borderId="38" xfId="0" applyFont="1" applyFill="1" applyBorder="1" applyAlignment="1">
      <alignment horizontal="center" vertical="center" shrinkToFit="1"/>
    </xf>
    <xf numFmtId="0" fontId="46" fillId="30" borderId="39" xfId="0" applyFont="1" applyFill="1" applyBorder="1" applyAlignment="1">
      <alignment horizontal="center" vertical="center" shrinkToFit="1"/>
    </xf>
    <xf numFmtId="0" fontId="46" fillId="30" borderId="41" xfId="0" applyFont="1" applyFill="1" applyBorder="1" applyAlignment="1">
      <alignment vertical="center" shrinkToFit="1"/>
    </xf>
    <xf numFmtId="177" fontId="46" fillId="30" borderId="41" xfId="34" applyNumberFormat="1" applyFont="1" applyFill="1" applyBorder="1" applyAlignment="1">
      <alignment vertical="center" shrinkToFit="1"/>
    </xf>
    <xf numFmtId="0" fontId="46" fillId="30" borderId="41" xfId="0" applyFont="1" applyFill="1" applyBorder="1" applyAlignment="1">
      <alignment horizontal="center" vertical="center" shrinkToFit="1"/>
    </xf>
    <xf numFmtId="0" fontId="46" fillId="30" borderId="42" xfId="0" applyFont="1" applyFill="1" applyBorder="1" applyAlignment="1">
      <alignment horizontal="center" vertical="center" shrinkToFit="1"/>
    </xf>
    <xf numFmtId="0" fontId="46" fillId="0" borderId="14" xfId="0" applyFont="1" applyFill="1" applyBorder="1" applyAlignment="1">
      <alignment vertical="center" shrinkToFit="1"/>
    </xf>
    <xf numFmtId="177" fontId="46" fillId="0" borderId="14" xfId="34" applyNumberFormat="1" applyFont="1" applyFill="1" applyBorder="1" applyAlignment="1">
      <alignment vertical="center" shrinkToFit="1"/>
    </xf>
    <xf numFmtId="0" fontId="46" fillId="0" borderId="14" xfId="0" applyFont="1" applyFill="1" applyBorder="1" applyAlignment="1">
      <alignment horizontal="center" vertical="center" shrinkToFit="1"/>
    </xf>
    <xf numFmtId="0" fontId="46" fillId="0" borderId="39" xfId="0" applyFont="1" applyFill="1" applyBorder="1" applyAlignment="1">
      <alignment horizontal="center" vertical="center" shrinkToFit="1"/>
    </xf>
    <xf numFmtId="0" fontId="46" fillId="0" borderId="35" xfId="0" applyFont="1" applyFill="1" applyBorder="1" applyAlignment="1">
      <alignment vertical="center" shrinkToFit="1"/>
    </xf>
    <xf numFmtId="177" fontId="46" fillId="0" borderId="35" xfId="34" applyNumberFormat="1" applyFont="1" applyFill="1" applyBorder="1" applyAlignment="1">
      <alignment vertical="center" shrinkToFit="1"/>
    </xf>
    <xf numFmtId="0" fontId="46" fillId="0" borderId="35" xfId="0" applyFont="1" applyFill="1" applyBorder="1" applyAlignment="1">
      <alignment horizontal="center" vertical="center" shrinkToFit="1"/>
    </xf>
    <xf numFmtId="0" fontId="46" fillId="0" borderId="38" xfId="0" applyFont="1" applyFill="1" applyBorder="1" applyAlignment="1">
      <alignment vertical="center" shrinkToFit="1"/>
    </xf>
    <xf numFmtId="177" fontId="46" fillId="0" borderId="38" xfId="34" applyNumberFormat="1" applyFont="1" applyFill="1" applyBorder="1" applyAlignment="1">
      <alignment vertical="center" shrinkToFit="1"/>
    </xf>
    <xf numFmtId="0" fontId="46" fillId="0" borderId="38" xfId="0" applyFont="1" applyFill="1" applyBorder="1" applyAlignment="1">
      <alignment horizontal="center" vertical="center" shrinkToFit="1"/>
    </xf>
    <xf numFmtId="0" fontId="46" fillId="0" borderId="41" xfId="0" applyFont="1" applyFill="1" applyBorder="1" applyAlignment="1">
      <alignment vertical="center" shrinkToFit="1"/>
    </xf>
    <xf numFmtId="177" fontId="46" fillId="0" borderId="41" xfId="34" applyNumberFormat="1" applyFont="1" applyFill="1" applyBorder="1" applyAlignment="1">
      <alignment vertical="center" shrinkToFit="1"/>
    </xf>
    <xf numFmtId="0" fontId="46" fillId="0" borderId="41" xfId="0" applyFont="1" applyFill="1" applyBorder="1" applyAlignment="1">
      <alignment horizontal="center" vertical="center" shrinkToFit="1"/>
    </xf>
    <xf numFmtId="0" fontId="46" fillId="0" borderId="42" xfId="0" applyFont="1" applyFill="1" applyBorder="1" applyAlignment="1">
      <alignment horizontal="center" vertical="center" shrinkToFit="1"/>
    </xf>
    <xf numFmtId="0" fontId="46" fillId="30" borderId="10" xfId="0" applyFont="1" applyFill="1" applyBorder="1" applyAlignment="1">
      <alignment vertical="center" shrinkToFit="1"/>
    </xf>
    <xf numFmtId="179" fontId="46" fillId="30" borderId="82" xfId="46" applyNumberFormat="1" applyFont="1" applyFill="1" applyBorder="1" applyAlignment="1">
      <alignment horizontal="left" vertical="center"/>
    </xf>
    <xf numFmtId="0" fontId="46" fillId="36" borderId="68" xfId="0" applyFont="1" applyFill="1" applyBorder="1" applyAlignment="1">
      <alignment horizontal="right" vertical="center" shrinkToFit="1"/>
    </xf>
    <xf numFmtId="0" fontId="46" fillId="36" borderId="74" xfId="0" applyFont="1" applyFill="1" applyBorder="1" applyAlignment="1">
      <alignment horizontal="right" vertical="center" shrinkToFit="1"/>
    </xf>
    <xf numFmtId="0" fontId="46" fillId="36" borderId="13" xfId="0" applyFont="1" applyFill="1" applyBorder="1" applyAlignment="1">
      <alignment vertical="center" shrinkToFit="1"/>
    </xf>
    <xf numFmtId="0" fontId="46" fillId="36" borderId="11" xfId="0" applyFont="1" applyFill="1" applyBorder="1" applyAlignment="1">
      <alignment vertical="center" shrinkToFit="1"/>
    </xf>
    <xf numFmtId="0" fontId="46" fillId="36" borderId="11" xfId="0" applyFont="1" applyFill="1" applyBorder="1" applyAlignment="1">
      <alignment horizontal="center" vertical="center" shrinkToFit="1"/>
    </xf>
    <xf numFmtId="177" fontId="46" fillId="36" borderId="11" xfId="34" applyNumberFormat="1" applyFont="1" applyFill="1" applyBorder="1" applyAlignment="1">
      <alignment vertical="center" shrinkToFit="1"/>
    </xf>
    <xf numFmtId="180" fontId="46" fillId="36" borderId="11" xfId="34" applyNumberFormat="1" applyFont="1" applyFill="1" applyBorder="1" applyAlignment="1">
      <alignment vertical="center" shrinkToFit="1"/>
    </xf>
    <xf numFmtId="0" fontId="46" fillId="36" borderId="54" xfId="0" applyFont="1" applyFill="1" applyBorder="1" applyAlignment="1">
      <alignment horizontal="right" vertical="center" shrinkToFit="1"/>
    </xf>
    <xf numFmtId="179" fontId="46" fillId="36" borderId="23" xfId="46" applyNumberFormat="1" applyFont="1" applyFill="1" applyBorder="1" applyAlignment="1">
      <alignment horizontal="left" vertical="center"/>
    </xf>
    <xf numFmtId="0" fontId="46" fillId="30" borderId="84" xfId="0" applyFont="1" applyFill="1" applyBorder="1" applyAlignment="1">
      <alignment vertical="center" shrinkToFit="1"/>
    </xf>
    <xf numFmtId="179" fontId="46" fillId="30" borderId="84" xfId="46" applyNumberFormat="1" applyFont="1" applyFill="1" applyBorder="1" applyAlignment="1">
      <alignment horizontal="left" vertical="center"/>
    </xf>
    <xf numFmtId="0" fontId="46" fillId="30" borderId="84" xfId="0" applyFont="1" applyFill="1" applyBorder="1" applyAlignment="1">
      <alignment horizontal="center" vertical="center" shrinkToFit="1"/>
    </xf>
    <xf numFmtId="177" fontId="46" fillId="30" borderId="84" xfId="34" applyNumberFormat="1" applyFont="1" applyFill="1" applyBorder="1" applyAlignment="1">
      <alignment vertical="center" shrinkToFit="1"/>
    </xf>
    <xf numFmtId="0" fontId="46" fillId="0" borderId="85" xfId="0" applyFont="1" applyFill="1" applyBorder="1" applyAlignment="1">
      <alignment horizontal="right" vertical="center" shrinkToFit="1"/>
    </xf>
    <xf numFmtId="0" fontId="46" fillId="36" borderId="71" xfId="0" applyFont="1" applyFill="1" applyBorder="1" applyAlignment="1">
      <alignment horizontal="right" vertical="center" shrinkToFit="1"/>
    </xf>
    <xf numFmtId="0" fontId="46" fillId="30" borderId="83" xfId="0" applyFont="1" applyFill="1" applyBorder="1" applyAlignment="1">
      <alignment vertical="center" shrinkToFit="1"/>
    </xf>
    <xf numFmtId="180" fontId="46" fillId="30" borderId="84" xfId="34" applyNumberFormat="1" applyFont="1" applyFill="1" applyBorder="1" applyAlignment="1">
      <alignment vertical="center" shrinkToFit="1"/>
    </xf>
    <xf numFmtId="0" fontId="3" fillId="36" borderId="29" xfId="0" applyFont="1" applyFill="1" applyBorder="1">
      <alignment vertical="center"/>
    </xf>
    <xf numFmtId="0" fontId="3" fillId="36" borderId="31" xfId="0" applyFont="1" applyFill="1" applyBorder="1" applyAlignment="1">
      <alignment horizontal="left" vertical="center"/>
    </xf>
    <xf numFmtId="177" fontId="33" fillId="0" borderId="28" xfId="34" applyNumberFormat="1" applyFont="1" applyFill="1" applyBorder="1">
      <alignment vertical="center"/>
    </xf>
    <xf numFmtId="0" fontId="33" fillId="0" borderId="29" xfId="0" applyFont="1" applyFill="1" applyBorder="1">
      <alignment vertical="center"/>
    </xf>
    <xf numFmtId="0" fontId="2" fillId="30" borderId="10" xfId="26" applyFont="1" applyFill="1" applyBorder="1">
      <alignment vertical="center"/>
    </xf>
    <xf numFmtId="0" fontId="2" fillId="35" borderId="25" xfId="26" applyFont="1" applyFill="1" applyBorder="1">
      <alignment vertical="center"/>
    </xf>
    <xf numFmtId="177" fontId="2" fillId="35" borderId="25" xfId="34" applyNumberFormat="1" applyFont="1" applyFill="1" applyBorder="1" applyAlignment="1">
      <alignment horizontal="left" vertical="center"/>
    </xf>
    <xf numFmtId="177" fontId="43" fillId="24" borderId="25" xfId="34" applyNumberFormat="1" applyFont="1" applyFill="1" applyBorder="1" applyAlignment="1">
      <alignment horizontal="left" vertical="center"/>
    </xf>
    <xf numFmtId="181" fontId="6" fillId="0" borderId="10" xfId="34" applyNumberFormat="1" applyFont="1" applyFill="1" applyBorder="1" applyAlignment="1">
      <alignment horizontal="center" vertical="center"/>
    </xf>
    <xf numFmtId="0" fontId="46" fillId="30" borderId="86" xfId="0" applyFont="1" applyFill="1" applyBorder="1" applyAlignment="1">
      <alignment vertical="center" shrinkToFit="1"/>
    </xf>
    <xf numFmtId="0" fontId="46" fillId="30" borderId="87" xfId="0" applyFont="1" applyFill="1" applyBorder="1" applyAlignment="1">
      <alignment vertical="center" shrinkToFit="1"/>
    </xf>
    <xf numFmtId="0" fontId="46" fillId="30" borderId="32" xfId="0" applyFont="1" applyFill="1" applyBorder="1" applyAlignment="1">
      <alignment vertical="center" shrinkToFit="1"/>
    </xf>
    <xf numFmtId="0" fontId="46" fillId="30" borderId="27" xfId="0" applyFont="1" applyFill="1" applyBorder="1" applyAlignment="1">
      <alignment vertical="center" shrinkToFit="1"/>
    </xf>
    <xf numFmtId="0" fontId="46" fillId="30" borderId="88" xfId="0" applyFont="1" applyFill="1" applyBorder="1" applyAlignment="1">
      <alignment vertical="center" shrinkToFit="1"/>
    </xf>
    <xf numFmtId="0" fontId="46" fillId="30" borderId="89" xfId="0" applyFont="1" applyFill="1" applyBorder="1" applyAlignment="1">
      <alignment vertical="center" shrinkToFit="1"/>
    </xf>
    <xf numFmtId="0" fontId="46" fillId="0" borderId="86" xfId="0" applyFont="1" applyFill="1" applyBorder="1" applyAlignment="1">
      <alignment vertical="center" shrinkToFit="1"/>
    </xf>
    <xf numFmtId="0" fontId="46" fillId="0" borderId="87" xfId="0" applyFont="1" applyFill="1" applyBorder="1" applyAlignment="1">
      <alignment vertical="center" shrinkToFit="1"/>
    </xf>
    <xf numFmtId="0" fontId="46" fillId="0" borderId="88" xfId="0" applyFont="1" applyFill="1" applyBorder="1" applyAlignment="1">
      <alignment vertical="center" shrinkToFit="1"/>
    </xf>
    <xf numFmtId="0" fontId="46" fillId="0" borderId="89" xfId="0" applyFont="1" applyFill="1" applyBorder="1" applyAlignment="1">
      <alignment vertical="center" shrinkToFit="1"/>
    </xf>
    <xf numFmtId="0" fontId="46" fillId="0" borderId="90" xfId="0" applyFont="1" applyFill="1" applyBorder="1" applyAlignment="1">
      <alignment vertical="center" shrinkToFit="1"/>
    </xf>
    <xf numFmtId="0" fontId="46" fillId="0" borderId="91" xfId="0" applyFont="1" applyFill="1" applyBorder="1" applyAlignment="1">
      <alignment vertical="center" shrinkToFit="1"/>
    </xf>
    <xf numFmtId="176" fontId="46" fillId="33" borderId="0" xfId="34" applyNumberFormat="1" applyFont="1" applyFill="1" applyAlignment="1">
      <alignment vertical="center" shrinkToFit="1"/>
    </xf>
    <xf numFmtId="176" fontId="46" fillId="33" borderId="23" xfId="34" applyNumberFormat="1" applyFont="1" applyFill="1" applyBorder="1" applyAlignment="1">
      <alignment horizontal="center" vertical="center" wrapText="1" shrinkToFit="1"/>
    </xf>
    <xf numFmtId="176" fontId="46" fillId="33" borderId="67" xfId="34" applyNumberFormat="1" applyFont="1" applyFill="1" applyBorder="1" applyAlignment="1">
      <alignment vertical="center" shrinkToFit="1"/>
    </xf>
    <xf numFmtId="176" fontId="46" fillId="33" borderId="70" xfId="34" applyNumberFormat="1" applyFont="1" applyFill="1" applyBorder="1" applyAlignment="1">
      <alignment vertical="center" shrinkToFit="1"/>
    </xf>
    <xf numFmtId="176" fontId="46" fillId="33" borderId="73" xfId="34" applyNumberFormat="1" applyFont="1" applyFill="1" applyBorder="1" applyAlignment="1">
      <alignment vertical="center" shrinkToFit="1"/>
    </xf>
    <xf numFmtId="176" fontId="46" fillId="33" borderId="78" xfId="34" applyNumberFormat="1" applyFont="1" applyFill="1" applyBorder="1" applyAlignment="1">
      <alignment vertical="center" shrinkToFit="1"/>
    </xf>
    <xf numFmtId="176" fontId="46" fillId="33" borderId="14" xfId="34" applyNumberFormat="1" applyFont="1" applyFill="1" applyBorder="1" applyAlignment="1">
      <alignment vertical="center" shrinkToFit="1"/>
    </xf>
    <xf numFmtId="176" fontId="46" fillId="33" borderId="35" xfId="34" applyNumberFormat="1" applyFont="1" applyFill="1" applyBorder="1" applyAlignment="1">
      <alignment vertical="center" shrinkToFit="1"/>
    </xf>
    <xf numFmtId="176" fontId="46" fillId="33" borderId="41" xfId="34" applyNumberFormat="1" applyFont="1" applyFill="1" applyBorder="1" applyAlignment="1">
      <alignment vertical="center" shrinkToFit="1"/>
    </xf>
    <xf numFmtId="176" fontId="46" fillId="33" borderId="38" xfId="34" applyNumberFormat="1" applyFont="1" applyFill="1" applyBorder="1" applyAlignment="1">
      <alignment vertical="center" shrinkToFit="1"/>
    </xf>
    <xf numFmtId="176" fontId="46" fillId="36" borderId="70" xfId="34" applyNumberFormat="1" applyFont="1" applyFill="1" applyBorder="1" applyAlignment="1">
      <alignment vertical="center" shrinkToFit="1"/>
    </xf>
    <xf numFmtId="176" fontId="46" fillId="33" borderId="84" xfId="34" applyNumberFormat="1" applyFont="1" applyFill="1" applyBorder="1" applyAlignment="1">
      <alignment vertical="center" shrinkToFit="1"/>
    </xf>
    <xf numFmtId="176" fontId="46" fillId="36" borderId="67" xfId="34" applyNumberFormat="1" applyFont="1" applyFill="1" applyBorder="1" applyAlignment="1">
      <alignment vertical="center" shrinkToFit="1"/>
    </xf>
    <xf numFmtId="176" fontId="46" fillId="36" borderId="73" xfId="34" applyNumberFormat="1" applyFont="1" applyFill="1" applyBorder="1" applyAlignment="1">
      <alignment vertical="center" shrinkToFit="1"/>
    </xf>
    <xf numFmtId="176" fontId="46" fillId="36" borderId="11" xfId="34" applyNumberFormat="1" applyFont="1" applyFill="1" applyBorder="1" applyAlignment="1">
      <alignment vertical="center" shrinkToFit="1"/>
    </xf>
    <xf numFmtId="0" fontId="46" fillId="30" borderId="24" xfId="0" applyFont="1" applyFill="1" applyBorder="1" applyAlignment="1">
      <alignment horizontal="center" vertical="center" shrinkToFit="1"/>
    </xf>
    <xf numFmtId="0" fontId="46" fillId="36" borderId="93" xfId="0" applyFont="1" applyFill="1" applyBorder="1" applyAlignment="1">
      <alignment vertical="center" shrinkToFit="1"/>
    </xf>
    <xf numFmtId="0" fontId="46" fillId="36" borderId="94" xfId="0" applyFont="1" applyFill="1" applyBorder="1" applyAlignment="1">
      <alignment vertical="center" shrinkToFit="1"/>
    </xf>
    <xf numFmtId="179" fontId="46" fillId="36" borderId="94" xfId="46" applyNumberFormat="1" applyFont="1" applyFill="1" applyBorder="1" applyAlignment="1">
      <alignment horizontal="left" vertical="center"/>
    </xf>
    <xf numFmtId="0" fontId="46" fillId="36" borderId="94" xfId="0" applyFont="1" applyFill="1" applyBorder="1" applyAlignment="1">
      <alignment horizontal="center" vertical="center" shrinkToFit="1"/>
    </xf>
    <xf numFmtId="177" fontId="46" fillId="36" borderId="94" xfId="34" applyNumberFormat="1" applyFont="1" applyFill="1" applyBorder="1" applyAlignment="1">
      <alignment vertical="center" shrinkToFit="1"/>
    </xf>
    <xf numFmtId="180" fontId="46" fillId="36" borderId="94" xfId="34" applyNumberFormat="1" applyFont="1" applyFill="1" applyBorder="1" applyAlignment="1">
      <alignment vertical="center" shrinkToFit="1"/>
    </xf>
    <xf numFmtId="176" fontId="46" fillId="36" borderId="94" xfId="34" applyNumberFormat="1" applyFont="1" applyFill="1" applyBorder="1" applyAlignment="1">
      <alignment vertical="center" shrinkToFit="1"/>
    </xf>
    <xf numFmtId="0" fontId="46" fillId="30" borderId="82" xfId="0" applyFont="1" applyFill="1" applyBorder="1" applyAlignment="1">
      <alignment vertical="center" shrinkToFit="1"/>
    </xf>
    <xf numFmtId="176" fontId="46" fillId="33" borderId="82" xfId="34" applyNumberFormat="1" applyFont="1" applyFill="1" applyBorder="1" applyAlignment="1">
      <alignment vertical="center" shrinkToFit="1"/>
    </xf>
    <xf numFmtId="0" fontId="49" fillId="30" borderId="95" xfId="26" applyFont="1" applyFill="1" applyBorder="1" applyAlignment="1">
      <alignment vertical="center" shrinkToFit="1"/>
    </xf>
    <xf numFmtId="0" fontId="49" fillId="30" borderId="82" xfId="26" applyFont="1" applyFill="1" applyBorder="1" applyAlignment="1">
      <alignment vertical="center" shrinkToFit="1"/>
    </xf>
    <xf numFmtId="179" fontId="49" fillId="30" borderId="82" xfId="46" applyNumberFormat="1" applyFont="1" applyFill="1" applyBorder="1" applyAlignment="1">
      <alignment horizontal="left" vertical="center"/>
    </xf>
    <xf numFmtId="0" fontId="49" fillId="30" borderId="82" xfId="26" applyFont="1" applyFill="1" applyBorder="1" applyAlignment="1">
      <alignment horizontal="center" vertical="center" shrinkToFit="1"/>
    </xf>
    <xf numFmtId="0" fontId="49" fillId="30" borderId="82" xfId="26" applyFont="1" applyFill="1" applyBorder="1" applyAlignment="1">
      <alignment horizontal="left" vertical="center" shrinkToFit="1"/>
    </xf>
    <xf numFmtId="177" fontId="49" fillId="30" borderId="82" xfId="34" applyNumberFormat="1" applyFont="1" applyFill="1" applyBorder="1" applyAlignment="1">
      <alignment vertical="center" shrinkToFit="1"/>
    </xf>
    <xf numFmtId="0" fontId="46" fillId="30" borderId="82" xfId="26" applyFont="1" applyFill="1" applyBorder="1" applyAlignment="1">
      <alignment vertical="center" shrinkToFit="1"/>
    </xf>
    <xf numFmtId="180" fontId="46" fillId="30" borderId="82" xfId="47" applyNumberFormat="1" applyFont="1" applyFill="1" applyBorder="1" applyAlignment="1">
      <alignment vertical="center" shrinkToFit="1"/>
    </xf>
    <xf numFmtId="0" fontId="46" fillId="30" borderId="82" xfId="26" applyFont="1" applyFill="1" applyBorder="1" applyAlignment="1">
      <alignment horizontal="center" vertical="center" shrinkToFit="1"/>
    </xf>
    <xf numFmtId="0" fontId="46" fillId="0" borderId="0" xfId="26" applyFont="1" applyAlignment="1">
      <alignment vertical="center" shrinkToFit="1"/>
    </xf>
    <xf numFmtId="0" fontId="50" fillId="30" borderId="69" xfId="0" applyFont="1" applyFill="1" applyBorder="1" applyAlignment="1">
      <alignment vertical="center" shrinkToFit="1"/>
    </xf>
    <xf numFmtId="0" fontId="50" fillId="30" borderId="70" xfId="0" applyFont="1" applyFill="1" applyBorder="1" applyAlignment="1">
      <alignment vertical="center" shrinkToFit="1"/>
    </xf>
    <xf numFmtId="0" fontId="50" fillId="30" borderId="72" xfId="0" applyFont="1" applyFill="1" applyBorder="1" applyAlignment="1">
      <alignment vertical="center" shrinkToFit="1"/>
    </xf>
    <xf numFmtId="0" fontId="50" fillId="30" borderId="73" xfId="0" applyFont="1" applyFill="1" applyBorder="1" applyAlignment="1">
      <alignment vertical="center" shrinkToFit="1"/>
    </xf>
    <xf numFmtId="0" fontId="50" fillId="30" borderId="67" xfId="0" applyFont="1" applyFill="1" applyBorder="1" applyAlignment="1">
      <alignment vertical="center" shrinkToFit="1"/>
    </xf>
    <xf numFmtId="179" fontId="50" fillId="30" borderId="70" xfId="46" applyNumberFormat="1" applyFont="1" applyFill="1" applyBorder="1" applyAlignment="1">
      <alignment horizontal="left" vertical="center"/>
    </xf>
    <xf numFmtId="0" fontId="50" fillId="30" borderId="73" xfId="0" applyFont="1" applyFill="1" applyBorder="1" applyAlignment="1">
      <alignment horizontal="center" vertical="center" shrinkToFit="1"/>
    </xf>
    <xf numFmtId="0" fontId="3" fillId="0" borderId="31" xfId="0" applyFont="1" applyFill="1" applyBorder="1">
      <alignment vertical="center"/>
    </xf>
    <xf numFmtId="0" fontId="3" fillId="0" borderId="15" xfId="0" applyFont="1" applyFill="1" applyBorder="1" applyAlignment="1">
      <alignment horizontal="left" vertical="center"/>
    </xf>
    <xf numFmtId="0" fontId="46" fillId="30" borderId="95" xfId="0" applyFont="1" applyFill="1" applyBorder="1" applyAlignment="1">
      <alignment vertical="center" shrinkToFit="1"/>
    </xf>
    <xf numFmtId="0" fontId="46" fillId="30" borderId="82" xfId="0" applyFont="1" applyFill="1" applyBorder="1" applyAlignment="1">
      <alignment horizontal="center" vertical="center" shrinkToFit="1"/>
    </xf>
    <xf numFmtId="177" fontId="46" fillId="30" borderId="82" xfId="34" applyNumberFormat="1" applyFont="1" applyFill="1" applyBorder="1" applyAlignment="1">
      <alignment vertical="center" shrinkToFit="1"/>
    </xf>
    <xf numFmtId="180" fontId="46" fillId="30" borderId="82" xfId="34" applyNumberFormat="1" applyFont="1" applyFill="1" applyBorder="1" applyAlignment="1">
      <alignment vertical="center" shrinkToFit="1"/>
    </xf>
    <xf numFmtId="177" fontId="46" fillId="30" borderId="73" xfId="34" applyNumberFormat="1" applyFont="1" applyFill="1" applyBorder="1" applyAlignment="1">
      <alignment horizontal="left" vertical="top" shrinkToFit="1"/>
    </xf>
    <xf numFmtId="176" fontId="50" fillId="33" borderId="67" xfId="34" applyNumberFormat="1" applyFont="1" applyFill="1" applyBorder="1" applyAlignment="1">
      <alignment vertical="center" shrinkToFit="1"/>
    </xf>
    <xf numFmtId="176" fontId="50" fillId="33" borderId="70" xfId="34" applyNumberFormat="1" applyFont="1" applyFill="1" applyBorder="1" applyAlignment="1">
      <alignment vertical="center" shrinkToFit="1"/>
    </xf>
    <xf numFmtId="177" fontId="50" fillId="30" borderId="70" xfId="34" applyNumberFormat="1" applyFont="1" applyFill="1" applyBorder="1" applyAlignment="1">
      <alignment vertical="center" shrinkToFit="1"/>
    </xf>
    <xf numFmtId="179" fontId="50" fillId="30" borderId="73" xfId="46" applyNumberFormat="1" applyFont="1" applyFill="1" applyBorder="1" applyAlignment="1">
      <alignment horizontal="left" vertical="center"/>
    </xf>
    <xf numFmtId="177" fontId="50" fillId="30" borderId="73" xfId="34" applyNumberFormat="1" applyFont="1" applyFill="1" applyBorder="1" applyAlignment="1">
      <alignment vertical="center" shrinkToFit="1"/>
    </xf>
    <xf numFmtId="176" fontId="50" fillId="33" borderId="73" xfId="34" applyNumberFormat="1" applyFont="1" applyFill="1" applyBorder="1" applyAlignment="1">
      <alignment vertical="center" shrinkToFit="1"/>
    </xf>
    <xf numFmtId="178" fontId="32" fillId="24" borderId="29" xfId="26" applyNumberFormat="1" applyFont="1" applyFill="1" applyBorder="1" applyAlignment="1">
      <alignment horizontal="right" vertical="center"/>
    </xf>
    <xf numFmtId="0" fontId="2" fillId="35" borderId="29" xfId="26" applyFont="1" applyFill="1" applyBorder="1" applyAlignment="1">
      <alignment horizontal="center" vertical="center"/>
    </xf>
    <xf numFmtId="180" fontId="46" fillId="30" borderId="76" xfId="34" applyNumberFormat="1" applyFont="1" applyFill="1" applyBorder="1" applyAlignment="1">
      <alignment vertical="center" shrinkToFit="1"/>
    </xf>
    <xf numFmtId="176" fontId="46" fillId="33" borderId="76" xfId="34" applyNumberFormat="1" applyFont="1" applyFill="1" applyBorder="1" applyAlignment="1">
      <alignment vertical="center" shrinkToFit="1"/>
    </xf>
    <xf numFmtId="0" fontId="50" fillId="30" borderId="96" xfId="0" applyFont="1" applyFill="1" applyBorder="1" applyAlignment="1">
      <alignment vertical="center" shrinkToFit="1"/>
    </xf>
    <xf numFmtId="0" fontId="50" fillId="30" borderId="78" xfId="0" applyFont="1" applyFill="1" applyBorder="1" applyAlignment="1">
      <alignment vertical="center" shrinkToFit="1"/>
    </xf>
    <xf numFmtId="179" fontId="50" fillId="30" borderId="78" xfId="46" applyNumberFormat="1" applyFont="1" applyFill="1" applyBorder="1" applyAlignment="1">
      <alignment horizontal="left" vertical="center"/>
    </xf>
    <xf numFmtId="180" fontId="50" fillId="30" borderId="78" xfId="34" applyNumberFormat="1" applyFont="1" applyFill="1" applyBorder="1" applyAlignment="1">
      <alignment vertical="center" shrinkToFit="1"/>
    </xf>
    <xf numFmtId="176" fontId="50" fillId="33" borderId="78" xfId="34" applyNumberFormat="1" applyFont="1" applyFill="1" applyBorder="1" applyAlignment="1">
      <alignment vertical="center" shrinkToFit="1"/>
    </xf>
    <xf numFmtId="0" fontId="46" fillId="36" borderId="71" xfId="0" applyFont="1" applyFill="1" applyBorder="1" applyAlignment="1">
      <alignment horizontal="center" vertical="center" shrinkToFit="1"/>
    </xf>
    <xf numFmtId="176" fontId="46" fillId="32" borderId="70" xfId="34" applyNumberFormat="1" applyFont="1" applyFill="1" applyBorder="1" applyAlignment="1">
      <alignment vertical="center" shrinkToFit="1"/>
    </xf>
    <xf numFmtId="176" fontId="50" fillId="33" borderId="84" xfId="34" applyNumberFormat="1" applyFont="1" applyFill="1" applyBorder="1" applyAlignment="1">
      <alignment vertical="center" shrinkToFit="1"/>
    </xf>
    <xf numFmtId="0" fontId="49" fillId="32" borderId="86" xfId="26" applyFont="1" applyFill="1" applyBorder="1" applyAlignment="1">
      <alignment vertical="center" shrinkToFit="1"/>
    </xf>
    <xf numFmtId="0" fontId="49" fillId="32" borderId="87" xfId="26" applyFont="1" applyFill="1" applyBorder="1" applyAlignment="1">
      <alignment vertical="center" shrinkToFit="1"/>
    </xf>
    <xf numFmtId="179" fontId="49" fillId="32" borderId="87" xfId="46" applyNumberFormat="1" applyFont="1" applyFill="1" applyBorder="1" applyAlignment="1">
      <alignment horizontal="left" vertical="center"/>
    </xf>
    <xf numFmtId="0" fontId="49" fillId="32" borderId="87" xfId="26" applyFont="1" applyFill="1" applyBorder="1" applyAlignment="1">
      <alignment horizontal="center" vertical="center" shrinkToFit="1"/>
    </xf>
    <xf numFmtId="0" fontId="49" fillId="32" borderId="87" xfId="26" applyFont="1" applyFill="1" applyBorder="1" applyAlignment="1">
      <alignment horizontal="left" vertical="center" shrinkToFit="1"/>
    </xf>
    <xf numFmtId="177" fontId="49" fillId="32" borderId="87" xfId="34" applyNumberFormat="1" applyFont="1" applyFill="1" applyBorder="1" applyAlignment="1">
      <alignment vertical="center" shrinkToFit="1"/>
    </xf>
    <xf numFmtId="0" fontId="46" fillId="32" borderId="87" xfId="26" applyFont="1" applyFill="1" applyBorder="1" applyAlignment="1">
      <alignment vertical="center" shrinkToFit="1"/>
    </xf>
    <xf numFmtId="180" fontId="46" fillId="32" borderId="87" xfId="47" applyNumberFormat="1" applyFont="1" applyFill="1" applyBorder="1" applyAlignment="1">
      <alignment vertical="center" shrinkToFit="1"/>
    </xf>
    <xf numFmtId="176" fontId="46" fillId="32" borderId="87" xfId="34" applyNumberFormat="1" applyFont="1" applyFill="1" applyBorder="1" applyAlignment="1">
      <alignment vertical="center" shrinkToFit="1"/>
    </xf>
    <xf numFmtId="0" fontId="46" fillId="32" borderId="87" xfId="26" applyFont="1" applyFill="1" applyBorder="1" applyAlignment="1">
      <alignment horizontal="center" vertical="center" shrinkToFit="1"/>
    </xf>
    <xf numFmtId="0" fontId="46" fillId="32" borderId="0" xfId="26" applyFont="1" applyFill="1" applyAlignment="1">
      <alignment vertical="center" shrinkToFit="1"/>
    </xf>
    <xf numFmtId="0" fontId="49" fillId="32" borderId="90" xfId="26" applyFont="1" applyFill="1" applyBorder="1" applyAlignment="1">
      <alignment vertical="center" shrinkToFit="1"/>
    </xf>
    <xf numFmtId="0" fontId="49" fillId="32" borderId="91" xfId="26" applyFont="1" applyFill="1" applyBorder="1" applyAlignment="1">
      <alignment vertical="center" shrinkToFit="1"/>
    </xf>
    <xf numFmtId="179" fontId="49" fillId="32" borderId="91" xfId="46" applyNumberFormat="1" applyFont="1" applyFill="1" applyBorder="1" applyAlignment="1">
      <alignment horizontal="left" vertical="center"/>
    </xf>
    <xf numFmtId="0" fontId="49" fillId="32" borderId="91" xfId="26" applyFont="1" applyFill="1" applyBorder="1" applyAlignment="1">
      <alignment horizontal="center" vertical="center" shrinkToFit="1"/>
    </xf>
    <xf numFmtId="0" fontId="49" fillId="32" borderId="91" xfId="26" applyFont="1" applyFill="1" applyBorder="1" applyAlignment="1">
      <alignment horizontal="left" vertical="center" shrinkToFit="1"/>
    </xf>
    <xf numFmtId="177" fontId="49" fillId="32" borderId="91" xfId="34" applyNumberFormat="1" applyFont="1" applyFill="1" applyBorder="1" applyAlignment="1">
      <alignment vertical="center" shrinkToFit="1"/>
    </xf>
    <xf numFmtId="0" fontId="46" fillId="32" borderId="91" xfId="26" applyFont="1" applyFill="1" applyBorder="1" applyAlignment="1">
      <alignment vertical="center" shrinkToFit="1"/>
    </xf>
    <xf numFmtId="180" fontId="46" fillId="32" borderId="91" xfId="47" applyNumberFormat="1" applyFont="1" applyFill="1" applyBorder="1" applyAlignment="1">
      <alignment vertical="center" shrinkToFit="1"/>
    </xf>
    <xf numFmtId="176" fontId="46" fillId="32" borderId="91" xfId="34" applyNumberFormat="1" applyFont="1" applyFill="1" applyBorder="1" applyAlignment="1">
      <alignment vertical="center" shrinkToFit="1"/>
    </xf>
    <xf numFmtId="0" fontId="46" fillId="32" borderId="91" xfId="26" applyFont="1" applyFill="1" applyBorder="1" applyAlignment="1">
      <alignment horizontal="center" vertical="center" shrinkToFit="1"/>
    </xf>
    <xf numFmtId="0" fontId="49" fillId="32" borderId="66" xfId="26" applyFont="1" applyFill="1" applyBorder="1" applyAlignment="1">
      <alignment vertical="center" shrinkToFit="1"/>
    </xf>
    <xf numFmtId="0" fontId="49" fillId="32" borderId="67" xfId="26" applyFont="1" applyFill="1" applyBorder="1" applyAlignment="1">
      <alignment vertical="center" shrinkToFit="1"/>
    </xf>
    <xf numFmtId="179" fontId="49" fillId="32" borderId="67" xfId="46" applyNumberFormat="1" applyFont="1" applyFill="1" applyBorder="1" applyAlignment="1">
      <alignment horizontal="left" vertical="center"/>
    </xf>
    <xf numFmtId="0" fontId="49" fillId="32" borderId="67" xfId="26" applyFont="1" applyFill="1" applyBorder="1" applyAlignment="1">
      <alignment horizontal="center" vertical="center" shrinkToFit="1"/>
    </xf>
    <xf numFmtId="0" fontId="49" fillId="32" borderId="67" xfId="26" applyFont="1" applyFill="1" applyBorder="1" applyAlignment="1">
      <alignment horizontal="left" vertical="center" shrinkToFit="1"/>
    </xf>
    <xf numFmtId="177" fontId="49" fillId="32" borderId="67" xfId="34" applyNumberFormat="1" applyFont="1" applyFill="1" applyBorder="1" applyAlignment="1">
      <alignment vertical="center" shrinkToFit="1"/>
    </xf>
    <xf numFmtId="0" fontId="46" fillId="32" borderId="67" xfId="26" applyFont="1" applyFill="1" applyBorder="1" applyAlignment="1">
      <alignment vertical="center" shrinkToFit="1"/>
    </xf>
    <xf numFmtId="180" fontId="46" fillId="32" borderId="67" xfId="47" applyNumberFormat="1" applyFont="1" applyFill="1" applyBorder="1" applyAlignment="1">
      <alignment vertical="center" shrinkToFit="1"/>
    </xf>
    <xf numFmtId="176" fontId="46" fillId="32" borderId="67" xfId="34" applyNumberFormat="1" applyFont="1" applyFill="1" applyBorder="1" applyAlignment="1">
      <alignment vertical="center" shrinkToFit="1"/>
    </xf>
    <xf numFmtId="0" fontId="46" fillId="32" borderId="67" xfId="26" applyFont="1" applyFill="1" applyBorder="1" applyAlignment="1">
      <alignment horizontal="center" vertical="center" shrinkToFit="1"/>
    </xf>
    <xf numFmtId="0" fontId="49" fillId="32" borderId="69" xfId="26" applyFont="1" applyFill="1" applyBorder="1" applyAlignment="1">
      <alignment vertical="center" shrinkToFit="1"/>
    </xf>
    <xf numFmtId="0" fontId="49" fillId="32" borderId="70" xfId="26" applyFont="1" applyFill="1" applyBorder="1" applyAlignment="1">
      <alignment vertical="center" shrinkToFit="1"/>
    </xf>
    <xf numFmtId="179" fontId="49" fillId="32" borderId="70" xfId="46" applyNumberFormat="1" applyFont="1" applyFill="1" applyBorder="1" applyAlignment="1">
      <alignment horizontal="left" vertical="center"/>
    </xf>
    <xf numFmtId="0" fontId="49" fillId="32" borderId="70" xfId="26" applyFont="1" applyFill="1" applyBorder="1" applyAlignment="1">
      <alignment horizontal="center" vertical="center" shrinkToFit="1"/>
    </xf>
    <xf numFmtId="0" fontId="49" fillId="32" borderId="70" xfId="26" applyFont="1" applyFill="1" applyBorder="1" applyAlignment="1">
      <alignment horizontal="left" vertical="center" shrinkToFit="1"/>
    </xf>
    <xf numFmtId="177" fontId="49" fillId="32" borderId="70" xfId="34" applyNumberFormat="1" applyFont="1" applyFill="1" applyBorder="1" applyAlignment="1">
      <alignment vertical="center" shrinkToFit="1"/>
    </xf>
    <xf numFmtId="0" fontId="46" fillId="32" borderId="70" xfId="26" applyFont="1" applyFill="1" applyBorder="1" applyAlignment="1">
      <alignment vertical="center" shrinkToFit="1"/>
    </xf>
    <xf numFmtId="180" fontId="46" fillId="32" borderId="70" xfId="47" applyNumberFormat="1" applyFont="1" applyFill="1" applyBorder="1" applyAlignment="1">
      <alignment vertical="center" shrinkToFit="1"/>
    </xf>
    <xf numFmtId="0" fontId="46" fillId="32" borderId="70" xfId="26" applyFont="1" applyFill="1" applyBorder="1" applyAlignment="1">
      <alignment horizontal="center" vertical="center" shrinkToFit="1"/>
    </xf>
    <xf numFmtId="0" fontId="49" fillId="32" borderId="72" xfId="26" applyFont="1" applyFill="1" applyBorder="1" applyAlignment="1">
      <alignment vertical="center" shrinkToFit="1"/>
    </xf>
    <xf numFmtId="0" fontId="49" fillId="32" borderId="73" xfId="26" applyFont="1" applyFill="1" applyBorder="1" applyAlignment="1">
      <alignment vertical="center" shrinkToFit="1"/>
    </xf>
    <xf numFmtId="179" fontId="49" fillId="32" borderId="73" xfId="46" applyNumberFormat="1" applyFont="1" applyFill="1" applyBorder="1" applyAlignment="1">
      <alignment horizontal="left" vertical="center"/>
    </xf>
    <xf numFmtId="0" fontId="49" fillId="32" borderId="73" xfId="26" applyFont="1" applyFill="1" applyBorder="1" applyAlignment="1">
      <alignment horizontal="center" vertical="center" shrinkToFit="1"/>
    </xf>
    <xf numFmtId="0" fontId="49" fillId="32" borderId="73" xfId="26" applyFont="1" applyFill="1" applyBorder="1" applyAlignment="1">
      <alignment horizontal="left" vertical="center" shrinkToFit="1"/>
    </xf>
    <xf numFmtId="177" fontId="49" fillId="32" borderId="73" xfId="34" applyNumberFormat="1" applyFont="1" applyFill="1" applyBorder="1" applyAlignment="1">
      <alignment vertical="center" shrinkToFit="1"/>
    </xf>
    <xf numFmtId="0" fontId="46" fillId="32" borderId="73" xfId="26" applyFont="1" applyFill="1" applyBorder="1" applyAlignment="1">
      <alignment vertical="center" shrinkToFit="1"/>
    </xf>
    <xf numFmtId="180" fontId="46" fillId="32" borderId="73" xfId="47" applyNumberFormat="1" applyFont="1" applyFill="1" applyBorder="1" applyAlignment="1">
      <alignment vertical="center" shrinkToFit="1"/>
    </xf>
    <xf numFmtId="176" fontId="46" fillId="32" borderId="73" xfId="34" applyNumberFormat="1" applyFont="1" applyFill="1" applyBorder="1" applyAlignment="1">
      <alignment vertical="center" shrinkToFit="1"/>
    </xf>
    <xf numFmtId="0" fontId="46" fillId="32" borderId="73" xfId="26" applyFont="1" applyFill="1" applyBorder="1" applyAlignment="1">
      <alignment horizontal="center" vertical="center" shrinkToFit="1"/>
    </xf>
    <xf numFmtId="0" fontId="49" fillId="32" borderId="95" xfId="26" applyFont="1" applyFill="1" applyBorder="1" applyAlignment="1">
      <alignment vertical="center" shrinkToFit="1"/>
    </xf>
    <xf numFmtId="0" fontId="49" fillId="32" borderId="82" xfId="26" applyFont="1" applyFill="1" applyBorder="1" applyAlignment="1">
      <alignment vertical="center" shrinkToFit="1"/>
    </xf>
    <xf numFmtId="179" fontId="49" fillId="32" borderId="82" xfId="46" applyNumberFormat="1" applyFont="1" applyFill="1" applyBorder="1" applyAlignment="1">
      <alignment horizontal="left" vertical="center"/>
    </xf>
    <xf numFmtId="0" fontId="49" fillId="32" borderId="82" xfId="26" applyFont="1" applyFill="1" applyBorder="1" applyAlignment="1">
      <alignment horizontal="center" vertical="center" shrinkToFit="1"/>
    </xf>
    <xf numFmtId="0" fontId="49" fillId="32" borderId="82" xfId="26" applyFont="1" applyFill="1" applyBorder="1" applyAlignment="1">
      <alignment horizontal="left" vertical="center" shrinkToFit="1"/>
    </xf>
    <xf numFmtId="177" fontId="49" fillId="32" borderId="82" xfId="34" applyNumberFormat="1" applyFont="1" applyFill="1" applyBorder="1" applyAlignment="1">
      <alignment vertical="center" shrinkToFit="1"/>
    </xf>
    <xf numFmtId="0" fontId="46" fillId="32" borderId="82" xfId="26" applyFont="1" applyFill="1" applyBorder="1" applyAlignment="1">
      <alignment vertical="center" shrinkToFit="1"/>
    </xf>
    <xf numFmtId="180" fontId="46" fillId="32" borderId="82" xfId="47" applyNumberFormat="1" applyFont="1" applyFill="1" applyBorder="1" applyAlignment="1">
      <alignment vertical="center" shrinkToFit="1"/>
    </xf>
    <xf numFmtId="176" fontId="46" fillId="32" borderId="82" xfId="34" applyNumberFormat="1" applyFont="1" applyFill="1" applyBorder="1" applyAlignment="1">
      <alignment vertical="center" shrinkToFit="1"/>
    </xf>
    <xf numFmtId="0" fontId="46" fillId="32" borderId="82" xfId="26" applyFont="1" applyFill="1" applyBorder="1" applyAlignment="1">
      <alignment horizontal="center" vertical="center" shrinkToFit="1"/>
    </xf>
    <xf numFmtId="0" fontId="52" fillId="30" borderId="95" xfId="26" applyFont="1" applyFill="1" applyBorder="1" applyAlignment="1">
      <alignment vertical="center" shrinkToFit="1"/>
    </xf>
    <xf numFmtId="0" fontId="52" fillId="30" borderId="82" xfId="26" applyFont="1" applyFill="1" applyBorder="1" applyAlignment="1">
      <alignment vertical="center" shrinkToFit="1"/>
    </xf>
    <xf numFmtId="179" fontId="52" fillId="30" borderId="82" xfId="46" applyNumberFormat="1" applyFont="1" applyFill="1" applyBorder="1" applyAlignment="1">
      <alignment horizontal="left" vertical="center"/>
    </xf>
    <xf numFmtId="0" fontId="52" fillId="30" borderId="82" xfId="26" applyFont="1" applyFill="1" applyBorder="1" applyAlignment="1">
      <alignment horizontal="center" vertical="center" shrinkToFit="1"/>
    </xf>
    <xf numFmtId="0" fontId="52" fillId="30" borderId="82" xfId="26" applyFont="1" applyFill="1" applyBorder="1" applyAlignment="1">
      <alignment horizontal="left" vertical="center" shrinkToFit="1"/>
    </xf>
    <xf numFmtId="177" fontId="52" fillId="30" borderId="82" xfId="34" applyNumberFormat="1" applyFont="1" applyFill="1" applyBorder="1" applyAlignment="1">
      <alignment vertical="center" shrinkToFit="1"/>
    </xf>
    <xf numFmtId="0" fontId="50" fillId="30" borderId="82" xfId="26" applyFont="1" applyFill="1" applyBorder="1" applyAlignment="1">
      <alignment vertical="center" shrinkToFit="1"/>
    </xf>
    <xf numFmtId="180" fontId="50" fillId="30" borderId="82" xfId="47" applyNumberFormat="1" applyFont="1" applyFill="1" applyBorder="1" applyAlignment="1">
      <alignment vertical="center" shrinkToFit="1"/>
    </xf>
    <xf numFmtId="176" fontId="50" fillId="33" borderId="82" xfId="34" applyNumberFormat="1" applyFont="1" applyFill="1" applyBorder="1" applyAlignment="1">
      <alignment vertical="center" shrinkToFit="1"/>
    </xf>
    <xf numFmtId="0" fontId="50" fillId="30" borderId="82" xfId="26" applyFont="1" applyFill="1" applyBorder="1" applyAlignment="1">
      <alignment horizontal="center" vertical="center" shrinkToFit="1"/>
    </xf>
    <xf numFmtId="0" fontId="50" fillId="0" borderId="0" xfId="26" applyFont="1" applyAlignment="1">
      <alignment vertical="center" shrinkToFit="1"/>
    </xf>
    <xf numFmtId="0" fontId="52" fillId="30" borderId="66" xfId="26" applyFont="1" applyFill="1" applyBorder="1" applyAlignment="1">
      <alignment vertical="center" shrinkToFit="1"/>
    </xf>
    <xf numFmtId="0" fontId="52" fillId="30" borderId="67" xfId="26" applyFont="1" applyFill="1" applyBorder="1" applyAlignment="1">
      <alignment vertical="center" shrinkToFit="1"/>
    </xf>
    <xf numFmtId="179" fontId="52" fillId="30" borderId="67" xfId="46" applyNumberFormat="1" applyFont="1" applyFill="1" applyBorder="1" applyAlignment="1">
      <alignment horizontal="left" vertical="center"/>
    </xf>
    <xf numFmtId="0" fontId="52" fillId="30" borderId="67" xfId="26" applyFont="1" applyFill="1" applyBorder="1" applyAlignment="1">
      <alignment horizontal="center" vertical="center" shrinkToFit="1"/>
    </xf>
    <xf numFmtId="0" fontId="52" fillId="30" borderId="67" xfId="26" applyFont="1" applyFill="1" applyBorder="1" applyAlignment="1">
      <alignment horizontal="left" vertical="center" shrinkToFit="1"/>
    </xf>
    <xf numFmtId="177" fontId="52" fillId="30" borderId="67" xfId="34" applyNumberFormat="1" applyFont="1" applyFill="1" applyBorder="1" applyAlignment="1">
      <alignment vertical="center" shrinkToFit="1"/>
    </xf>
    <xf numFmtId="0" fontId="50" fillId="30" borderId="67" xfId="26" applyFont="1" applyFill="1" applyBorder="1" applyAlignment="1">
      <alignment vertical="center" shrinkToFit="1"/>
    </xf>
    <xf numFmtId="180" fontId="50" fillId="30" borderId="67" xfId="47" applyNumberFormat="1" applyFont="1" applyFill="1" applyBorder="1" applyAlignment="1">
      <alignment vertical="center" shrinkToFit="1"/>
    </xf>
    <xf numFmtId="0" fontId="50" fillId="30" borderId="67" xfId="26" applyFont="1" applyFill="1" applyBorder="1" applyAlignment="1">
      <alignment horizontal="center" vertical="center" shrinkToFit="1"/>
    </xf>
    <xf numFmtId="0" fontId="52" fillId="30" borderId="86" xfId="26" applyFont="1" applyFill="1" applyBorder="1" applyAlignment="1">
      <alignment vertical="center" shrinkToFit="1"/>
    </xf>
    <xf numFmtId="0" fontId="52" fillId="30" borderId="87" xfId="26" applyFont="1" applyFill="1" applyBorder="1" applyAlignment="1">
      <alignment vertical="center" shrinkToFit="1"/>
    </xf>
    <xf numFmtId="179" fontId="52" fillId="30" borderId="87" xfId="46" applyNumberFormat="1" applyFont="1" applyFill="1" applyBorder="1" applyAlignment="1">
      <alignment horizontal="left" vertical="center"/>
    </xf>
    <xf numFmtId="0" fontId="52" fillId="30" borderId="87" xfId="26" applyFont="1" applyFill="1" applyBorder="1" applyAlignment="1">
      <alignment horizontal="center" vertical="center" shrinkToFit="1"/>
    </xf>
    <xf numFmtId="0" fontId="52" fillId="30" borderId="87" xfId="26" applyFont="1" applyFill="1" applyBorder="1" applyAlignment="1">
      <alignment horizontal="left" vertical="center" shrinkToFit="1"/>
    </xf>
    <xf numFmtId="177" fontId="52" fillId="30" borderId="87" xfId="34" applyNumberFormat="1" applyFont="1" applyFill="1" applyBorder="1" applyAlignment="1">
      <alignment vertical="center" shrinkToFit="1"/>
    </xf>
    <xf numFmtId="0" fontId="50" fillId="30" borderId="87" xfId="26" applyFont="1" applyFill="1" applyBorder="1" applyAlignment="1">
      <alignment vertical="center" shrinkToFit="1"/>
    </xf>
    <xf numFmtId="180" fontId="50" fillId="30" borderId="87" xfId="47" applyNumberFormat="1" applyFont="1" applyFill="1" applyBorder="1" applyAlignment="1">
      <alignment vertical="center" shrinkToFit="1"/>
    </xf>
    <xf numFmtId="0" fontId="50" fillId="30" borderId="87" xfId="26" applyFont="1" applyFill="1" applyBorder="1" applyAlignment="1">
      <alignment horizontal="center" vertical="center" shrinkToFit="1"/>
    </xf>
    <xf numFmtId="0" fontId="50" fillId="30" borderId="0" xfId="26" applyFont="1" applyFill="1" applyAlignment="1">
      <alignment vertical="center" shrinkToFit="1"/>
    </xf>
    <xf numFmtId="0" fontId="52" fillId="30" borderId="90" xfId="26" applyFont="1" applyFill="1" applyBorder="1" applyAlignment="1">
      <alignment vertical="center" shrinkToFit="1"/>
    </xf>
    <xf numFmtId="0" fontId="52" fillId="30" borderId="91" xfId="26" applyFont="1" applyFill="1" applyBorder="1" applyAlignment="1">
      <alignment vertical="center" shrinkToFit="1"/>
    </xf>
    <xf numFmtId="179" fontId="52" fillId="30" borderId="91" xfId="46" applyNumberFormat="1" applyFont="1" applyFill="1" applyBorder="1" applyAlignment="1">
      <alignment horizontal="left" vertical="center"/>
    </xf>
    <xf numFmtId="0" fontId="52" fillId="30" borderId="91" xfId="26" applyFont="1" applyFill="1" applyBorder="1" applyAlignment="1">
      <alignment horizontal="center" vertical="center" shrinkToFit="1"/>
    </xf>
    <xf numFmtId="0" fontId="52" fillId="30" borderId="91" xfId="26" applyFont="1" applyFill="1" applyBorder="1" applyAlignment="1">
      <alignment horizontal="left" vertical="center" shrinkToFit="1"/>
    </xf>
    <xf numFmtId="177" fontId="52" fillId="30" borderId="91" xfId="34" applyNumberFormat="1" applyFont="1" applyFill="1" applyBorder="1" applyAlignment="1">
      <alignment vertical="center" shrinkToFit="1"/>
    </xf>
    <xf numFmtId="0" fontId="50" fillId="30" borderId="91" xfId="26" applyFont="1" applyFill="1" applyBorder="1" applyAlignment="1">
      <alignment vertical="center" shrinkToFit="1"/>
    </xf>
    <xf numFmtId="180" fontId="50" fillId="30" borderId="91" xfId="47" applyNumberFormat="1" applyFont="1" applyFill="1" applyBorder="1" applyAlignment="1">
      <alignment vertical="center" shrinkToFit="1"/>
    </xf>
    <xf numFmtId="0" fontId="50" fillId="30" borderId="91" xfId="26" applyFont="1" applyFill="1" applyBorder="1" applyAlignment="1">
      <alignment horizontal="center" vertical="center" shrinkToFit="1"/>
    </xf>
    <xf numFmtId="0" fontId="52" fillId="30" borderId="33" xfId="26" applyFont="1" applyFill="1" applyBorder="1" applyAlignment="1">
      <alignment vertical="center" shrinkToFit="1"/>
    </xf>
    <xf numFmtId="0" fontId="52" fillId="30" borderId="28" xfId="26" applyFont="1" applyFill="1" applyBorder="1" applyAlignment="1">
      <alignment vertical="center" shrinkToFit="1"/>
    </xf>
    <xf numFmtId="179" fontId="52" fillId="30" borderId="28" xfId="46" applyNumberFormat="1" applyFont="1" applyFill="1" applyBorder="1" applyAlignment="1">
      <alignment horizontal="left" vertical="center"/>
    </xf>
    <xf numFmtId="0" fontId="52" fillId="30" borderId="28" xfId="26" applyFont="1" applyFill="1" applyBorder="1" applyAlignment="1">
      <alignment horizontal="center" vertical="center" shrinkToFit="1"/>
    </xf>
    <xf numFmtId="0" fontId="52" fillId="30" borderId="28" xfId="26" applyFont="1" applyFill="1" applyBorder="1" applyAlignment="1">
      <alignment horizontal="left" vertical="center" shrinkToFit="1"/>
    </xf>
    <xf numFmtId="177" fontId="52" fillId="30" borderId="28" xfId="34" applyNumberFormat="1" applyFont="1" applyFill="1" applyBorder="1" applyAlignment="1">
      <alignment vertical="center" shrinkToFit="1"/>
    </xf>
    <xf numFmtId="0" fontId="50" fillId="30" borderId="28" xfId="26" applyFont="1" applyFill="1" applyBorder="1" applyAlignment="1">
      <alignment vertical="center" shrinkToFit="1"/>
    </xf>
    <xf numFmtId="180" fontId="50" fillId="30" borderId="28" xfId="47" applyNumberFormat="1" applyFont="1" applyFill="1" applyBorder="1" applyAlignment="1">
      <alignment vertical="center" shrinkToFit="1"/>
    </xf>
    <xf numFmtId="176" fontId="50" fillId="33" borderId="97" xfId="34" applyNumberFormat="1" applyFont="1" applyFill="1" applyBorder="1" applyAlignment="1">
      <alignment vertical="center" shrinkToFit="1"/>
    </xf>
    <xf numFmtId="0" fontId="50" fillId="30" borderId="28" xfId="26" applyFont="1" applyFill="1" applyBorder="1" applyAlignment="1">
      <alignment horizontal="center" vertical="center" shrinkToFit="1"/>
    </xf>
    <xf numFmtId="0" fontId="52" fillId="30" borderId="98" xfId="26" applyFont="1" applyFill="1" applyBorder="1" applyAlignment="1">
      <alignment vertical="center" shrinkToFit="1"/>
    </xf>
    <xf numFmtId="179" fontId="52" fillId="30" borderId="98" xfId="46" applyNumberFormat="1" applyFont="1" applyFill="1" applyBorder="1" applyAlignment="1">
      <alignment horizontal="left" vertical="center"/>
    </xf>
    <xf numFmtId="0" fontId="52" fillId="30" borderId="98" xfId="26" applyFont="1" applyFill="1" applyBorder="1" applyAlignment="1">
      <alignment horizontal="center" vertical="center" shrinkToFit="1"/>
    </xf>
    <xf numFmtId="0" fontId="52" fillId="30" borderId="98" xfId="26" applyFont="1" applyFill="1" applyBorder="1" applyAlignment="1">
      <alignment horizontal="left" vertical="center" shrinkToFit="1"/>
    </xf>
    <xf numFmtId="177" fontId="52" fillId="30" borderId="98" xfId="34" applyNumberFormat="1" applyFont="1" applyFill="1" applyBorder="1" applyAlignment="1">
      <alignment vertical="center" shrinkToFit="1"/>
    </xf>
    <xf numFmtId="0" fontId="50" fillId="30" borderId="98" xfId="26" applyFont="1" applyFill="1" applyBorder="1" applyAlignment="1">
      <alignment vertical="center" shrinkToFit="1"/>
    </xf>
    <xf numFmtId="180" fontId="50" fillId="30" borderId="98" xfId="47" applyNumberFormat="1" applyFont="1" applyFill="1" applyBorder="1" applyAlignment="1">
      <alignment vertical="center" shrinkToFit="1"/>
    </xf>
    <xf numFmtId="0" fontId="50" fillId="30" borderId="98" xfId="26" applyFont="1" applyFill="1" applyBorder="1" applyAlignment="1">
      <alignment horizontal="center" vertical="center" shrinkToFit="1"/>
    </xf>
    <xf numFmtId="0" fontId="52" fillId="30" borderId="99" xfId="26" applyFont="1" applyFill="1" applyBorder="1" applyAlignment="1">
      <alignment vertical="center" shrinkToFit="1"/>
    </xf>
    <xf numFmtId="176" fontId="51" fillId="37" borderId="14" xfId="34" applyNumberFormat="1" applyFont="1" applyFill="1" applyBorder="1">
      <alignment vertical="center"/>
    </xf>
    <xf numFmtId="0" fontId="2" fillId="24" borderId="28" xfId="26" applyFont="1" applyFill="1" applyBorder="1" applyAlignment="1">
      <alignment horizontal="right" vertical="top"/>
    </xf>
    <xf numFmtId="0" fontId="2" fillId="30" borderId="28" xfId="26" applyFont="1" applyFill="1" applyBorder="1" applyAlignment="1">
      <alignment horizontal="left" vertical="center" wrapText="1"/>
    </xf>
    <xf numFmtId="0" fontId="2" fillId="30" borderId="60" xfId="26" applyFont="1" applyFill="1" applyBorder="1" applyAlignment="1">
      <alignment horizontal="left" vertical="center" wrapText="1"/>
    </xf>
    <xf numFmtId="177" fontId="53" fillId="28" borderId="25" xfId="34" applyNumberFormat="1" applyFont="1" applyFill="1" applyBorder="1">
      <alignment vertical="center"/>
    </xf>
    <xf numFmtId="176" fontId="53" fillId="28" borderId="10" xfId="34" applyNumberFormat="1" applyFont="1" applyFill="1" applyBorder="1">
      <alignment vertical="center"/>
    </xf>
    <xf numFmtId="176" fontId="53" fillId="28" borderId="10" xfId="34" applyNumberFormat="1" applyFont="1" applyFill="1" applyBorder="1" applyAlignment="1">
      <alignment horizontal="center" vertical="center"/>
    </xf>
    <xf numFmtId="177" fontId="53" fillId="35" borderId="62" xfId="34" applyNumberFormat="1" applyFont="1" applyFill="1" applyBorder="1">
      <alignment vertical="center"/>
    </xf>
    <xf numFmtId="176" fontId="53" fillId="35" borderId="26" xfId="34" applyNumberFormat="1" applyFont="1" applyFill="1" applyBorder="1">
      <alignment vertical="center"/>
    </xf>
    <xf numFmtId="176" fontId="53" fillId="35" borderId="10" xfId="34" applyNumberFormat="1" applyFont="1" applyFill="1" applyBorder="1" applyAlignment="1">
      <alignment horizontal="center" vertical="center"/>
    </xf>
    <xf numFmtId="176" fontId="53" fillId="35" borderId="26" xfId="34" applyNumberFormat="1" applyFont="1" applyFill="1" applyBorder="1" applyAlignment="1">
      <alignment horizontal="center" vertical="center"/>
    </xf>
    <xf numFmtId="177" fontId="53" fillId="35" borderId="25" xfId="34" applyNumberFormat="1" applyFont="1" applyFill="1" applyBorder="1">
      <alignment vertical="center"/>
    </xf>
    <xf numFmtId="176" fontId="53" fillId="35" borderId="10" xfId="34" applyNumberFormat="1" applyFont="1" applyFill="1" applyBorder="1">
      <alignment vertical="center"/>
    </xf>
    <xf numFmtId="177" fontId="53" fillId="35" borderId="10" xfId="34" applyNumberFormat="1" applyFont="1" applyFill="1" applyBorder="1">
      <alignment vertical="center"/>
    </xf>
    <xf numFmtId="176" fontId="2" fillId="35" borderId="29" xfId="26" applyNumberFormat="1" applyFont="1" applyFill="1" applyBorder="1">
      <alignment vertical="center"/>
    </xf>
    <xf numFmtId="0" fontId="2" fillId="35" borderId="25" xfId="26" applyFont="1" applyFill="1" applyBorder="1" applyAlignment="1">
      <alignment horizontal="left" vertical="center"/>
    </xf>
    <xf numFmtId="177" fontId="53" fillId="35" borderId="25" xfId="34" applyNumberFormat="1" applyFont="1" applyFill="1" applyBorder="1" applyAlignment="1">
      <alignment horizontal="left" vertical="center"/>
    </xf>
    <xf numFmtId="0" fontId="53" fillId="35" borderId="10" xfId="26" applyFont="1" applyFill="1" applyBorder="1" applyAlignment="1">
      <alignment horizontal="center" vertical="center"/>
    </xf>
    <xf numFmtId="0" fontId="2" fillId="36" borderId="10" xfId="26" applyFont="1" applyFill="1" applyBorder="1">
      <alignment vertical="center"/>
    </xf>
    <xf numFmtId="176" fontId="2" fillId="36" borderId="10" xfId="34" applyNumberFormat="1" applyFont="1" applyFill="1" applyBorder="1">
      <alignment vertical="center"/>
    </xf>
    <xf numFmtId="0" fontId="2" fillId="36" borderId="10" xfId="26" applyFont="1" applyFill="1" applyBorder="1" applyAlignment="1">
      <alignment horizontal="center" vertical="center"/>
    </xf>
    <xf numFmtId="176" fontId="2" fillId="36" borderId="10" xfId="26" applyNumberFormat="1" applyFont="1" applyFill="1" applyBorder="1">
      <alignment vertical="center"/>
    </xf>
    <xf numFmtId="43" fontId="2" fillId="36" borderId="10" xfId="26" applyNumberFormat="1" applyFont="1" applyFill="1" applyBorder="1">
      <alignment vertical="center"/>
    </xf>
    <xf numFmtId="0" fontId="2" fillId="36" borderId="10" xfId="26" applyFont="1" applyFill="1" applyBorder="1" applyAlignment="1">
      <alignment horizontal="left" vertical="center"/>
    </xf>
    <xf numFmtId="0" fontId="2" fillId="36" borderId="0" xfId="26" applyFont="1" applyFill="1">
      <alignment vertical="center"/>
    </xf>
    <xf numFmtId="0" fontId="2" fillId="36" borderId="29" xfId="26" applyFont="1" applyFill="1" applyBorder="1">
      <alignment vertical="center"/>
    </xf>
    <xf numFmtId="0" fontId="6" fillId="36" borderId="10" xfId="26" applyFont="1" applyFill="1" applyBorder="1">
      <alignment vertical="center"/>
    </xf>
    <xf numFmtId="176" fontId="6" fillId="36" borderId="10" xfId="34" applyNumberFormat="1" applyFont="1" applyFill="1" applyBorder="1">
      <alignment vertical="center"/>
    </xf>
    <xf numFmtId="0" fontId="6" fillId="36" borderId="10" xfId="26" applyFont="1" applyFill="1" applyBorder="1" applyAlignment="1">
      <alignment horizontal="center" vertical="center"/>
    </xf>
    <xf numFmtId="176" fontId="6" fillId="36" borderId="10" xfId="26" applyNumberFormat="1" applyFont="1" applyFill="1" applyBorder="1">
      <alignment vertical="center"/>
    </xf>
    <xf numFmtId="43" fontId="6" fillId="36" borderId="10" xfId="26" applyNumberFormat="1" applyFont="1" applyFill="1" applyBorder="1">
      <alignment vertical="center"/>
    </xf>
    <xf numFmtId="0" fontId="2" fillId="24" borderId="63" xfId="26" applyFont="1" applyFill="1" applyBorder="1">
      <alignment vertical="center"/>
    </xf>
    <xf numFmtId="0" fontId="2" fillId="0" borderId="0" xfId="26" applyFont="1" applyFill="1" applyBorder="1">
      <alignment vertical="center"/>
    </xf>
    <xf numFmtId="0" fontId="2" fillId="24" borderId="62" xfId="26" applyFont="1" applyFill="1" applyBorder="1">
      <alignment vertical="center"/>
    </xf>
    <xf numFmtId="0" fontId="2" fillId="25" borderId="0" xfId="26" applyFont="1" applyFill="1" applyBorder="1">
      <alignment vertical="center"/>
    </xf>
    <xf numFmtId="0" fontId="2" fillId="24" borderId="25" xfId="26" applyFont="1" applyFill="1" applyBorder="1">
      <alignment vertical="center"/>
    </xf>
    <xf numFmtId="0" fontId="2" fillId="25" borderId="63" xfId="26" applyFont="1" applyFill="1" applyBorder="1">
      <alignment vertical="center"/>
    </xf>
    <xf numFmtId="0" fontId="2" fillId="0" borderId="62" xfId="26" applyFont="1" applyFill="1" applyBorder="1">
      <alignment vertical="center"/>
    </xf>
    <xf numFmtId="177" fontId="6" fillId="0" borderId="10" xfId="34" applyNumberFormat="1" applyFont="1" applyFill="1" applyBorder="1" applyAlignment="1">
      <alignment horizontal="center" vertical="center"/>
    </xf>
    <xf numFmtId="0" fontId="2" fillId="30" borderId="10" xfId="26" applyFont="1" applyFill="1" applyBorder="1" applyAlignment="1">
      <alignment horizontal="left" vertical="center" wrapText="1"/>
    </xf>
    <xf numFmtId="176" fontId="32" fillId="0" borderId="29" xfId="26" applyNumberFormat="1" applyFont="1" applyFill="1" applyBorder="1">
      <alignment vertical="center"/>
    </xf>
    <xf numFmtId="0" fontId="2" fillId="30" borderId="61" xfId="26" applyFont="1" applyFill="1" applyBorder="1">
      <alignment vertical="center"/>
    </xf>
    <xf numFmtId="0" fontId="2" fillId="30" borderId="29" xfId="26" applyFont="1" applyFill="1" applyBorder="1">
      <alignment vertical="center"/>
    </xf>
    <xf numFmtId="177" fontId="32" fillId="0" borderId="10" xfId="34" applyNumberFormat="1" applyFont="1" applyFill="1" applyBorder="1">
      <alignment vertical="center"/>
    </xf>
    <xf numFmtId="176" fontId="32" fillId="0" borderId="10" xfId="26" applyNumberFormat="1" applyFont="1" applyFill="1" applyBorder="1">
      <alignment vertical="center"/>
    </xf>
    <xf numFmtId="0" fontId="46" fillId="32" borderId="92" xfId="26" quotePrefix="1" applyFont="1" applyFill="1" applyBorder="1" applyAlignment="1">
      <alignment horizontal="right" vertical="center" shrinkToFit="1"/>
    </xf>
    <xf numFmtId="0" fontId="2" fillId="24" borderId="26" xfId="26" applyFont="1" applyFill="1" applyBorder="1" applyAlignment="1">
      <alignment horizontal="left" vertical="top" wrapText="1"/>
    </xf>
    <xf numFmtId="0" fontId="2" fillId="24" borderId="28" xfId="26" applyFont="1" applyFill="1" applyBorder="1" applyAlignment="1">
      <alignment horizontal="left" vertical="top" wrapText="1"/>
    </xf>
    <xf numFmtId="0" fontId="6" fillId="24" borderId="26" xfId="26" applyFont="1" applyFill="1" applyBorder="1" applyAlignment="1">
      <alignment horizontal="left" vertical="center"/>
    </xf>
    <xf numFmtId="0" fontId="6" fillId="24" borderId="29" xfId="26" applyFont="1" applyFill="1" applyBorder="1" applyAlignment="1">
      <alignment horizontal="left" vertical="center"/>
    </xf>
    <xf numFmtId="0" fontId="2" fillId="35" borderId="26" xfId="26" applyFont="1" applyFill="1" applyBorder="1" applyAlignment="1">
      <alignment horizontal="center" vertical="center"/>
    </xf>
    <xf numFmtId="0" fontId="2" fillId="35" borderId="28" xfId="26" applyFont="1" applyFill="1" applyBorder="1" applyAlignment="1">
      <alignment horizontal="center" vertical="center"/>
    </xf>
    <xf numFmtId="0" fontId="2" fillId="35" borderId="29" xfId="26" applyFont="1" applyFill="1" applyBorder="1" applyAlignment="1">
      <alignment horizontal="center" vertical="center"/>
    </xf>
    <xf numFmtId="0" fontId="2" fillId="35" borderId="26" xfId="26" applyFont="1" applyFill="1" applyBorder="1" applyAlignment="1">
      <alignment horizontal="left" vertical="center"/>
    </xf>
    <xf numFmtId="0" fontId="2" fillId="35" borderId="28" xfId="26" applyFont="1" applyFill="1" applyBorder="1" applyAlignment="1">
      <alignment horizontal="left" vertical="center"/>
    </xf>
    <xf numFmtId="0" fontId="2" fillId="35" borderId="29" xfId="26" applyFont="1" applyFill="1" applyBorder="1" applyAlignment="1">
      <alignment horizontal="left" vertical="center"/>
    </xf>
    <xf numFmtId="0" fontId="2" fillId="30" borderId="26" xfId="26" applyFont="1" applyFill="1" applyBorder="1" applyAlignment="1">
      <alignment horizontal="left" vertical="center" wrapText="1"/>
    </xf>
    <xf numFmtId="0" fontId="2" fillId="30" borderId="28" xfId="26" applyFont="1" applyFill="1" applyBorder="1" applyAlignment="1">
      <alignment horizontal="left" vertical="center" wrapText="1"/>
    </xf>
    <xf numFmtId="0" fontId="2" fillId="25" borderId="28" xfId="26" applyFont="1" applyFill="1" applyBorder="1" applyAlignment="1">
      <alignment horizontal="center" vertical="center"/>
    </xf>
    <xf numFmtId="0" fontId="2" fillId="25" borderId="28" xfId="26" applyFont="1" applyFill="1" applyBorder="1" applyAlignment="1">
      <alignment horizontal="left" vertical="center"/>
    </xf>
    <xf numFmtId="0" fontId="2" fillId="26" borderId="10" xfId="26" applyFont="1" applyFill="1" applyBorder="1" applyAlignment="1">
      <alignment horizontal="center" vertical="center" wrapText="1"/>
    </xf>
    <xf numFmtId="0" fontId="2" fillId="24" borderId="26" xfId="26" applyFont="1" applyFill="1" applyBorder="1" applyAlignment="1">
      <alignment horizontal="right" vertical="top"/>
    </xf>
    <xf numFmtId="0" fontId="2" fillId="24" borderId="28" xfId="26" applyFont="1" applyFill="1" applyBorder="1" applyAlignment="1">
      <alignment horizontal="right" vertical="top"/>
    </xf>
    <xf numFmtId="176" fontId="9" fillId="25" borderId="26" xfId="26" applyNumberFormat="1" applyFont="1" applyFill="1" applyBorder="1" applyAlignment="1">
      <alignment horizontal="center" vertical="center"/>
    </xf>
    <xf numFmtId="176" fontId="9" fillId="25" borderId="28" xfId="26" applyNumberFormat="1" applyFont="1" applyFill="1" applyBorder="1" applyAlignment="1">
      <alignment horizontal="center" vertical="center"/>
    </xf>
    <xf numFmtId="176" fontId="9" fillId="25" borderId="29" xfId="26" applyNumberFormat="1" applyFont="1" applyFill="1" applyBorder="1" applyAlignment="1">
      <alignment horizontal="center" vertical="center"/>
    </xf>
    <xf numFmtId="0" fontId="2" fillId="30" borderId="62" xfId="26" applyFont="1" applyFill="1" applyBorder="1" applyAlignment="1">
      <alignment horizontal="left" vertical="center" wrapText="1"/>
    </xf>
    <xf numFmtId="0" fontId="2" fillId="30" borderId="60" xfId="26" applyFont="1" applyFill="1" applyBorder="1" applyAlignment="1">
      <alignment horizontal="left" vertical="center" wrapText="1"/>
    </xf>
    <xf numFmtId="0" fontId="2" fillId="0" borderId="28" xfId="26" applyFont="1" applyFill="1" applyBorder="1" applyAlignment="1">
      <alignment horizontal="left" vertical="center" wrapText="1"/>
    </xf>
    <xf numFmtId="0" fontId="2" fillId="0" borderId="29" xfId="26" applyFont="1" applyFill="1" applyBorder="1" applyAlignment="1">
      <alignment horizontal="left" vertical="center" wrapText="1"/>
    </xf>
    <xf numFmtId="0" fontId="30" fillId="25" borderId="17" xfId="0" applyFont="1" applyFill="1" applyBorder="1" applyAlignment="1">
      <alignment horizontal="center" vertical="center" shrinkToFit="1"/>
    </xf>
    <xf numFmtId="0" fontId="31" fillId="25" borderId="18" xfId="0" applyFont="1" applyFill="1" applyBorder="1" applyAlignment="1">
      <alignment horizontal="center" vertical="center" shrinkToFit="1"/>
    </xf>
    <xf numFmtId="0" fontId="30" fillId="25" borderId="11" xfId="0" applyFont="1" applyFill="1" applyBorder="1" applyAlignment="1">
      <alignment horizontal="center" vertical="center" shrinkToFit="1"/>
    </xf>
    <xf numFmtId="0" fontId="30" fillId="25" borderId="29" xfId="0" applyFont="1" applyFill="1" applyBorder="1" applyAlignment="1">
      <alignment horizontal="center" vertical="center" shrinkToFit="1"/>
    </xf>
    <xf numFmtId="0" fontId="40" fillId="0" borderId="26" xfId="0" applyFont="1" applyBorder="1" applyAlignment="1">
      <alignment horizontal="center" vertical="center" wrapText="1"/>
    </xf>
    <xf numFmtId="0" fontId="40" fillId="0" borderId="29" xfId="0" applyFont="1" applyBorder="1" applyAlignment="1">
      <alignment horizontal="center" vertical="center"/>
    </xf>
    <xf numFmtId="0" fontId="2" fillId="24" borderId="26" xfId="26" applyFont="1" applyFill="1" applyBorder="1" applyAlignment="1">
      <alignment horizontal="center" vertical="center"/>
    </xf>
    <xf numFmtId="0" fontId="2" fillId="24" borderId="26" xfId="26" applyFont="1" applyFill="1" applyBorder="1" applyAlignment="1">
      <alignment horizontal="right" vertical="center"/>
    </xf>
    <xf numFmtId="0" fontId="6" fillId="24" borderId="26" xfId="26" applyFont="1" applyFill="1" applyBorder="1" applyAlignment="1">
      <alignment horizontal="center" vertical="center"/>
    </xf>
    <xf numFmtId="176" fontId="43" fillId="24" borderId="28" xfId="34" applyNumberFormat="1" applyFont="1" applyFill="1" applyBorder="1">
      <alignment vertical="center"/>
    </xf>
    <xf numFmtId="176" fontId="43" fillId="0" borderId="28" xfId="34" applyNumberFormat="1" applyFont="1" applyFill="1" applyBorder="1" applyAlignment="1">
      <alignment horizontal="center" vertical="center"/>
    </xf>
    <xf numFmtId="176" fontId="43" fillId="24" borderId="26" xfId="34" applyNumberFormat="1" applyFont="1" applyFill="1" applyBorder="1">
      <alignment vertical="center"/>
    </xf>
    <xf numFmtId="0" fontId="2" fillId="24" borderId="28" xfId="26" applyFont="1" applyFill="1" applyBorder="1" applyAlignment="1">
      <alignment horizontal="right" vertical="center"/>
    </xf>
    <xf numFmtId="0" fontId="2" fillId="24" borderId="28" xfId="26" applyFont="1" applyFill="1" applyBorder="1" applyAlignment="1">
      <alignment horizontal="center" vertical="center"/>
    </xf>
    <xf numFmtId="0" fontId="6" fillId="24" borderId="28" xfId="26" applyFont="1" applyFill="1" applyBorder="1" applyAlignment="1">
      <alignment horizontal="center" vertical="center"/>
    </xf>
    <xf numFmtId="176" fontId="43" fillId="0" borderId="10" xfId="34" applyNumberFormat="1" applyFont="1" applyFill="1" applyBorder="1" applyAlignment="1">
      <alignment horizontal="center" vertical="center"/>
    </xf>
    <xf numFmtId="0" fontId="2" fillId="24" borderId="10" xfId="26" applyFont="1" applyFill="1" applyBorder="1" applyAlignment="1">
      <alignment horizontal="right" vertical="center"/>
    </xf>
    <xf numFmtId="49" fontId="6" fillId="24" borderId="61" xfId="26" applyNumberFormat="1" applyFont="1" applyFill="1" applyBorder="1" applyAlignment="1">
      <alignment horizontal="left" vertical="center"/>
    </xf>
    <xf numFmtId="49" fontId="6" fillId="24" borderId="60" xfId="26" applyNumberFormat="1" applyFont="1" applyFill="1" applyBorder="1" applyAlignment="1">
      <alignment horizontal="left" vertical="center"/>
    </xf>
    <xf numFmtId="49" fontId="6" fillId="24" borderId="10" xfId="26" applyNumberFormat="1" applyFont="1" applyFill="1" applyBorder="1" applyAlignment="1">
      <alignment horizontal="left" vertical="center"/>
    </xf>
    <xf numFmtId="177" fontId="43" fillId="24" borderId="28" xfId="34" applyNumberFormat="1" applyFont="1" applyFill="1" applyBorder="1" applyAlignment="1">
      <alignment horizontal="left" vertical="center"/>
    </xf>
    <xf numFmtId="0" fontId="6" fillId="35" borderId="10" xfId="26" applyFont="1" applyFill="1" applyBorder="1" applyAlignment="1">
      <alignment horizontal="left" vertical="center"/>
    </xf>
    <xf numFmtId="177" fontId="43" fillId="24" borderId="10" xfId="34" applyNumberFormat="1" applyFont="1" applyFill="1" applyBorder="1" applyAlignment="1">
      <alignment horizontal="left" vertical="center"/>
    </xf>
  </cellXfs>
  <cellStyles count="49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百分比" xfId="19" builtinId="5"/>
    <cellStyle name="标题" xfId="20" builtinId="15" customBuiltin="1"/>
    <cellStyle name="标题 1" xfId="21" builtinId="16" customBuiltin="1"/>
    <cellStyle name="标题 2" xfId="22" builtinId="17" customBuiltin="1"/>
    <cellStyle name="标题 3" xfId="23" builtinId="18" customBuiltin="1"/>
    <cellStyle name="标题 4" xfId="24" builtinId="19" customBuiltin="1"/>
    <cellStyle name="差" xfId="25" builtinId="27" customBuiltin="1"/>
    <cellStyle name="常规" xfId="0" builtinId="0"/>
    <cellStyle name="常规 2" xfId="26"/>
    <cellStyle name="常规 2 2" xfId="48"/>
    <cellStyle name="好" xfId="27" builtinId="26" customBuiltin="1"/>
    <cellStyle name="汇总" xfId="28" builtinId="25" customBuiltin="1"/>
    <cellStyle name="计算" xfId="29" builtinId="22" customBuiltin="1"/>
    <cellStyle name="检查单元格" xfId="30" builtinId="23" customBuiltin="1"/>
    <cellStyle name="解释性文本" xfId="31" builtinId="53" customBuiltin="1"/>
    <cellStyle name="警告文本" xfId="32" builtinId="11" customBuiltin="1"/>
    <cellStyle name="链接单元格" xfId="33" builtinId="24" customBuiltin="1"/>
    <cellStyle name="千位分隔" xfId="34" builtinId="3"/>
    <cellStyle name="千位分隔 2" xfId="47"/>
    <cellStyle name="强调文字颜色 1" xfId="35" builtinId="29" customBuiltin="1"/>
    <cellStyle name="强调文字颜色 2" xfId="36" builtinId="33" customBuiltin="1"/>
    <cellStyle name="强调文字颜色 3" xfId="37" builtinId="37" customBuiltin="1"/>
    <cellStyle name="强调文字颜色 4" xfId="38" builtinId="41" customBuiltin="1"/>
    <cellStyle name="强调文字颜色 5" xfId="39" builtinId="45" customBuiltin="1"/>
    <cellStyle name="强调文字颜色 6" xfId="40" builtinId="49" customBuiltin="1"/>
    <cellStyle name="适中" xfId="41" builtinId="28" customBuiltin="1"/>
    <cellStyle name="输出" xfId="42" builtinId="21" customBuiltin="1"/>
    <cellStyle name="输入" xfId="43" builtinId="20" customBuiltin="1"/>
    <cellStyle name="样式 1" xfId="44"/>
    <cellStyle name="一般_0BK277000Z01-3" xfId="46"/>
    <cellStyle name="注释" xfId="45" builtinId="10" customBuiltin="1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T164"/>
  <sheetViews>
    <sheetView showGridLines="0" tabSelected="1" workbookViewId="0">
      <pane xSplit="4" ySplit="5" topLeftCell="E9" activePane="bottomRight" state="frozen"/>
      <selection pane="topRight" activeCell="E1" sqref="E1"/>
      <selection pane="bottomLeft" activeCell="A6" sqref="A6"/>
      <selection pane="bottomRight" activeCell="J103" sqref="J103"/>
    </sheetView>
  </sheetViews>
  <sheetFormatPr defaultColWidth="9" defaultRowHeight="13.2"/>
  <cols>
    <col min="1" max="1" width="2.59765625" style="148" customWidth="1"/>
    <col min="2" max="2" width="2.69921875" style="148" customWidth="1"/>
    <col min="3" max="3" width="16.59765625" style="148" customWidth="1"/>
    <col min="4" max="4" width="20.8984375" style="148" customWidth="1"/>
    <col min="5" max="5" width="31.8984375" style="148" customWidth="1"/>
    <col min="6" max="6" width="10.5" style="148" customWidth="1"/>
    <col min="7" max="7" width="11" style="148" customWidth="1"/>
    <col min="8" max="8" width="13.3984375" style="148" customWidth="1"/>
    <col min="9" max="9" width="9.19921875" style="149" customWidth="1"/>
    <col min="10" max="10" width="31.8984375" style="148" customWidth="1"/>
    <col min="11" max="11" width="9.69921875" style="148" hidden="1" customWidth="1"/>
    <col min="12" max="13" width="8.59765625" style="148" hidden="1" customWidth="1"/>
    <col min="14" max="14" width="12.69921875" style="148" hidden="1" customWidth="1"/>
    <col min="15" max="15" width="4.19921875" style="148" hidden="1" customWidth="1"/>
    <col min="16" max="16" width="9" style="149"/>
    <col min="17" max="17" width="7.8984375" style="149" customWidth="1"/>
    <col min="18" max="18" width="32.19921875" style="244" customWidth="1"/>
    <col min="19" max="19" width="15" style="148" customWidth="1"/>
    <col min="20" max="20" width="38.3984375" style="244" customWidth="1"/>
    <col min="21" max="16384" width="9" style="148"/>
  </cols>
  <sheetData>
    <row r="2" spans="2:20">
      <c r="B2" s="147" t="s">
        <v>250</v>
      </c>
      <c r="L2" s="148" t="s">
        <v>251</v>
      </c>
      <c r="M2" s="148" t="s">
        <v>252</v>
      </c>
    </row>
    <row r="3" spans="2:20" ht="12.75" customHeight="1">
      <c r="B3" s="148" t="s">
        <v>1031</v>
      </c>
      <c r="K3" s="934" t="s">
        <v>253</v>
      </c>
      <c r="L3" s="934" t="s">
        <v>254</v>
      </c>
      <c r="M3" s="934" t="s">
        <v>255</v>
      </c>
      <c r="N3" s="934" t="s">
        <v>256</v>
      </c>
      <c r="Q3" s="934" t="s">
        <v>257</v>
      </c>
    </row>
    <row r="4" spans="2:20" ht="14.25" customHeight="1">
      <c r="K4" s="934"/>
      <c r="L4" s="934"/>
      <c r="M4" s="934"/>
      <c r="N4" s="934"/>
      <c r="Q4" s="934"/>
    </row>
    <row r="5" spans="2:20" ht="25.5" customHeight="1">
      <c r="B5" s="150"/>
      <c r="C5" s="151" t="s">
        <v>258</v>
      </c>
      <c r="D5" s="151" t="s">
        <v>259</v>
      </c>
      <c r="E5" s="151" t="s">
        <v>260</v>
      </c>
      <c r="F5" s="152" t="s">
        <v>261</v>
      </c>
      <c r="G5" s="386" t="s">
        <v>262</v>
      </c>
      <c r="H5" s="387" t="s">
        <v>263</v>
      </c>
      <c r="I5" s="154" t="s">
        <v>264</v>
      </c>
      <c r="J5" s="153" t="s">
        <v>389</v>
      </c>
      <c r="K5" s="934"/>
      <c r="L5" s="934"/>
      <c r="M5" s="934"/>
      <c r="N5" s="934"/>
      <c r="O5" s="155" t="s">
        <v>265</v>
      </c>
      <c r="P5" s="153" t="s">
        <v>266</v>
      </c>
      <c r="Q5" s="934"/>
      <c r="R5" s="296" t="s">
        <v>236</v>
      </c>
      <c r="S5" s="151" t="s">
        <v>267</v>
      </c>
      <c r="T5" s="286" t="s">
        <v>268</v>
      </c>
    </row>
    <row r="6" spans="2:20">
      <c r="B6" s="935">
        <v>1</v>
      </c>
      <c r="C6" s="907" t="s">
        <v>269</v>
      </c>
      <c r="D6" s="156" t="s">
        <v>757</v>
      </c>
      <c r="E6" s="156" t="s">
        <v>269</v>
      </c>
      <c r="F6" s="162" t="s">
        <v>401</v>
      </c>
      <c r="G6" s="157"/>
      <c r="H6" s="48">
        <v>1.37</v>
      </c>
      <c r="I6" s="158" t="s">
        <v>3</v>
      </c>
      <c r="J6" s="48"/>
      <c r="K6" s="159">
        <f>H6</f>
        <v>1.37</v>
      </c>
      <c r="L6" s="159">
        <v>4.0000000000000001E-3</v>
      </c>
      <c r="M6" s="159">
        <v>4.0000000000000001E-3</v>
      </c>
      <c r="N6" s="159">
        <f>K6+M6</f>
        <v>1.3740000000000001</v>
      </c>
      <c r="O6" s="156" t="s">
        <v>1</v>
      </c>
      <c r="P6" s="160"/>
      <c r="Q6" s="160"/>
      <c r="R6" s="288" t="s">
        <v>237</v>
      </c>
      <c r="S6" s="161" t="s">
        <v>271</v>
      </c>
      <c r="T6" s="287" t="s">
        <v>272</v>
      </c>
    </row>
    <row r="7" spans="2:20">
      <c r="B7" s="936"/>
      <c r="C7" s="222"/>
      <c r="D7" s="163"/>
      <c r="E7" s="163"/>
      <c r="F7" s="162"/>
      <c r="G7" s="164" t="s">
        <v>273</v>
      </c>
      <c r="H7" s="49">
        <v>1.22</v>
      </c>
      <c r="I7" s="165" t="s">
        <v>3</v>
      </c>
      <c r="J7" s="49"/>
      <c r="K7" s="166">
        <f>H7</f>
        <v>1.22</v>
      </c>
      <c r="L7" s="166">
        <v>4.0000000000000001E-3</v>
      </c>
      <c r="M7" s="166">
        <v>4.0000000000000001E-3</v>
      </c>
      <c r="N7" s="166">
        <f>K7+M7</f>
        <v>1.224</v>
      </c>
      <c r="O7" s="162" t="s">
        <v>1</v>
      </c>
      <c r="P7" s="167"/>
      <c r="Q7" s="167"/>
      <c r="R7" s="287"/>
      <c r="S7" s="174"/>
      <c r="T7" s="288"/>
    </row>
    <row r="8" spans="2:20">
      <c r="B8" s="936"/>
      <c r="C8" s="234"/>
      <c r="D8" s="176"/>
      <c r="E8" s="176"/>
      <c r="F8" s="162" t="s">
        <v>401</v>
      </c>
      <c r="G8" s="175" t="s">
        <v>910</v>
      </c>
      <c r="H8" s="9">
        <v>1.17</v>
      </c>
      <c r="I8" s="167" t="s">
        <v>3</v>
      </c>
      <c r="J8" s="247" t="s">
        <v>514</v>
      </c>
      <c r="K8" s="166"/>
      <c r="L8" s="166"/>
      <c r="M8" s="166"/>
      <c r="N8" s="166"/>
      <c r="O8" s="162"/>
      <c r="P8" s="167">
        <v>1</v>
      </c>
      <c r="Q8" s="167">
        <v>90</v>
      </c>
      <c r="R8" s="287"/>
      <c r="S8" s="161"/>
      <c r="T8" s="287"/>
    </row>
    <row r="9" spans="2:20">
      <c r="B9" s="936"/>
      <c r="C9" s="222" t="s">
        <v>274</v>
      </c>
      <c r="D9" s="163" t="s">
        <v>756</v>
      </c>
      <c r="E9" s="163" t="s">
        <v>274</v>
      </c>
      <c r="F9" s="163" t="s">
        <v>270</v>
      </c>
      <c r="G9" s="169" t="s">
        <v>275</v>
      </c>
      <c r="H9" s="50">
        <v>0.13</v>
      </c>
      <c r="I9" s="170" t="s">
        <v>3</v>
      </c>
      <c r="J9" s="50"/>
      <c r="K9" s="171">
        <f>H9</f>
        <v>0.13</v>
      </c>
      <c r="L9" s="171">
        <v>1E-3</v>
      </c>
      <c r="M9" s="171">
        <v>1E-3</v>
      </c>
      <c r="N9" s="171">
        <f>K9+M9</f>
        <v>0.13100000000000001</v>
      </c>
      <c r="O9" s="163" t="s">
        <v>1</v>
      </c>
      <c r="P9" s="172"/>
      <c r="Q9" s="172"/>
      <c r="R9" s="289" t="s">
        <v>394</v>
      </c>
      <c r="S9" s="168" t="s">
        <v>271</v>
      </c>
      <c r="T9" s="289" t="s">
        <v>272</v>
      </c>
    </row>
    <row r="10" spans="2:20">
      <c r="B10" s="936"/>
      <c r="C10" s="222"/>
      <c r="D10" s="163"/>
      <c r="E10" s="163"/>
      <c r="F10" s="162"/>
      <c r="G10" s="164" t="s">
        <v>276</v>
      </c>
      <c r="H10" s="49">
        <v>0.09</v>
      </c>
      <c r="I10" s="165" t="s">
        <v>3</v>
      </c>
      <c r="J10" s="49"/>
      <c r="K10" s="166">
        <f>H10</f>
        <v>0.09</v>
      </c>
      <c r="L10" s="166">
        <v>1E-3</v>
      </c>
      <c r="M10" s="166">
        <v>1E-3</v>
      </c>
      <c r="N10" s="166">
        <f>K10+M10</f>
        <v>9.0999999999999998E-2</v>
      </c>
      <c r="O10" s="162" t="s">
        <v>1</v>
      </c>
      <c r="P10" s="167"/>
      <c r="Q10" s="167"/>
      <c r="R10" s="287"/>
      <c r="S10" s="161"/>
      <c r="T10" s="287"/>
    </row>
    <row r="11" spans="2:20">
      <c r="B11" s="875"/>
      <c r="C11" s="222"/>
      <c r="D11" s="163"/>
      <c r="E11" s="163"/>
      <c r="F11" s="156" t="s">
        <v>401</v>
      </c>
      <c r="G11" s="173" t="s">
        <v>911</v>
      </c>
      <c r="H11" s="60">
        <v>0.09</v>
      </c>
      <c r="I11" s="160" t="s">
        <v>3</v>
      </c>
      <c r="J11" s="247" t="s">
        <v>513</v>
      </c>
      <c r="K11" s="159">
        <f>H11</f>
        <v>0.09</v>
      </c>
      <c r="L11" s="159"/>
      <c r="M11" s="159"/>
      <c r="N11" s="159"/>
      <c r="O11" s="156"/>
      <c r="P11" s="160">
        <v>1</v>
      </c>
      <c r="Q11" s="160">
        <v>90</v>
      </c>
      <c r="R11" s="288"/>
      <c r="S11" s="174"/>
      <c r="T11" s="288"/>
    </row>
    <row r="12" spans="2:20">
      <c r="B12" s="875">
        <v>2</v>
      </c>
      <c r="C12" s="909" t="s">
        <v>545</v>
      </c>
      <c r="D12" s="162" t="s">
        <v>393</v>
      </c>
      <c r="E12" s="162" t="s">
        <v>392</v>
      </c>
      <c r="F12" s="162" t="s">
        <v>401</v>
      </c>
      <c r="G12" s="175" t="s">
        <v>912</v>
      </c>
      <c r="H12" s="9">
        <v>0.27429999999999999</v>
      </c>
      <c r="I12" s="167" t="s">
        <v>3</v>
      </c>
      <c r="J12" s="247" t="s">
        <v>546</v>
      </c>
      <c r="K12" s="166">
        <f>H12</f>
        <v>0.27429999999999999</v>
      </c>
      <c r="L12" s="166"/>
      <c r="M12" s="166"/>
      <c r="N12" s="166"/>
      <c r="O12" s="162"/>
      <c r="P12" s="167">
        <v>1</v>
      </c>
      <c r="Q12" s="167">
        <v>90</v>
      </c>
      <c r="R12" s="287" t="s">
        <v>394</v>
      </c>
      <c r="S12" s="161" t="s">
        <v>271</v>
      </c>
      <c r="T12" s="287"/>
    </row>
    <row r="13" spans="2:20">
      <c r="B13" s="163"/>
      <c r="C13" s="234" t="s">
        <v>277</v>
      </c>
      <c r="D13" s="176" t="s">
        <v>602</v>
      </c>
      <c r="E13" s="176" t="s">
        <v>278</v>
      </c>
      <c r="F13" s="176" t="s">
        <v>279</v>
      </c>
      <c r="G13" s="175" t="s">
        <v>913</v>
      </c>
      <c r="H13" s="177">
        <f>145/1000</f>
        <v>0.14499999999999999</v>
      </c>
      <c r="I13" s="178" t="s">
        <v>3</v>
      </c>
      <c r="J13" s="247" t="s">
        <v>513</v>
      </c>
      <c r="K13" s="179">
        <v>0.14499999999999999</v>
      </c>
      <c r="L13" s="179">
        <v>1E-3</v>
      </c>
      <c r="M13" s="179">
        <v>1E-3</v>
      </c>
      <c r="N13" s="179">
        <f>K13+M13</f>
        <v>0.14599999999999999</v>
      </c>
      <c r="O13" s="176" t="s">
        <v>1</v>
      </c>
      <c r="P13" s="172">
        <v>1</v>
      </c>
      <c r="Q13" s="178">
        <v>120</v>
      </c>
      <c r="R13" s="287" t="s">
        <v>235</v>
      </c>
      <c r="S13" s="161" t="s">
        <v>271</v>
      </c>
      <c r="T13" s="287"/>
    </row>
    <row r="14" spans="2:20" s="187" customFormat="1" ht="14.25" hidden="1" customHeight="1">
      <c r="B14" s="188">
        <v>3</v>
      </c>
      <c r="C14" s="910" t="s">
        <v>280</v>
      </c>
      <c r="D14" s="180" t="s">
        <v>281</v>
      </c>
      <c r="E14" s="180" t="s">
        <v>282</v>
      </c>
      <c r="F14" s="180" t="s">
        <v>283</v>
      </c>
      <c r="G14" s="51">
        <v>500</v>
      </c>
      <c r="H14" s="181">
        <v>0.10100000000000001</v>
      </c>
      <c r="I14" s="165" t="s">
        <v>3</v>
      </c>
      <c r="J14" s="235"/>
      <c r="K14" s="182">
        <v>0.10100000000000001</v>
      </c>
      <c r="L14" s="182">
        <v>2.1000000000000001E-2</v>
      </c>
      <c r="M14" s="937">
        <f>0.035+0.002</f>
        <v>3.7000000000000005E-2</v>
      </c>
      <c r="N14" s="183"/>
      <c r="O14" s="184" t="s">
        <v>1</v>
      </c>
      <c r="P14" s="185">
        <v>2</v>
      </c>
      <c r="Q14" s="186">
        <v>60</v>
      </c>
      <c r="R14" s="930" t="s">
        <v>235</v>
      </c>
      <c r="S14" s="940" t="s">
        <v>758</v>
      </c>
      <c r="T14" s="930" t="s">
        <v>284</v>
      </c>
    </row>
    <row r="15" spans="2:20" s="187" customFormat="1" ht="13.2" hidden="1" customHeight="1">
      <c r="B15" s="188"/>
      <c r="C15" s="908"/>
      <c r="D15" s="188"/>
      <c r="E15" s="188"/>
      <c r="F15" s="188"/>
      <c r="G15" s="51">
        <v>5000</v>
      </c>
      <c r="H15" s="181">
        <v>8.2000000000000003E-2</v>
      </c>
      <c r="I15" s="165" t="s">
        <v>3</v>
      </c>
      <c r="J15" s="181"/>
      <c r="K15" s="182">
        <v>8.2000000000000003E-2</v>
      </c>
      <c r="L15" s="182">
        <v>2.1000000000000001E-2</v>
      </c>
      <c r="M15" s="938"/>
      <c r="N15" s="183"/>
      <c r="O15" s="184" t="s">
        <v>1</v>
      </c>
      <c r="P15" s="189"/>
      <c r="Q15" s="190"/>
      <c r="R15" s="931"/>
      <c r="S15" s="941"/>
      <c r="T15" s="931"/>
    </row>
    <row r="16" spans="2:20" s="187" customFormat="1" ht="13.2" hidden="1" customHeight="1">
      <c r="B16" s="188"/>
      <c r="C16" s="908"/>
      <c r="D16" s="191"/>
      <c r="E16" s="191"/>
      <c r="F16" s="191"/>
      <c r="G16" s="51">
        <v>25000</v>
      </c>
      <c r="H16" s="181">
        <v>4.9000000000000002E-2</v>
      </c>
      <c r="I16" s="165" t="s">
        <v>3</v>
      </c>
      <c r="J16" s="181"/>
      <c r="K16" s="182">
        <v>4.9000000000000002E-2</v>
      </c>
      <c r="L16" s="182">
        <v>2.1000000000000001E-2</v>
      </c>
      <c r="M16" s="938"/>
      <c r="N16" s="182">
        <f>K16+M14/513*170</f>
        <v>6.1261208576998051E-2</v>
      </c>
      <c r="O16" s="184" t="s">
        <v>1</v>
      </c>
      <c r="P16" s="192"/>
      <c r="Q16" s="193"/>
      <c r="R16" s="931"/>
      <c r="S16" s="941"/>
      <c r="T16" s="931"/>
    </row>
    <row r="17" spans="2:20" s="187" customFormat="1" ht="14.25" hidden="1" customHeight="1">
      <c r="B17" s="188"/>
      <c r="C17" s="207"/>
      <c r="D17" s="180" t="s">
        <v>285</v>
      </c>
      <c r="E17" s="180" t="s">
        <v>286</v>
      </c>
      <c r="F17" s="180" t="s">
        <v>283</v>
      </c>
      <c r="G17" s="51">
        <v>500</v>
      </c>
      <c r="H17" s="181">
        <v>7.8E-2</v>
      </c>
      <c r="I17" s="165" t="s">
        <v>3</v>
      </c>
      <c r="J17" s="181"/>
      <c r="K17" s="182">
        <v>7.8E-2</v>
      </c>
      <c r="L17" s="182">
        <v>1.0999999999999999E-2</v>
      </c>
      <c r="M17" s="938"/>
      <c r="N17" s="183"/>
      <c r="O17" s="194" t="s">
        <v>1</v>
      </c>
      <c r="P17" s="185">
        <v>1</v>
      </c>
      <c r="Q17" s="186">
        <v>60</v>
      </c>
      <c r="R17" s="931"/>
      <c r="S17" s="941"/>
      <c r="T17" s="931"/>
    </row>
    <row r="18" spans="2:20" s="187" customFormat="1" ht="13.2" hidden="1" customHeight="1">
      <c r="B18" s="188"/>
      <c r="C18" s="207"/>
      <c r="D18" s="188"/>
      <c r="E18" s="188"/>
      <c r="F18" s="188"/>
      <c r="G18" s="51">
        <v>5000</v>
      </c>
      <c r="H18" s="181">
        <v>5.0999999999999997E-2</v>
      </c>
      <c r="I18" s="165" t="s">
        <v>3</v>
      </c>
      <c r="J18" s="181"/>
      <c r="K18" s="182">
        <v>5.0999999999999997E-2</v>
      </c>
      <c r="L18" s="182">
        <v>1.0999999999999999E-2</v>
      </c>
      <c r="M18" s="938"/>
      <c r="N18" s="183"/>
      <c r="O18" s="194" t="s">
        <v>1</v>
      </c>
      <c r="P18" s="189"/>
      <c r="Q18" s="190"/>
      <c r="R18" s="931"/>
      <c r="S18" s="941"/>
      <c r="T18" s="931"/>
    </row>
    <row r="19" spans="2:20" s="187" customFormat="1" ht="13.2" hidden="1" customHeight="1">
      <c r="B19" s="188"/>
      <c r="C19" s="207"/>
      <c r="D19" s="191"/>
      <c r="E19" s="191"/>
      <c r="F19" s="191"/>
      <c r="G19" s="51">
        <v>25000</v>
      </c>
      <c r="H19" s="181">
        <v>2.3E-2</v>
      </c>
      <c r="I19" s="165" t="s">
        <v>3</v>
      </c>
      <c r="J19" s="181"/>
      <c r="K19" s="182">
        <v>2.3E-2</v>
      </c>
      <c r="L19" s="182">
        <v>1.0999999999999999E-2</v>
      </c>
      <c r="M19" s="938"/>
      <c r="N19" s="182">
        <f>K19+M14/513*43</f>
        <v>2.6101364522417153E-2</v>
      </c>
      <c r="O19" s="194" t="s">
        <v>1</v>
      </c>
      <c r="P19" s="192"/>
      <c r="Q19" s="193"/>
      <c r="R19" s="931"/>
      <c r="S19" s="941"/>
      <c r="T19" s="931"/>
    </row>
    <row r="20" spans="2:20" s="187" customFormat="1" ht="14.25" hidden="1" customHeight="1">
      <c r="B20" s="188"/>
      <c r="C20" s="207"/>
      <c r="D20" s="180" t="s">
        <v>287</v>
      </c>
      <c r="E20" s="195" t="s">
        <v>288</v>
      </c>
      <c r="F20" s="180" t="s">
        <v>283</v>
      </c>
      <c r="G20" s="51">
        <v>500</v>
      </c>
      <c r="H20" s="181">
        <v>9.6000000000000002E-2</v>
      </c>
      <c r="I20" s="165" t="s">
        <v>3</v>
      </c>
      <c r="J20" s="181"/>
      <c r="K20" s="182">
        <v>9.6000000000000002E-2</v>
      </c>
      <c r="L20" s="182">
        <v>2.1000000000000001E-2</v>
      </c>
      <c r="M20" s="938"/>
      <c r="N20" s="183"/>
      <c r="O20" s="194" t="s">
        <v>1</v>
      </c>
      <c r="P20" s="185">
        <v>1</v>
      </c>
      <c r="Q20" s="186">
        <v>60</v>
      </c>
      <c r="R20" s="931"/>
      <c r="S20" s="941"/>
      <c r="T20" s="931"/>
    </row>
    <row r="21" spans="2:20" s="187" customFormat="1" ht="13.2" hidden="1" customHeight="1">
      <c r="B21" s="188"/>
      <c r="C21" s="207"/>
      <c r="D21" s="188"/>
      <c r="E21" s="188"/>
      <c r="F21" s="188"/>
      <c r="G21" s="51">
        <v>5000</v>
      </c>
      <c r="H21" s="181">
        <v>6.8000000000000005E-2</v>
      </c>
      <c r="I21" s="165" t="s">
        <v>3</v>
      </c>
      <c r="J21" s="181"/>
      <c r="K21" s="182">
        <v>6.8000000000000005E-2</v>
      </c>
      <c r="L21" s="182">
        <v>2.1000000000000001E-2</v>
      </c>
      <c r="M21" s="938"/>
      <c r="N21" s="183"/>
      <c r="O21" s="194" t="s">
        <v>1</v>
      </c>
      <c r="P21" s="189"/>
      <c r="Q21" s="190"/>
      <c r="R21" s="931"/>
      <c r="S21" s="941"/>
      <c r="T21" s="931"/>
    </row>
    <row r="22" spans="2:20" s="187" customFormat="1" ht="13.2" hidden="1" customHeight="1">
      <c r="B22" s="188"/>
      <c r="C22" s="207"/>
      <c r="D22" s="191"/>
      <c r="E22" s="191"/>
      <c r="F22" s="191"/>
      <c r="G22" s="51">
        <v>25000</v>
      </c>
      <c r="H22" s="181">
        <v>4.3999999999999997E-2</v>
      </c>
      <c r="I22" s="165" t="s">
        <v>3</v>
      </c>
      <c r="J22" s="181"/>
      <c r="K22" s="182">
        <v>4.3999999999999997E-2</v>
      </c>
      <c r="L22" s="182">
        <v>2.1000000000000001E-2</v>
      </c>
      <c r="M22" s="939"/>
      <c r="N22" s="182">
        <f>K22+M14/513*130</f>
        <v>5.3376218323586744E-2</v>
      </c>
      <c r="O22" s="194" t="s">
        <v>1</v>
      </c>
      <c r="P22" s="189"/>
      <c r="Q22" s="193"/>
      <c r="R22" s="931"/>
      <c r="S22" s="941"/>
      <c r="T22" s="931"/>
    </row>
    <row r="23" spans="2:20" s="202" customFormat="1">
      <c r="B23" s="196">
        <v>3</v>
      </c>
      <c r="C23" s="911" t="s">
        <v>280</v>
      </c>
      <c r="D23" s="203" t="s">
        <v>755</v>
      </c>
      <c r="E23" s="196" t="s">
        <v>289</v>
      </c>
      <c r="F23" s="197" t="s">
        <v>283</v>
      </c>
      <c r="G23" s="51" t="s">
        <v>290</v>
      </c>
      <c r="H23" s="198">
        <v>124</v>
      </c>
      <c r="I23" s="165" t="s">
        <v>3</v>
      </c>
      <c r="J23" s="198"/>
      <c r="K23" s="182">
        <v>124</v>
      </c>
      <c r="L23" s="182"/>
      <c r="M23" s="199">
        <f>0.035+0.002</f>
        <v>3.7000000000000005E-2</v>
      </c>
      <c r="N23" s="182">
        <f>K23/1180+M23</f>
        <v>0.14208474576271185</v>
      </c>
      <c r="O23" s="200" t="s">
        <v>1</v>
      </c>
      <c r="P23" s="8"/>
      <c r="Q23" s="201"/>
      <c r="R23" s="931"/>
      <c r="S23" s="941"/>
      <c r="T23" s="931"/>
    </row>
    <row r="24" spans="2:20" s="202" customFormat="1">
      <c r="B24" s="196"/>
      <c r="C24" s="203"/>
      <c r="D24" s="942"/>
      <c r="E24" s="196"/>
      <c r="F24" s="196"/>
      <c r="G24" s="51" t="s">
        <v>1027</v>
      </c>
      <c r="H24" s="198">
        <v>118</v>
      </c>
      <c r="I24" s="165" t="s">
        <v>1028</v>
      </c>
      <c r="J24" s="198"/>
      <c r="K24" s="204">
        <v>118</v>
      </c>
      <c r="L24" s="204"/>
      <c r="M24" s="205">
        <v>1.7000000000000001E-2</v>
      </c>
      <c r="N24" s="204">
        <f>K24/1180+M24</f>
        <v>0.11700000000000001</v>
      </c>
      <c r="O24" s="197" t="s">
        <v>1</v>
      </c>
      <c r="P24" s="8"/>
      <c r="Q24" s="201"/>
      <c r="R24" s="876"/>
      <c r="S24" s="877"/>
      <c r="T24" s="283"/>
    </row>
    <row r="25" spans="2:20" s="202" customFormat="1">
      <c r="B25" s="196"/>
      <c r="C25" s="203"/>
      <c r="D25" s="943"/>
      <c r="E25" s="309"/>
      <c r="F25" s="309"/>
      <c r="G25" s="450" t="s">
        <v>914</v>
      </c>
      <c r="H25" s="451">
        <f>122.2+(9316/144/7.78)</f>
        <v>130.5154812910597</v>
      </c>
      <c r="I25" s="452" t="s">
        <v>3</v>
      </c>
      <c r="J25" s="451" t="s">
        <v>512</v>
      </c>
      <c r="K25" s="453"/>
      <c r="L25" s="453"/>
      <c r="M25" s="454"/>
      <c r="N25" s="453"/>
      <c r="O25" s="449"/>
      <c r="P25" s="676">
        <v>7.7999999999999999E-4</v>
      </c>
      <c r="Q25" s="455">
        <v>60</v>
      </c>
      <c r="R25" s="284"/>
      <c r="S25" s="285"/>
      <c r="T25" s="285"/>
    </row>
    <row r="26" spans="2:20" s="187" customFormat="1" hidden="1">
      <c r="B26" s="188">
        <v>4</v>
      </c>
      <c r="C26" s="207" t="s">
        <v>291</v>
      </c>
      <c r="D26" s="207" t="s">
        <v>292</v>
      </c>
      <c r="E26" s="188" t="s">
        <v>293</v>
      </c>
      <c r="F26" s="188" t="s">
        <v>4</v>
      </c>
      <c r="G26" s="208">
        <v>1</v>
      </c>
      <c r="H26" s="52">
        <v>0.46050000000000002</v>
      </c>
      <c r="I26" s="209" t="s">
        <v>3</v>
      </c>
      <c r="J26" s="52"/>
      <c r="K26" s="210">
        <f>H26</f>
        <v>0.46050000000000002</v>
      </c>
      <c r="L26" s="210">
        <v>0.03</v>
      </c>
      <c r="M26" s="210"/>
      <c r="N26" s="211"/>
      <c r="O26" s="212" t="s">
        <v>1</v>
      </c>
      <c r="P26" s="932">
        <v>1</v>
      </c>
      <c r="Q26" s="932">
        <v>107</v>
      </c>
      <c r="R26" s="933" t="s">
        <v>238</v>
      </c>
      <c r="S26" s="932" t="s">
        <v>271</v>
      </c>
      <c r="T26" s="933"/>
    </row>
    <row r="27" spans="2:20" s="187" customFormat="1" hidden="1">
      <c r="B27" s="188"/>
      <c r="C27" s="207"/>
      <c r="D27" s="213"/>
      <c r="E27" s="191"/>
      <c r="F27" s="191"/>
      <c r="G27" s="53">
        <v>40080</v>
      </c>
      <c r="H27" s="54">
        <v>0.41249999999999998</v>
      </c>
      <c r="I27" s="214" t="s">
        <v>3</v>
      </c>
      <c r="J27" s="54"/>
      <c r="K27" s="215">
        <v>0.41249999999999998</v>
      </c>
      <c r="L27" s="215">
        <v>0.03</v>
      </c>
      <c r="M27" s="183"/>
      <c r="N27" s="182"/>
      <c r="O27" s="184" t="s">
        <v>1</v>
      </c>
      <c r="P27" s="932"/>
      <c r="Q27" s="932"/>
      <c r="R27" s="933"/>
      <c r="S27" s="932"/>
      <c r="T27" s="933"/>
    </row>
    <row r="28" spans="2:20" s="187" customFormat="1" hidden="1">
      <c r="B28" s="188"/>
      <c r="C28" s="207"/>
      <c r="D28" s="216" t="s">
        <v>294</v>
      </c>
      <c r="E28" s="180" t="s">
        <v>295</v>
      </c>
      <c r="F28" s="180" t="s">
        <v>4</v>
      </c>
      <c r="G28" s="53">
        <v>40080</v>
      </c>
      <c r="H28" s="54">
        <v>0.41610000000000003</v>
      </c>
      <c r="I28" s="214" t="s">
        <v>3</v>
      </c>
      <c r="J28" s="54"/>
      <c r="K28" s="215">
        <v>0.41610000000000003</v>
      </c>
      <c r="L28" s="215">
        <v>0.03</v>
      </c>
      <c r="M28" s="215"/>
      <c r="N28" s="182"/>
      <c r="O28" s="184" t="s">
        <v>1</v>
      </c>
      <c r="P28" s="932"/>
      <c r="Q28" s="932"/>
      <c r="R28" s="933"/>
      <c r="S28" s="932"/>
      <c r="T28" s="933"/>
    </row>
    <row r="29" spans="2:20" s="187" customFormat="1" hidden="1">
      <c r="B29" s="188"/>
      <c r="C29" s="207"/>
      <c r="D29" s="216"/>
      <c r="E29" s="180"/>
      <c r="F29" s="217" t="s">
        <v>296</v>
      </c>
      <c r="G29" s="53" t="s">
        <v>297</v>
      </c>
      <c r="H29" s="54">
        <v>0.41959999999999997</v>
      </c>
      <c r="I29" s="214" t="s">
        <v>3</v>
      </c>
      <c r="J29" s="54"/>
      <c r="K29" s="3">
        <v>0.41959999999999997</v>
      </c>
      <c r="L29" s="215">
        <v>0.03</v>
      </c>
      <c r="M29" s="215"/>
      <c r="N29" s="182"/>
      <c r="O29" s="184" t="s">
        <v>1</v>
      </c>
      <c r="P29" s="932"/>
      <c r="Q29" s="932"/>
      <c r="R29" s="933"/>
      <c r="S29" s="932"/>
      <c r="T29" s="933"/>
    </row>
    <row r="30" spans="2:20" s="187" customFormat="1" hidden="1">
      <c r="B30" s="188"/>
      <c r="C30" s="207"/>
      <c r="D30" s="207"/>
      <c r="E30" s="188"/>
      <c r="F30" s="217" t="s">
        <v>298</v>
      </c>
      <c r="G30" s="53" t="s">
        <v>299</v>
      </c>
      <c r="H30" s="54">
        <v>0.42170000000000002</v>
      </c>
      <c r="I30" s="214" t="s">
        <v>3</v>
      </c>
      <c r="J30" s="54"/>
      <c r="K30" s="3">
        <v>0.42170000000000002</v>
      </c>
      <c r="L30" s="215">
        <v>0.03</v>
      </c>
      <c r="M30" s="215">
        <v>0.03</v>
      </c>
      <c r="N30" s="215">
        <f>K30+L30</f>
        <v>0.45169999999999999</v>
      </c>
      <c r="O30" s="184" t="s">
        <v>1</v>
      </c>
      <c r="P30" s="932"/>
      <c r="Q30" s="932"/>
      <c r="R30" s="933"/>
      <c r="S30" s="932"/>
      <c r="T30" s="933"/>
    </row>
    <row r="31" spans="2:20" s="187" customFormat="1" hidden="1">
      <c r="B31" s="188"/>
      <c r="C31" s="207"/>
      <c r="D31" s="207"/>
      <c r="E31" s="188"/>
      <c r="F31" s="218" t="s">
        <v>300</v>
      </c>
      <c r="G31" s="53" t="s">
        <v>301</v>
      </c>
      <c r="H31" s="54">
        <v>13.939500000000001</v>
      </c>
      <c r="I31" s="214" t="s">
        <v>6</v>
      </c>
      <c r="J31" s="54"/>
      <c r="K31" s="3">
        <v>0.4224</v>
      </c>
      <c r="L31" s="215">
        <v>0.03</v>
      </c>
      <c r="M31" s="215">
        <v>0.03</v>
      </c>
      <c r="N31" s="215">
        <f>L31+K31</f>
        <v>0.45240000000000002</v>
      </c>
      <c r="O31" s="184" t="s">
        <v>1</v>
      </c>
      <c r="P31" s="932"/>
      <c r="Q31" s="932"/>
      <c r="R31" s="933"/>
      <c r="S31" s="932"/>
      <c r="T31" s="933"/>
    </row>
    <row r="32" spans="2:20" s="187" customFormat="1" hidden="1">
      <c r="B32" s="188"/>
      <c r="C32" s="207"/>
      <c r="D32" s="207"/>
      <c r="E32" s="188"/>
      <c r="F32" s="218"/>
      <c r="G32" s="53" t="s">
        <v>302</v>
      </c>
      <c r="H32" s="54">
        <v>13.6595</v>
      </c>
      <c r="I32" s="214" t="s">
        <v>6</v>
      </c>
      <c r="J32" s="54"/>
      <c r="K32" s="3">
        <f>H32*0.03319</f>
        <v>0.45335880499999992</v>
      </c>
      <c r="L32" s="215">
        <v>0.03</v>
      </c>
      <c r="M32" s="215">
        <v>0.03</v>
      </c>
      <c r="N32" s="215">
        <f>L32+K32</f>
        <v>0.48335880499999995</v>
      </c>
      <c r="O32" s="184" t="s">
        <v>1</v>
      </c>
      <c r="P32" s="189"/>
      <c r="Q32" s="189"/>
      <c r="R32" s="256"/>
      <c r="S32" s="189"/>
      <c r="T32" s="256"/>
    </row>
    <row r="33" spans="2:20" s="187" customFormat="1" hidden="1">
      <c r="B33" s="188"/>
      <c r="C33" s="207"/>
      <c r="D33" s="213"/>
      <c r="E33" s="191"/>
      <c r="F33" s="218"/>
      <c r="G33" s="53" t="s">
        <v>303</v>
      </c>
      <c r="H33" s="54">
        <v>13.766999999999999</v>
      </c>
      <c r="I33" s="214" t="s">
        <v>6</v>
      </c>
      <c r="J33" s="54"/>
      <c r="K33" s="3">
        <f>H33*0.03319</f>
        <v>0.45692672999999995</v>
      </c>
      <c r="L33" s="215"/>
      <c r="M33" s="215"/>
      <c r="N33" s="215"/>
      <c r="O33" s="184"/>
      <c r="P33" s="189"/>
      <c r="Q33" s="189"/>
      <c r="R33" s="256"/>
      <c r="S33" s="189"/>
      <c r="T33" s="256"/>
    </row>
    <row r="34" spans="2:20" s="187" customFormat="1" hidden="1">
      <c r="B34" s="188"/>
      <c r="C34" s="207"/>
      <c r="D34" s="213" t="s">
        <v>304</v>
      </c>
      <c r="E34" s="191" t="s">
        <v>305</v>
      </c>
      <c r="F34" s="218" t="s">
        <v>4</v>
      </c>
      <c r="G34" s="53" t="s">
        <v>306</v>
      </c>
      <c r="H34" s="54">
        <v>13.4925</v>
      </c>
      <c r="I34" s="214" t="s">
        <v>6</v>
      </c>
      <c r="J34" s="54"/>
      <c r="K34" s="3">
        <f>H34*0.03353</f>
        <v>0.45240352499999997</v>
      </c>
      <c r="L34" s="215">
        <v>0.03</v>
      </c>
      <c r="M34" s="215">
        <v>0.03</v>
      </c>
      <c r="N34" s="215">
        <f>L34+K34</f>
        <v>0.48240352499999994</v>
      </c>
      <c r="O34" s="184" t="s">
        <v>1</v>
      </c>
      <c r="P34" s="189"/>
      <c r="Q34" s="189"/>
      <c r="R34" s="256"/>
      <c r="S34" s="189"/>
      <c r="T34" s="256"/>
    </row>
    <row r="35" spans="2:20" s="187" customFormat="1" hidden="1">
      <c r="B35" s="188"/>
      <c r="C35" s="207"/>
      <c r="D35" s="216"/>
      <c r="E35" s="180"/>
      <c r="F35" s="218"/>
      <c r="G35" s="53" t="s">
        <v>13</v>
      </c>
      <c r="H35" s="54">
        <v>13.7713</v>
      </c>
      <c r="I35" s="214" t="s">
        <v>6</v>
      </c>
      <c r="J35" s="54"/>
      <c r="K35" s="3">
        <f>H35*0.03365</f>
        <v>0.46340424499999999</v>
      </c>
      <c r="L35" s="215"/>
      <c r="M35" s="215"/>
      <c r="N35" s="215"/>
      <c r="O35" s="184"/>
      <c r="P35" s="189"/>
      <c r="Q35" s="189"/>
      <c r="R35" s="256"/>
      <c r="S35" s="189"/>
      <c r="T35" s="256"/>
    </row>
    <row r="36" spans="2:20" s="187" customFormat="1" hidden="1">
      <c r="B36" s="188"/>
      <c r="C36" s="207"/>
      <c r="D36" s="207"/>
      <c r="E36" s="188"/>
      <c r="F36" s="219"/>
      <c r="G36" s="53" t="s">
        <v>14</v>
      </c>
      <c r="H36" s="54">
        <f>276.02/20</f>
        <v>13.800999999999998</v>
      </c>
      <c r="I36" s="214" t="s">
        <v>6</v>
      </c>
      <c r="J36" s="54"/>
      <c r="K36" s="3">
        <f>H36*0.03365</f>
        <v>0.46440364999999995</v>
      </c>
      <c r="L36" s="215"/>
      <c r="M36" s="215"/>
      <c r="N36" s="215"/>
      <c r="O36" s="184"/>
      <c r="P36" s="189"/>
      <c r="Q36" s="189"/>
      <c r="R36" s="256"/>
      <c r="S36" s="189"/>
      <c r="T36" s="256"/>
    </row>
    <row r="37" spans="2:20" s="187" customFormat="1" hidden="1">
      <c r="B37" s="188"/>
      <c r="C37" s="207"/>
      <c r="D37" s="213"/>
      <c r="E37" s="191"/>
      <c r="F37" s="220"/>
      <c r="G37" s="53" t="s">
        <v>17</v>
      </c>
      <c r="H37" s="54">
        <f>276.18/20</f>
        <v>13.809000000000001</v>
      </c>
      <c r="I37" s="55" t="s">
        <v>6</v>
      </c>
      <c r="J37" s="54"/>
      <c r="K37" s="3">
        <f>H37*0.03365</f>
        <v>0.46467285000000003</v>
      </c>
      <c r="L37" s="215"/>
      <c r="M37" s="215"/>
      <c r="N37" s="215"/>
      <c r="O37" s="184"/>
      <c r="P37" s="189"/>
      <c r="Q37" s="189"/>
      <c r="R37" s="256"/>
      <c r="S37" s="189"/>
      <c r="T37" s="256"/>
    </row>
    <row r="38" spans="2:20" s="187" customFormat="1" hidden="1">
      <c r="B38" s="188"/>
      <c r="C38" s="207"/>
      <c r="D38" s="213" t="s">
        <v>7</v>
      </c>
      <c r="E38" s="191" t="s">
        <v>19</v>
      </c>
      <c r="F38" s="218" t="s">
        <v>4</v>
      </c>
      <c r="G38" s="53" t="s">
        <v>8</v>
      </c>
      <c r="H38" s="54">
        <f>273.43/20</f>
        <v>13.6715</v>
      </c>
      <c r="I38" s="214" t="s">
        <v>6</v>
      </c>
      <c r="J38" s="54"/>
      <c r="K38" s="3">
        <f>H38*0.03289</f>
        <v>0.44965563500000005</v>
      </c>
      <c r="L38" s="215">
        <v>0.03</v>
      </c>
      <c r="M38" s="215">
        <v>0.03</v>
      </c>
      <c r="N38" s="215">
        <f>L38+K38</f>
        <v>0.47965563500000008</v>
      </c>
      <c r="O38" s="184" t="s">
        <v>1</v>
      </c>
      <c r="P38" s="189"/>
      <c r="Q38" s="189"/>
      <c r="R38" s="256"/>
      <c r="S38" s="189"/>
      <c r="T38" s="256"/>
    </row>
    <row r="39" spans="2:20" s="187" customFormat="1" hidden="1">
      <c r="B39" s="188"/>
      <c r="C39" s="207"/>
      <c r="D39" s="216"/>
      <c r="E39" s="180"/>
      <c r="F39" s="218"/>
      <c r="G39" s="53" t="s">
        <v>13</v>
      </c>
      <c r="H39" s="54">
        <v>13.9503</v>
      </c>
      <c r="I39" s="214" t="s">
        <v>6</v>
      </c>
      <c r="J39" s="54"/>
      <c r="K39" s="3">
        <f>H39*0.03365</f>
        <v>0.46942759500000003</v>
      </c>
      <c r="L39" s="215"/>
      <c r="M39" s="215"/>
      <c r="N39" s="215"/>
      <c r="O39" s="184"/>
      <c r="P39" s="189"/>
      <c r="Q39" s="189"/>
      <c r="R39" s="256"/>
      <c r="S39" s="189"/>
      <c r="T39" s="256"/>
    </row>
    <row r="40" spans="2:20" s="187" customFormat="1" hidden="1">
      <c r="B40" s="188"/>
      <c r="C40" s="207"/>
      <c r="D40" s="213"/>
      <c r="E40" s="191"/>
      <c r="F40" s="220"/>
      <c r="G40" s="53" t="s">
        <v>14</v>
      </c>
      <c r="H40" s="54">
        <f>279.61/20</f>
        <v>13.980500000000001</v>
      </c>
      <c r="I40" s="214" t="s">
        <v>6</v>
      </c>
      <c r="J40" s="54"/>
      <c r="K40" s="3">
        <f t="shared" ref="K40:K48" si="0">H40*0.03365</f>
        <v>0.47044382500000004</v>
      </c>
      <c r="L40" s="215"/>
      <c r="M40" s="215"/>
      <c r="N40" s="215"/>
      <c r="O40" s="184"/>
      <c r="P40" s="189"/>
      <c r="Q40" s="189"/>
      <c r="R40" s="256"/>
      <c r="S40" s="189"/>
      <c r="T40" s="256"/>
    </row>
    <row r="41" spans="2:20" hidden="1">
      <c r="B41" s="163">
        <v>4</v>
      </c>
      <c r="C41" s="222" t="s">
        <v>291</v>
      </c>
      <c r="D41" s="222" t="s">
        <v>15</v>
      </c>
      <c r="E41" s="163" t="s">
        <v>219</v>
      </c>
      <c r="F41" s="223" t="s">
        <v>4</v>
      </c>
      <c r="G41" s="53" t="s">
        <v>16</v>
      </c>
      <c r="H41" s="54">
        <f>276.02/20</f>
        <v>13.800999999999998</v>
      </c>
      <c r="I41" s="55" t="s">
        <v>6</v>
      </c>
      <c r="J41" s="54"/>
      <c r="K41" s="3">
        <f t="shared" si="0"/>
        <v>0.46440364999999995</v>
      </c>
      <c r="L41" s="224"/>
      <c r="M41" s="224"/>
      <c r="N41" s="224"/>
      <c r="O41" s="225"/>
      <c r="P41" s="172"/>
      <c r="Q41" s="172"/>
      <c r="R41" s="311"/>
      <c r="S41" s="174" t="s">
        <v>271</v>
      </c>
      <c r="T41" s="312"/>
    </row>
    <row r="42" spans="2:20" hidden="1">
      <c r="B42" s="163"/>
      <c r="C42" s="222"/>
      <c r="D42" s="905"/>
      <c r="E42" s="226"/>
      <c r="F42" s="227"/>
      <c r="G42" s="56" t="s">
        <v>17</v>
      </c>
      <c r="H42" s="54">
        <f>276.18/20</f>
        <v>13.809000000000001</v>
      </c>
      <c r="I42" s="55" t="s">
        <v>6</v>
      </c>
      <c r="J42" s="54"/>
      <c r="K42" s="3">
        <f t="shared" si="0"/>
        <v>0.46467285000000003</v>
      </c>
      <c r="L42" s="224"/>
      <c r="M42" s="224"/>
      <c r="N42" s="224"/>
      <c r="O42" s="225"/>
      <c r="P42" s="172"/>
      <c r="Q42" s="172"/>
      <c r="R42" s="311"/>
      <c r="S42" s="303"/>
      <c r="T42" s="312"/>
    </row>
    <row r="43" spans="2:20" hidden="1">
      <c r="B43" s="163"/>
      <c r="C43" s="222"/>
      <c r="D43" s="239"/>
      <c r="E43" s="221"/>
      <c r="F43" s="228"/>
      <c r="G43" s="57" t="s">
        <v>18</v>
      </c>
      <c r="H43" s="49">
        <f>278.64/20</f>
        <v>13.931999999999999</v>
      </c>
      <c r="I43" s="58" t="s">
        <v>6</v>
      </c>
      <c r="J43" s="49"/>
      <c r="K43" s="3">
        <f t="shared" si="0"/>
        <v>0.46881179999999995</v>
      </c>
      <c r="L43" s="224"/>
      <c r="M43" s="224"/>
      <c r="N43" s="224"/>
      <c r="O43" s="225"/>
      <c r="P43" s="172"/>
      <c r="Q43" s="172"/>
      <c r="R43" s="311"/>
      <c r="S43" s="303"/>
      <c r="T43" s="312"/>
    </row>
    <row r="44" spans="2:20" hidden="1">
      <c r="B44" s="163"/>
      <c r="C44" s="222"/>
      <c r="D44" s="239"/>
      <c r="E44" s="221"/>
      <c r="F44" s="228"/>
      <c r="G44" s="57" t="s">
        <v>146</v>
      </c>
      <c r="H44" s="49">
        <f>254.52/20</f>
        <v>12.726000000000001</v>
      </c>
      <c r="I44" s="58" t="s">
        <v>6</v>
      </c>
      <c r="J44" s="49"/>
      <c r="K44" s="3">
        <f t="shared" si="0"/>
        <v>0.4282299</v>
      </c>
      <c r="L44" s="224"/>
      <c r="M44" s="224"/>
      <c r="N44" s="224"/>
      <c r="O44" s="225"/>
      <c r="P44" s="172"/>
      <c r="Q44" s="172"/>
      <c r="R44" s="311"/>
      <c r="S44" s="303"/>
      <c r="T44" s="312"/>
    </row>
    <row r="45" spans="2:20" hidden="1">
      <c r="B45" s="163"/>
      <c r="C45" s="222"/>
      <c r="D45" s="239"/>
      <c r="E45" s="221"/>
      <c r="F45" s="228"/>
      <c r="G45" s="57" t="s">
        <v>149</v>
      </c>
      <c r="H45" s="49">
        <f>256.57/20</f>
        <v>12.8285</v>
      </c>
      <c r="I45" s="58" t="s">
        <v>6</v>
      </c>
      <c r="J45" s="49"/>
      <c r="K45" s="3">
        <f t="shared" si="0"/>
        <v>0.43167902499999999</v>
      </c>
      <c r="L45" s="224"/>
      <c r="M45" s="224"/>
      <c r="N45" s="224"/>
      <c r="O45" s="225"/>
      <c r="P45" s="172"/>
      <c r="Q45" s="172"/>
      <c r="R45" s="311"/>
      <c r="S45" s="303"/>
      <c r="T45" s="312"/>
    </row>
    <row r="46" spans="2:20" hidden="1">
      <c r="B46" s="163"/>
      <c r="C46" s="222"/>
      <c r="D46" s="239"/>
      <c r="E46" s="221"/>
      <c r="F46" s="228"/>
      <c r="G46" s="57" t="s">
        <v>148</v>
      </c>
      <c r="H46" s="49">
        <f>257.5/20</f>
        <v>12.875</v>
      </c>
      <c r="I46" s="58" t="s">
        <v>6</v>
      </c>
      <c r="J46" s="49"/>
      <c r="K46" s="4">
        <f t="shared" si="0"/>
        <v>0.43324374999999998</v>
      </c>
      <c r="L46" s="224"/>
      <c r="M46" s="224">
        <v>0.03</v>
      </c>
      <c r="N46" s="166">
        <f>L46+K46</f>
        <v>0.43324374999999998</v>
      </c>
      <c r="O46" s="225" t="s">
        <v>1</v>
      </c>
      <c r="P46" s="172"/>
      <c r="Q46" s="172"/>
      <c r="R46" s="311"/>
      <c r="S46" s="303"/>
      <c r="T46" s="312"/>
    </row>
    <row r="47" spans="2:20" hidden="1">
      <c r="B47" s="163"/>
      <c r="C47" s="222"/>
      <c r="D47" s="239"/>
      <c r="E47" s="221"/>
      <c r="F47" s="228"/>
      <c r="G47" s="57" t="s">
        <v>197</v>
      </c>
      <c r="H47" s="49">
        <f>255.96/20</f>
        <v>12.798</v>
      </c>
      <c r="I47" s="58" t="s">
        <v>6</v>
      </c>
      <c r="J47" s="49"/>
      <c r="K47" s="4">
        <f t="shared" si="0"/>
        <v>0.4306527</v>
      </c>
      <c r="L47" s="224"/>
      <c r="M47" s="224"/>
      <c r="N47" s="166"/>
      <c r="O47" s="225"/>
      <c r="P47" s="172"/>
      <c r="Q47" s="172"/>
      <c r="R47" s="311"/>
      <c r="S47" s="303"/>
      <c r="T47" s="312"/>
    </row>
    <row r="48" spans="2:20" hidden="1">
      <c r="B48" s="163"/>
      <c r="C48" s="222"/>
      <c r="D48" s="239"/>
      <c r="E48" s="221"/>
      <c r="F48" s="228"/>
      <c r="G48" s="57" t="s">
        <v>220</v>
      </c>
      <c r="H48" s="49">
        <f>256.71/20</f>
        <v>12.8355</v>
      </c>
      <c r="I48" s="58" t="s">
        <v>6</v>
      </c>
      <c r="J48" s="49"/>
      <c r="K48" s="10">
        <f t="shared" si="0"/>
        <v>0.43191457499999997</v>
      </c>
      <c r="L48" s="224"/>
      <c r="M48" s="224"/>
      <c r="N48" s="166"/>
      <c r="O48" s="225"/>
      <c r="P48" s="172"/>
      <c r="Q48" s="172"/>
      <c r="R48" s="311"/>
      <c r="S48" s="303"/>
      <c r="T48" s="312"/>
    </row>
    <row r="49" spans="2:20" hidden="1">
      <c r="B49" s="163"/>
      <c r="C49" s="222"/>
      <c r="D49" s="239"/>
      <c r="E49" s="221"/>
      <c r="F49" s="228"/>
      <c r="G49" s="57" t="s">
        <v>307</v>
      </c>
      <c r="H49" s="49">
        <f>256.25/20</f>
        <v>12.8125</v>
      </c>
      <c r="I49" s="58" t="s">
        <v>6</v>
      </c>
      <c r="J49" s="49"/>
      <c r="K49" s="10"/>
      <c r="L49" s="224"/>
      <c r="M49" s="224"/>
      <c r="N49" s="166"/>
      <c r="O49" s="225"/>
      <c r="P49" s="172"/>
      <c r="Q49" s="172"/>
      <c r="R49" s="311"/>
      <c r="S49" s="303"/>
      <c r="T49" s="312"/>
    </row>
    <row r="50" spans="2:20" hidden="1">
      <c r="B50" s="163"/>
      <c r="C50" s="222"/>
      <c r="D50" s="239"/>
      <c r="E50" s="221"/>
      <c r="F50" s="228"/>
      <c r="G50" s="57" t="s">
        <v>308</v>
      </c>
      <c r="H50" s="49">
        <f>258.31/20</f>
        <v>12.9155</v>
      </c>
      <c r="I50" s="58" t="s">
        <v>6</v>
      </c>
      <c r="J50" s="49"/>
      <c r="K50" s="10"/>
      <c r="L50" s="224"/>
      <c r="M50" s="224"/>
      <c r="N50" s="166"/>
      <c r="O50" s="225"/>
      <c r="P50" s="172"/>
      <c r="Q50" s="172"/>
      <c r="R50" s="311"/>
      <c r="S50" s="303"/>
      <c r="T50" s="312"/>
    </row>
    <row r="51" spans="2:20" hidden="1">
      <c r="B51" s="163"/>
      <c r="C51" s="222"/>
      <c r="D51" s="906"/>
      <c r="E51" s="229"/>
      <c r="F51" s="228"/>
      <c r="G51" s="57" t="s">
        <v>390</v>
      </c>
      <c r="H51" s="49">
        <f>261.25/20</f>
        <v>13.0625</v>
      </c>
      <c r="I51" s="58" t="s">
        <v>6</v>
      </c>
      <c r="J51" s="49"/>
      <c r="K51" s="10"/>
      <c r="L51" s="224"/>
      <c r="M51" s="224"/>
      <c r="N51" s="166"/>
      <c r="O51" s="225"/>
      <c r="P51" s="172"/>
      <c r="Q51" s="172"/>
      <c r="R51" s="311"/>
      <c r="S51" s="303"/>
      <c r="T51" s="312"/>
    </row>
    <row r="52" spans="2:20" hidden="1">
      <c r="B52" s="163"/>
      <c r="C52" s="222"/>
      <c r="D52" s="906"/>
      <c r="E52" s="229"/>
      <c r="F52" s="228"/>
      <c r="G52" s="57" t="s">
        <v>402</v>
      </c>
      <c r="H52" s="49">
        <f>263.68/20</f>
        <v>13.184000000000001</v>
      </c>
      <c r="I52" s="58" t="s">
        <v>6</v>
      </c>
      <c r="J52" s="49"/>
      <c r="K52" s="10"/>
      <c r="L52" s="224"/>
      <c r="M52" s="224"/>
      <c r="N52" s="166"/>
      <c r="O52" s="225"/>
      <c r="P52" s="303"/>
      <c r="Q52" s="303"/>
      <c r="R52" s="311"/>
      <c r="S52" s="303"/>
      <c r="T52" s="312"/>
    </row>
    <row r="53" spans="2:20" hidden="1">
      <c r="B53" s="163"/>
      <c r="C53" s="222"/>
      <c r="D53" s="906"/>
      <c r="E53" s="229"/>
      <c r="F53" s="228"/>
      <c r="G53" s="57" t="s">
        <v>558</v>
      </c>
      <c r="H53" s="49">
        <f>264.48/20</f>
        <v>13.224</v>
      </c>
      <c r="I53" s="58" t="s">
        <v>6</v>
      </c>
      <c r="J53" s="49"/>
      <c r="K53" s="10"/>
      <c r="L53" s="224"/>
      <c r="M53" s="224"/>
      <c r="N53" s="166"/>
      <c r="O53" s="225"/>
      <c r="P53" s="346"/>
      <c r="Q53" s="346"/>
      <c r="R53" s="311"/>
      <c r="S53" s="346"/>
      <c r="T53" s="312"/>
    </row>
    <row r="54" spans="2:20" hidden="1">
      <c r="B54" s="163"/>
      <c r="C54" s="222"/>
      <c r="D54" s="906"/>
      <c r="E54" s="229"/>
      <c r="F54" s="228"/>
      <c r="G54" s="388" t="s">
        <v>563</v>
      </c>
      <c r="H54" s="389">
        <f>263.28 /20</f>
        <v>13.163999999999998</v>
      </c>
      <c r="I54" s="390" t="s">
        <v>584</v>
      </c>
      <c r="J54" s="391" t="s">
        <v>585</v>
      </c>
      <c r="K54" s="10"/>
      <c r="L54" s="224"/>
      <c r="M54" s="224"/>
      <c r="N54" s="166"/>
      <c r="O54" s="225"/>
      <c r="P54" s="172"/>
      <c r="Q54" s="172"/>
      <c r="R54" s="311"/>
      <c r="S54" s="304"/>
      <c r="T54" s="312"/>
    </row>
    <row r="55" spans="2:20" s="187" customFormat="1" hidden="1">
      <c r="B55" s="188"/>
      <c r="C55" s="207"/>
      <c r="D55" s="213" t="s">
        <v>9</v>
      </c>
      <c r="E55" s="191" t="s">
        <v>10</v>
      </c>
      <c r="F55" s="219" t="s">
        <v>4</v>
      </c>
      <c r="G55" s="53" t="s">
        <v>12</v>
      </c>
      <c r="H55" s="54">
        <v>13.186</v>
      </c>
      <c r="I55" s="214" t="s">
        <v>6</v>
      </c>
      <c r="J55" s="52"/>
      <c r="K55" s="3">
        <f>H55*0.03289</f>
        <v>0.43368754000000004</v>
      </c>
      <c r="L55" s="215">
        <v>0.03</v>
      </c>
      <c r="M55" s="215">
        <v>0.03</v>
      </c>
      <c r="N55" s="215">
        <f>L55+K55</f>
        <v>0.46368754000000001</v>
      </c>
      <c r="O55" s="184" t="s">
        <v>1</v>
      </c>
      <c r="P55" s="189"/>
      <c r="Q55" s="189"/>
      <c r="R55" s="256"/>
      <c r="S55" s="189"/>
      <c r="T55" s="256"/>
    </row>
    <row r="56" spans="2:20" s="187" customFormat="1" hidden="1">
      <c r="B56" s="188"/>
      <c r="C56" s="207"/>
      <c r="D56" s="216"/>
      <c r="E56" s="180"/>
      <c r="F56" s="218"/>
      <c r="G56" s="53" t="s">
        <v>13</v>
      </c>
      <c r="H56" s="54">
        <v>13.4091</v>
      </c>
      <c r="I56" s="214" t="s">
        <v>6</v>
      </c>
      <c r="J56" s="54"/>
      <c r="K56" s="3">
        <f>H56*0.03365</f>
        <v>0.45121621500000003</v>
      </c>
      <c r="L56" s="215"/>
      <c r="M56" s="215"/>
      <c r="N56" s="215"/>
      <c r="O56" s="184"/>
      <c r="P56" s="189"/>
      <c r="Q56" s="189"/>
      <c r="R56" s="256"/>
      <c r="S56" s="189"/>
      <c r="T56" s="256"/>
    </row>
    <row r="57" spans="2:20" s="187" customFormat="1" hidden="1">
      <c r="B57" s="188"/>
      <c r="C57" s="207"/>
      <c r="D57" s="207"/>
      <c r="E57" s="188"/>
      <c r="F57" s="219"/>
      <c r="G57" s="53" t="s">
        <v>14</v>
      </c>
      <c r="H57" s="54">
        <f>269.04/20</f>
        <v>13.452000000000002</v>
      </c>
      <c r="I57" s="214" t="s">
        <v>6</v>
      </c>
      <c r="J57" s="54"/>
      <c r="K57" s="3">
        <f>H57*0.03365</f>
        <v>0.45265980000000006</v>
      </c>
      <c r="L57" s="215"/>
      <c r="M57" s="215"/>
      <c r="N57" s="215"/>
      <c r="O57" s="184"/>
      <c r="P57" s="189"/>
      <c r="Q57" s="189"/>
      <c r="R57" s="256"/>
      <c r="S57" s="189"/>
      <c r="T57" s="256"/>
    </row>
    <row r="58" spans="2:20" s="187" customFormat="1" hidden="1">
      <c r="B58" s="188"/>
      <c r="C58" s="207"/>
      <c r="D58" s="213"/>
      <c r="E58" s="191"/>
      <c r="F58" s="220"/>
      <c r="G58" s="53" t="s">
        <v>17</v>
      </c>
      <c r="H58" s="54">
        <f>269.21/20</f>
        <v>13.4605</v>
      </c>
      <c r="I58" s="55" t="s">
        <v>6</v>
      </c>
      <c r="J58" s="54"/>
      <c r="K58" s="3">
        <f>H58*0.03365</f>
        <v>0.45294582499999997</v>
      </c>
      <c r="L58" s="215"/>
      <c r="M58" s="215"/>
      <c r="N58" s="215"/>
      <c r="O58" s="184"/>
      <c r="P58" s="189"/>
      <c r="Q58" s="189"/>
      <c r="R58" s="256"/>
      <c r="S58" s="189"/>
      <c r="T58" s="256"/>
    </row>
    <row r="59" spans="2:20" s="187" customFormat="1" hidden="1">
      <c r="B59" s="188"/>
      <c r="C59" s="207"/>
      <c r="D59" s="213" t="s">
        <v>309</v>
      </c>
      <c r="E59" s="191" t="s">
        <v>11</v>
      </c>
      <c r="F59" s="218" t="s">
        <v>4</v>
      </c>
      <c r="G59" s="53" t="s">
        <v>12</v>
      </c>
      <c r="H59" s="54">
        <v>13.186</v>
      </c>
      <c r="I59" s="214" t="s">
        <v>6</v>
      </c>
      <c r="J59" s="54"/>
      <c r="K59" s="3">
        <f>H59*0.03289</f>
        <v>0.43368754000000004</v>
      </c>
      <c r="L59" s="215">
        <v>0.03</v>
      </c>
      <c r="M59" s="215">
        <v>0.03</v>
      </c>
      <c r="N59" s="215">
        <f>L59+K59</f>
        <v>0.46368754000000001</v>
      </c>
      <c r="O59" s="184" t="s">
        <v>1</v>
      </c>
      <c r="P59" s="189"/>
      <c r="Q59" s="189"/>
      <c r="R59" s="256"/>
      <c r="S59" s="189"/>
      <c r="T59" s="256"/>
    </row>
    <row r="60" spans="2:20" s="187" customFormat="1" hidden="1">
      <c r="B60" s="188"/>
      <c r="C60" s="207"/>
      <c r="D60" s="216"/>
      <c r="E60" s="180"/>
      <c r="F60" s="218"/>
      <c r="G60" s="53" t="s">
        <v>13</v>
      </c>
      <c r="H60" s="54">
        <v>13.4091</v>
      </c>
      <c r="I60" s="214" t="s">
        <v>6</v>
      </c>
      <c r="J60" s="54"/>
      <c r="K60" s="3">
        <f>H60*0.03365</f>
        <v>0.45121621500000003</v>
      </c>
      <c r="L60" s="215"/>
      <c r="M60" s="215"/>
      <c r="N60" s="215"/>
      <c r="O60" s="184"/>
      <c r="P60" s="192"/>
      <c r="Q60" s="192"/>
      <c r="R60" s="290"/>
      <c r="S60" s="192"/>
      <c r="T60" s="290"/>
    </row>
    <row r="61" spans="2:20" s="187" customFormat="1" hidden="1">
      <c r="B61" s="188"/>
      <c r="C61" s="207"/>
      <c r="D61" s="207"/>
      <c r="E61" s="188"/>
      <c r="F61" s="219"/>
      <c r="G61" s="53" t="s">
        <v>14</v>
      </c>
      <c r="H61" s="54">
        <f>269.04/20</f>
        <v>13.452000000000002</v>
      </c>
      <c r="I61" s="214" t="s">
        <v>6</v>
      </c>
      <c r="J61" s="54"/>
      <c r="K61" s="3">
        <f t="shared" ref="K61:K68" si="1">H61*0.03365</f>
        <v>0.45265980000000006</v>
      </c>
      <c r="L61" s="215"/>
      <c r="M61" s="215"/>
      <c r="N61" s="215"/>
      <c r="O61" s="184"/>
      <c r="P61" s="192"/>
      <c r="Q61" s="192"/>
      <c r="R61" s="290"/>
      <c r="S61" s="192"/>
      <c r="T61" s="290"/>
    </row>
    <row r="62" spans="2:20" s="187" customFormat="1" hidden="1">
      <c r="B62" s="188"/>
      <c r="C62" s="207"/>
      <c r="D62" s="213"/>
      <c r="E62" s="191"/>
      <c r="F62" s="220"/>
      <c r="G62" s="51" t="s">
        <v>17</v>
      </c>
      <c r="H62" s="49">
        <f>269.21/20</f>
        <v>13.4605</v>
      </c>
      <c r="I62" s="58" t="s">
        <v>6</v>
      </c>
      <c r="J62" s="49"/>
      <c r="K62" s="3">
        <f t="shared" si="1"/>
        <v>0.45294582499999997</v>
      </c>
      <c r="L62" s="215"/>
      <c r="M62" s="215"/>
      <c r="N62" s="215"/>
      <c r="O62" s="184"/>
      <c r="P62" s="300"/>
      <c r="Q62" s="300"/>
      <c r="R62" s="301"/>
      <c r="S62" s="300"/>
      <c r="T62" s="301"/>
    </row>
    <row r="63" spans="2:20" hidden="1">
      <c r="B63" s="163"/>
      <c r="C63" s="222"/>
      <c r="D63" s="907" t="s">
        <v>21</v>
      </c>
      <c r="E63" s="156" t="s">
        <v>221</v>
      </c>
      <c r="F63" s="230" t="s">
        <v>4</v>
      </c>
      <c r="G63" s="51" t="s">
        <v>16</v>
      </c>
      <c r="H63" s="49">
        <f>269.04/20</f>
        <v>13.452000000000002</v>
      </c>
      <c r="I63" s="58" t="s">
        <v>6</v>
      </c>
      <c r="J63" s="49"/>
      <c r="K63" s="3">
        <f t="shared" si="1"/>
        <v>0.45265980000000006</v>
      </c>
      <c r="L63" s="224"/>
      <c r="M63" s="224"/>
      <c r="N63" s="224"/>
      <c r="O63" s="225"/>
      <c r="P63" s="313"/>
      <c r="Q63" s="302"/>
      <c r="R63" s="305"/>
      <c r="S63" s="174" t="s">
        <v>271</v>
      </c>
      <c r="T63" s="316"/>
    </row>
    <row r="64" spans="2:20" ht="14.25" hidden="1" customHeight="1">
      <c r="B64" s="163"/>
      <c r="C64" s="222"/>
      <c r="D64" s="222"/>
      <c r="E64" s="163"/>
      <c r="F64" s="231"/>
      <c r="G64" s="51" t="s">
        <v>17</v>
      </c>
      <c r="H64" s="49">
        <f>269.21/20</f>
        <v>13.4605</v>
      </c>
      <c r="I64" s="58" t="s">
        <v>6</v>
      </c>
      <c r="J64" s="49"/>
      <c r="K64" s="3">
        <f t="shared" si="1"/>
        <v>0.45294582499999997</v>
      </c>
      <c r="L64" s="224"/>
      <c r="M64" s="224"/>
      <c r="N64" s="224"/>
      <c r="O64" s="225"/>
      <c r="P64" s="314"/>
      <c r="Q64" s="303"/>
      <c r="R64" s="306"/>
      <c r="S64" s="303"/>
      <c r="T64" s="312"/>
    </row>
    <row r="65" spans="2:20" ht="14.25" hidden="1" customHeight="1">
      <c r="B65" s="163"/>
      <c r="C65" s="222"/>
      <c r="D65" s="222"/>
      <c r="E65" s="163"/>
      <c r="F65" s="231"/>
      <c r="G65" s="51" t="s">
        <v>18</v>
      </c>
      <c r="H65" s="49">
        <f>284.43/20</f>
        <v>14.221500000000001</v>
      </c>
      <c r="I65" s="58" t="s">
        <v>6</v>
      </c>
      <c r="J65" s="49"/>
      <c r="K65" s="3">
        <f t="shared" si="1"/>
        <v>0.47855347500000001</v>
      </c>
      <c r="L65" s="224"/>
      <c r="M65" s="224"/>
      <c r="N65" s="224"/>
      <c r="O65" s="225"/>
      <c r="P65" s="314"/>
      <c r="Q65" s="303"/>
      <c r="R65" s="306"/>
      <c r="S65" s="303"/>
      <c r="T65" s="312"/>
    </row>
    <row r="66" spans="2:20" ht="14.25" hidden="1" customHeight="1">
      <c r="B66" s="163"/>
      <c r="C66" s="222"/>
      <c r="D66" s="222"/>
      <c r="E66" s="163"/>
      <c r="F66" s="231"/>
      <c r="G66" s="51" t="s">
        <v>146</v>
      </c>
      <c r="H66" s="49">
        <f>254.65/20</f>
        <v>12.7325</v>
      </c>
      <c r="I66" s="58" t="s">
        <v>6</v>
      </c>
      <c r="J66" s="49"/>
      <c r="K66" s="3">
        <f t="shared" si="1"/>
        <v>0.42844862499999997</v>
      </c>
      <c r="L66" s="224"/>
      <c r="M66" s="224"/>
      <c r="N66" s="224"/>
      <c r="O66" s="225"/>
      <c r="P66" s="314"/>
      <c r="Q66" s="303"/>
      <c r="R66" s="306"/>
      <c r="S66" s="303"/>
      <c r="T66" s="312"/>
    </row>
    <row r="67" spans="2:20" ht="14.25" hidden="1" customHeight="1">
      <c r="B67" s="163"/>
      <c r="C67" s="222"/>
      <c r="D67" s="222"/>
      <c r="E67" s="163"/>
      <c r="F67" s="231"/>
      <c r="G67" s="51" t="s">
        <v>149</v>
      </c>
      <c r="H67" s="49">
        <f>254.23/20</f>
        <v>12.711499999999999</v>
      </c>
      <c r="I67" s="58" t="s">
        <v>6</v>
      </c>
      <c r="J67" s="49"/>
      <c r="K67" s="3">
        <f t="shared" si="1"/>
        <v>0.42774197499999994</v>
      </c>
      <c r="L67" s="224"/>
      <c r="M67" s="224"/>
      <c r="N67" s="224"/>
      <c r="O67" s="225"/>
      <c r="P67" s="314"/>
      <c r="Q67" s="303"/>
      <c r="R67" s="306"/>
      <c r="S67" s="303"/>
      <c r="T67" s="312"/>
    </row>
    <row r="68" spans="2:20" ht="14.25" hidden="1" customHeight="1">
      <c r="B68" s="163"/>
      <c r="C68" s="222"/>
      <c r="D68" s="222"/>
      <c r="E68" s="163"/>
      <c r="F68" s="231"/>
      <c r="G68" s="51" t="s">
        <v>148</v>
      </c>
      <c r="H68" s="49">
        <f>255.17/20</f>
        <v>12.7585</v>
      </c>
      <c r="I68" s="58" t="s">
        <v>6</v>
      </c>
      <c r="J68" s="49"/>
      <c r="K68" s="3">
        <f t="shared" si="1"/>
        <v>0.42932352499999998</v>
      </c>
      <c r="L68" s="224"/>
      <c r="M68" s="224">
        <v>0.03</v>
      </c>
      <c r="N68" s="224">
        <f>L68+K68</f>
        <v>0.42932352499999998</v>
      </c>
      <c r="O68" s="225"/>
      <c r="P68" s="314"/>
      <c r="Q68" s="303"/>
      <c r="R68" s="306"/>
      <c r="S68" s="303"/>
      <c r="T68" s="312"/>
    </row>
    <row r="69" spans="2:20" ht="14.25" hidden="1" customHeight="1">
      <c r="B69" s="163"/>
      <c r="C69" s="222"/>
      <c r="D69" s="222"/>
      <c r="E69" s="163"/>
      <c r="F69" s="231"/>
      <c r="G69" s="51" t="s">
        <v>197</v>
      </c>
      <c r="H69" s="49">
        <f>253.78 /20</f>
        <v>12.689</v>
      </c>
      <c r="I69" s="58" t="s">
        <v>6</v>
      </c>
      <c r="J69" s="49"/>
      <c r="K69" s="3">
        <f>H69*0.03365</f>
        <v>0.42698484999999997</v>
      </c>
      <c r="L69" s="224"/>
      <c r="M69" s="224"/>
      <c r="N69" s="224"/>
      <c r="O69" s="225"/>
      <c r="P69" s="314"/>
      <c r="Q69" s="303"/>
      <c r="R69" s="306"/>
      <c r="S69" s="303"/>
      <c r="T69" s="312"/>
    </row>
    <row r="70" spans="2:20" ht="14.25" hidden="1" customHeight="1">
      <c r="B70" s="163"/>
      <c r="C70" s="222"/>
      <c r="D70" s="222"/>
      <c r="E70" s="163"/>
      <c r="F70" s="231"/>
      <c r="G70" s="51" t="s">
        <v>220</v>
      </c>
      <c r="H70" s="49">
        <f>254.55/20</f>
        <v>12.727500000000001</v>
      </c>
      <c r="I70" s="58" t="s">
        <v>6</v>
      </c>
      <c r="J70" s="49"/>
      <c r="K70" s="3">
        <f>H70*0.03365</f>
        <v>0.42828037500000005</v>
      </c>
      <c r="L70" s="224"/>
      <c r="M70" s="224"/>
      <c r="N70" s="224"/>
      <c r="O70" s="225"/>
      <c r="P70" s="314"/>
      <c r="Q70" s="303"/>
      <c r="R70" s="306"/>
      <c r="S70" s="303"/>
      <c r="T70" s="312"/>
    </row>
    <row r="71" spans="2:20" ht="14.25" hidden="1" customHeight="1">
      <c r="B71" s="163"/>
      <c r="C71" s="222"/>
      <c r="D71" s="222"/>
      <c r="E71" s="163"/>
      <c r="F71" s="231"/>
      <c r="G71" s="51" t="s">
        <v>307</v>
      </c>
      <c r="H71" s="49">
        <f>254.09/20</f>
        <v>12.704499999999999</v>
      </c>
      <c r="I71" s="58" t="s">
        <v>6</v>
      </c>
      <c r="J71" s="49"/>
      <c r="K71" s="3"/>
      <c r="L71" s="224"/>
      <c r="M71" s="224"/>
      <c r="N71" s="224"/>
      <c r="O71" s="225"/>
      <c r="P71" s="314"/>
      <c r="Q71" s="303"/>
      <c r="R71" s="306"/>
      <c r="S71" s="303"/>
      <c r="T71" s="312"/>
    </row>
    <row r="72" spans="2:20" ht="14.25" hidden="1" customHeight="1">
      <c r="B72" s="163"/>
      <c r="C72" s="222"/>
      <c r="D72" s="222"/>
      <c r="E72" s="163"/>
      <c r="F72" s="231"/>
      <c r="G72" s="51" t="s">
        <v>308</v>
      </c>
      <c r="H72" s="49">
        <f>256.17/20</f>
        <v>12.8085</v>
      </c>
      <c r="I72" s="58" t="s">
        <v>6</v>
      </c>
      <c r="J72" s="49"/>
      <c r="K72" s="3"/>
      <c r="L72" s="224"/>
      <c r="M72" s="224"/>
      <c r="N72" s="224"/>
      <c r="O72" s="225"/>
      <c r="P72" s="314"/>
      <c r="Q72" s="303"/>
      <c r="R72" s="306"/>
      <c r="S72" s="303"/>
      <c r="T72" s="312"/>
    </row>
    <row r="73" spans="2:20" ht="14.25" hidden="1" customHeight="1">
      <c r="B73" s="163"/>
      <c r="C73" s="222"/>
      <c r="D73" s="222"/>
      <c r="E73" s="163"/>
      <c r="F73" s="231"/>
      <c r="G73" s="51" t="s">
        <v>390</v>
      </c>
      <c r="H73" s="49">
        <f>259.14/20</f>
        <v>12.956999999999999</v>
      </c>
      <c r="I73" s="58" t="s">
        <v>6</v>
      </c>
      <c r="J73" s="49"/>
      <c r="K73" s="3"/>
      <c r="L73" s="224"/>
      <c r="M73" s="224"/>
      <c r="N73" s="224"/>
      <c r="O73" s="225"/>
      <c r="P73" s="314"/>
      <c r="Q73" s="303"/>
      <c r="R73" s="306"/>
      <c r="S73" s="303"/>
      <c r="T73" s="312"/>
    </row>
    <row r="74" spans="2:20" ht="14.25" hidden="1" customHeight="1">
      <c r="B74" s="163"/>
      <c r="C74" s="222"/>
      <c r="D74" s="222"/>
      <c r="E74" s="163"/>
      <c r="F74" s="231"/>
      <c r="G74" s="51" t="s">
        <v>402</v>
      </c>
      <c r="H74" s="49">
        <f>261.59/20</f>
        <v>13.079499999999999</v>
      </c>
      <c r="I74" s="58" t="s">
        <v>6</v>
      </c>
      <c r="J74" s="49"/>
      <c r="K74" s="3"/>
      <c r="L74" s="224"/>
      <c r="M74" s="224"/>
      <c r="N74" s="224"/>
      <c r="O74" s="225"/>
      <c r="P74" s="315"/>
      <c r="Q74" s="304"/>
      <c r="R74" s="307"/>
      <c r="S74" s="304"/>
      <c r="T74" s="317"/>
    </row>
    <row r="75" spans="2:20" ht="14.25" hidden="1" customHeight="1">
      <c r="B75" s="163"/>
      <c r="C75" s="222"/>
      <c r="D75" s="222"/>
      <c r="E75" s="163"/>
      <c r="F75" s="231"/>
      <c r="G75" s="51" t="s">
        <v>558</v>
      </c>
      <c r="H75" s="49">
        <f>262.4/20</f>
        <v>13.12</v>
      </c>
      <c r="I75" s="58" t="s">
        <v>6</v>
      </c>
      <c r="J75" s="49"/>
      <c r="K75" s="349"/>
      <c r="L75" s="308"/>
      <c r="M75" s="308"/>
      <c r="N75" s="308"/>
      <c r="O75" s="221"/>
      <c r="P75" s="314"/>
      <c r="Q75" s="346"/>
      <c r="R75" s="348"/>
      <c r="S75" s="922" t="s">
        <v>564</v>
      </c>
      <c r="T75" s="312"/>
    </row>
    <row r="76" spans="2:20" ht="15" hidden="1" customHeight="1">
      <c r="B76" s="196"/>
      <c r="C76" s="203"/>
      <c r="D76" s="222"/>
      <c r="E76" s="163"/>
      <c r="F76" s="231"/>
      <c r="G76" s="392" t="s">
        <v>563</v>
      </c>
      <c r="H76" s="393">
        <f>261.18/20</f>
        <v>13.059000000000001</v>
      </c>
      <c r="I76" s="390" t="s">
        <v>6</v>
      </c>
      <c r="J76" s="391" t="s">
        <v>583</v>
      </c>
      <c r="K76" s="232"/>
      <c r="L76" s="308"/>
      <c r="M76" s="308"/>
      <c r="N76" s="171"/>
      <c r="O76" s="163"/>
      <c r="P76" s="303"/>
      <c r="Q76" s="303"/>
      <c r="R76" s="306"/>
      <c r="S76" s="923"/>
      <c r="T76" s="306"/>
    </row>
    <row r="77" spans="2:20" s="202" customFormat="1">
      <c r="B77" s="196"/>
      <c r="C77" s="203"/>
      <c r="D77" s="915" t="s">
        <v>1021</v>
      </c>
      <c r="E77" s="916" t="s">
        <v>1022</v>
      </c>
      <c r="F77" s="916" t="s">
        <v>1020</v>
      </c>
      <c r="G77" s="450" t="s">
        <v>1025</v>
      </c>
      <c r="H77" s="914">
        <v>0.1444</v>
      </c>
      <c r="I77" s="452" t="s">
        <v>5</v>
      </c>
      <c r="J77" s="456" t="s">
        <v>949</v>
      </c>
      <c r="K77" s="204"/>
      <c r="L77" s="204"/>
      <c r="M77" s="205"/>
      <c r="N77" s="204"/>
      <c r="O77" s="197"/>
      <c r="P77" s="912">
        <v>2</v>
      </c>
      <c r="Q77" s="206">
        <v>50</v>
      </c>
      <c r="R77" s="284"/>
      <c r="S77" s="913"/>
      <c r="T77" s="284"/>
    </row>
    <row r="78" spans="2:20" s="202" customFormat="1">
      <c r="B78" s="309"/>
      <c r="C78" s="310"/>
      <c r="D78" s="672" t="s">
        <v>1023</v>
      </c>
      <c r="E78" s="672" t="s">
        <v>1024</v>
      </c>
      <c r="F78" s="672" t="s">
        <v>1020</v>
      </c>
      <c r="G78" s="917" t="s">
        <v>1025</v>
      </c>
      <c r="H78" s="918">
        <v>0.27350000000000002</v>
      </c>
      <c r="I78" s="452" t="s">
        <v>5</v>
      </c>
      <c r="J78" s="456" t="s">
        <v>949</v>
      </c>
      <c r="K78" s="204"/>
      <c r="L78" s="204"/>
      <c r="M78" s="205"/>
      <c r="N78" s="204"/>
      <c r="O78" s="197"/>
      <c r="P78" s="912">
        <v>1</v>
      </c>
      <c r="Q78" s="206">
        <v>50</v>
      </c>
      <c r="R78" s="913"/>
      <c r="S78" s="913"/>
      <c r="T78" s="913"/>
    </row>
    <row r="79" spans="2:20" ht="15" hidden="1" customHeight="1">
      <c r="B79" s="229">
        <v>4</v>
      </c>
      <c r="C79" s="163" t="s">
        <v>1010</v>
      </c>
      <c r="D79" s="156" t="s">
        <v>559</v>
      </c>
      <c r="E79" s="156" t="s">
        <v>599</v>
      </c>
      <c r="F79" s="223" t="s">
        <v>4</v>
      </c>
      <c r="G79" s="878" t="s">
        <v>1011</v>
      </c>
      <c r="H79" s="879">
        <f>273.93/20</f>
        <v>13.6965</v>
      </c>
      <c r="I79" s="880" t="s">
        <v>1012</v>
      </c>
      <c r="J79" s="879"/>
      <c r="K79" s="233"/>
      <c r="L79" s="224"/>
      <c r="M79" s="224"/>
      <c r="N79" s="166"/>
      <c r="O79" s="162"/>
      <c r="P79" s="167"/>
      <c r="Q79" s="167"/>
      <c r="R79" s="287"/>
      <c r="S79" s="352"/>
      <c r="T79" s="287"/>
    </row>
    <row r="80" spans="2:20" ht="15" hidden="1" customHeight="1">
      <c r="B80" s="229"/>
      <c r="C80" s="163"/>
      <c r="D80" s="163"/>
      <c r="E80" s="163"/>
      <c r="F80" s="448"/>
      <c r="G80" s="878" t="s">
        <v>563</v>
      </c>
      <c r="H80" s="879">
        <f>270.14 /20</f>
        <v>13.507</v>
      </c>
      <c r="I80" s="880" t="s">
        <v>1012</v>
      </c>
      <c r="J80" s="879"/>
      <c r="K80" s="350"/>
      <c r="L80" s="351"/>
      <c r="M80" s="351"/>
      <c r="N80" s="159"/>
      <c r="O80" s="156"/>
      <c r="P80" s="434"/>
      <c r="Q80" s="434"/>
      <c r="R80" s="433"/>
      <c r="S80" s="352"/>
      <c r="T80" s="287"/>
    </row>
    <row r="81" spans="2:20" ht="15" hidden="1" customHeight="1">
      <c r="B81" s="229"/>
      <c r="C81" s="163"/>
      <c r="D81" s="163"/>
      <c r="E81" s="163"/>
      <c r="F81" s="448"/>
      <c r="G81" s="881" t="s">
        <v>1013</v>
      </c>
      <c r="H81" s="882">
        <f>254.49 /20</f>
        <v>12.724500000000001</v>
      </c>
      <c r="I81" s="883" t="s">
        <v>1012</v>
      </c>
      <c r="J81" s="882"/>
      <c r="K81" s="350"/>
      <c r="L81" s="351"/>
      <c r="M81" s="351"/>
      <c r="N81" s="159"/>
      <c r="O81" s="156"/>
      <c r="P81" s="434"/>
      <c r="Q81" s="434"/>
      <c r="R81" s="433"/>
      <c r="S81" s="352"/>
      <c r="T81" s="287"/>
    </row>
    <row r="82" spans="2:20" ht="15" hidden="1" customHeight="1">
      <c r="B82" s="229"/>
      <c r="C82" s="163"/>
      <c r="D82" s="176"/>
      <c r="E82" s="176"/>
      <c r="F82" s="447"/>
      <c r="G82" s="881" t="s">
        <v>1014</v>
      </c>
      <c r="H82" s="882">
        <f>263.9/20</f>
        <v>13.194999999999999</v>
      </c>
      <c r="I82" s="884" t="s">
        <v>1012</v>
      </c>
      <c r="J82" s="882" t="s">
        <v>1015</v>
      </c>
      <c r="K82" s="350"/>
      <c r="L82" s="351"/>
      <c r="M82" s="351"/>
      <c r="N82" s="159"/>
      <c r="O82" s="156"/>
      <c r="P82" s="345">
        <v>1</v>
      </c>
      <c r="Q82" s="345">
        <v>60</v>
      </c>
      <c r="R82" s="347"/>
      <c r="S82" s="352" t="s">
        <v>564</v>
      </c>
      <c r="T82" s="287"/>
    </row>
    <row r="83" spans="2:20" ht="15" hidden="1" customHeight="1">
      <c r="B83" s="229"/>
      <c r="C83" s="196"/>
      <c r="D83" s="156" t="s">
        <v>560</v>
      </c>
      <c r="E83" s="156" t="s">
        <v>561</v>
      </c>
      <c r="F83" s="223" t="s">
        <v>4</v>
      </c>
      <c r="G83" s="885" t="s">
        <v>1011</v>
      </c>
      <c r="H83" s="886">
        <f>269.26/20</f>
        <v>13.462999999999999</v>
      </c>
      <c r="I83" s="883" t="s">
        <v>1012</v>
      </c>
      <c r="J83" s="886"/>
      <c r="K83" s="233"/>
      <c r="L83" s="224"/>
      <c r="M83" s="224"/>
      <c r="N83" s="166"/>
      <c r="O83" s="162"/>
      <c r="P83" s="167"/>
      <c r="Q83" s="167"/>
      <c r="R83" s="287"/>
      <c r="S83" s="352"/>
      <c r="T83" s="287"/>
    </row>
    <row r="84" spans="2:20" ht="15" hidden="1" customHeight="1">
      <c r="B84" s="229"/>
      <c r="C84" s="196"/>
      <c r="D84" s="163"/>
      <c r="E84" s="163"/>
      <c r="F84" s="448"/>
      <c r="G84" s="885" t="s">
        <v>563</v>
      </c>
      <c r="H84" s="886">
        <f>265.48/20</f>
        <v>13.274000000000001</v>
      </c>
      <c r="I84" s="883" t="s">
        <v>1012</v>
      </c>
      <c r="J84" s="886"/>
      <c r="K84" s="350"/>
      <c r="L84" s="351"/>
      <c r="M84" s="351"/>
      <c r="N84" s="159"/>
      <c r="O84" s="156"/>
      <c r="P84" s="434"/>
      <c r="Q84" s="434"/>
      <c r="R84" s="433"/>
      <c r="S84" s="352"/>
      <c r="T84" s="287"/>
    </row>
    <row r="85" spans="2:20" ht="15" hidden="1" customHeight="1">
      <c r="B85" s="229"/>
      <c r="C85" s="196"/>
      <c r="D85" s="163"/>
      <c r="E85" s="163"/>
      <c r="F85" s="448"/>
      <c r="G85" s="881" t="s">
        <v>1013</v>
      </c>
      <c r="H85" s="882">
        <f>249.82 /20</f>
        <v>12.491</v>
      </c>
      <c r="I85" s="883" t="s">
        <v>1012</v>
      </c>
      <c r="J85" s="882"/>
      <c r="K85" s="350"/>
      <c r="L85" s="351"/>
      <c r="M85" s="351"/>
      <c r="N85" s="159"/>
      <c r="O85" s="156"/>
      <c r="P85" s="434"/>
      <c r="Q85" s="434"/>
      <c r="R85" s="433"/>
      <c r="S85" s="352"/>
      <c r="T85" s="287"/>
    </row>
    <row r="86" spans="2:20" ht="15" hidden="1" customHeight="1">
      <c r="B86" s="229"/>
      <c r="C86" s="163"/>
      <c r="D86" s="176"/>
      <c r="E86" s="176"/>
      <c r="F86" s="447"/>
      <c r="G86" s="887" t="s">
        <v>1014</v>
      </c>
      <c r="H86" s="886">
        <f>259.22/20</f>
        <v>12.961000000000002</v>
      </c>
      <c r="I86" s="883" t="s">
        <v>1012</v>
      </c>
      <c r="J86" s="886" t="s">
        <v>1015</v>
      </c>
      <c r="K86" s="233"/>
      <c r="L86" s="224"/>
      <c r="M86" s="224"/>
      <c r="N86" s="166"/>
      <c r="O86" s="162"/>
      <c r="P86" s="167">
        <v>1</v>
      </c>
      <c r="Q86" s="167">
        <v>60</v>
      </c>
      <c r="R86" s="287"/>
      <c r="S86" s="352" t="s">
        <v>564</v>
      </c>
      <c r="T86" s="287"/>
    </row>
    <row r="87" spans="2:20" ht="15" customHeight="1">
      <c r="B87" s="197">
        <v>4</v>
      </c>
      <c r="C87" s="907" t="s">
        <v>1016</v>
      </c>
      <c r="D87" s="234" t="s">
        <v>943</v>
      </c>
      <c r="E87" s="176" t="s">
        <v>944</v>
      </c>
      <c r="F87" s="961" t="s">
        <v>948</v>
      </c>
      <c r="G87" s="444" t="s">
        <v>947</v>
      </c>
      <c r="H87" s="445">
        <f>259.88/100</f>
        <v>2.5987999999999998</v>
      </c>
      <c r="I87" s="443" t="s">
        <v>5</v>
      </c>
      <c r="J87" s="445" t="s">
        <v>949</v>
      </c>
      <c r="K87" s="744"/>
      <c r="L87" s="236"/>
      <c r="M87" s="236"/>
      <c r="N87" s="179"/>
      <c r="O87" s="176"/>
      <c r="P87" s="951">
        <v>1</v>
      </c>
      <c r="Q87" s="950">
        <v>21</v>
      </c>
      <c r="R87" s="950"/>
      <c r="S87" s="952"/>
      <c r="T87" s="950"/>
    </row>
    <row r="88" spans="2:20" ht="15" customHeight="1">
      <c r="B88" s="196"/>
      <c r="C88" s="222"/>
      <c r="D88" s="222"/>
      <c r="E88" s="163"/>
      <c r="F88" s="962"/>
      <c r="G88" s="964" t="s">
        <v>1033</v>
      </c>
      <c r="H88" s="953">
        <f>259.76 /100</f>
        <v>2.5975999999999999</v>
      </c>
      <c r="I88" s="954" t="s">
        <v>5</v>
      </c>
      <c r="J88" s="955" t="s">
        <v>949</v>
      </c>
      <c r="K88" s="232"/>
      <c r="L88" s="308"/>
      <c r="M88" s="308"/>
      <c r="N88" s="171"/>
      <c r="O88" s="163"/>
      <c r="P88" s="956"/>
      <c r="Q88" s="957"/>
      <c r="R88" s="957"/>
      <c r="S88" s="958"/>
      <c r="T88" s="957"/>
    </row>
    <row r="89" spans="2:20" ht="15" customHeight="1">
      <c r="B89" s="196"/>
      <c r="C89" s="222"/>
      <c r="D89" s="909" t="s">
        <v>945</v>
      </c>
      <c r="E89" s="162" t="s">
        <v>946</v>
      </c>
      <c r="F89" s="963" t="s">
        <v>948</v>
      </c>
      <c r="G89" s="965" t="s">
        <v>947</v>
      </c>
      <c r="H89" s="445">
        <f>280.01/100</f>
        <v>2.8001</v>
      </c>
      <c r="I89" s="443" t="s">
        <v>5</v>
      </c>
      <c r="J89" s="445" t="s">
        <v>949</v>
      </c>
      <c r="K89" s="233"/>
      <c r="L89" s="224"/>
      <c r="M89" s="224"/>
      <c r="N89" s="166"/>
      <c r="O89" s="162"/>
      <c r="P89" s="960">
        <v>1</v>
      </c>
      <c r="Q89" s="167">
        <v>21</v>
      </c>
      <c r="R89" s="287"/>
      <c r="S89" s="352"/>
      <c r="T89" s="287"/>
    </row>
    <row r="90" spans="2:20" ht="15" customHeight="1">
      <c r="B90" s="309"/>
      <c r="C90" s="234"/>
      <c r="D90" s="909" t="s">
        <v>1035</v>
      </c>
      <c r="E90" s="162" t="s">
        <v>1036</v>
      </c>
      <c r="F90" s="963" t="s">
        <v>948</v>
      </c>
      <c r="G90" s="966" t="s">
        <v>1032</v>
      </c>
      <c r="H90" s="456">
        <f>284.01/100</f>
        <v>2.8401000000000001</v>
      </c>
      <c r="I90" s="959" t="s">
        <v>5</v>
      </c>
      <c r="J90" s="456" t="s">
        <v>949</v>
      </c>
      <c r="K90" s="233"/>
      <c r="L90" s="224"/>
      <c r="M90" s="224"/>
      <c r="N90" s="166"/>
      <c r="O90" s="162"/>
      <c r="P90" s="960">
        <v>1</v>
      </c>
      <c r="Q90" s="167">
        <v>21</v>
      </c>
      <c r="R90" s="287"/>
      <c r="S90" s="352"/>
      <c r="T90" s="287"/>
    </row>
    <row r="91" spans="2:20" hidden="1">
      <c r="B91" s="221">
        <v>5</v>
      </c>
      <c r="C91" s="163" t="s">
        <v>310</v>
      </c>
      <c r="D91" s="234" t="s">
        <v>311</v>
      </c>
      <c r="E91" s="176" t="s">
        <v>1034</v>
      </c>
      <c r="F91" s="317" t="s">
        <v>312</v>
      </c>
      <c r="G91" s="462"/>
      <c r="H91" s="888">
        <f>(100.7+11.25)/1008</f>
        <v>0.11106150793650794</v>
      </c>
      <c r="I91" s="745" t="s">
        <v>3</v>
      </c>
      <c r="J91" s="888"/>
      <c r="K91" s="210">
        <f>(100.7+11.25)/1008</f>
        <v>0.11106150793650794</v>
      </c>
      <c r="L91" s="236">
        <v>0.01</v>
      </c>
      <c r="M91" s="236">
        <f>0.01*2</f>
        <v>0.02</v>
      </c>
      <c r="N91" s="179">
        <f>K91+M91/2</f>
        <v>0.12106150793650794</v>
      </c>
      <c r="O91" s="176" t="s">
        <v>1</v>
      </c>
      <c r="P91" s="304">
        <v>2</v>
      </c>
      <c r="Q91" s="304">
        <v>63</v>
      </c>
      <c r="R91" s="297" t="s">
        <v>239</v>
      </c>
      <c r="S91" s="176"/>
      <c r="T91" s="291"/>
    </row>
    <row r="92" spans="2:20" hidden="1">
      <c r="B92" s="221"/>
      <c r="C92" s="221"/>
      <c r="D92" s="920" t="s">
        <v>1017</v>
      </c>
      <c r="E92" s="156"/>
      <c r="F92" s="433"/>
      <c r="G92" s="889" t="s">
        <v>313</v>
      </c>
      <c r="H92" s="389">
        <f>94.94/1008+4180.02/201600</f>
        <v>0.11492073412698411</v>
      </c>
      <c r="I92" s="443" t="s">
        <v>3</v>
      </c>
      <c r="J92" s="389"/>
      <c r="K92" s="3">
        <f>94.94/1008+4180.02/201600</f>
        <v>0.11492073412698411</v>
      </c>
      <c r="L92" s="224">
        <v>0.01</v>
      </c>
      <c r="M92" s="224">
        <v>0.02</v>
      </c>
      <c r="N92" s="224">
        <f>H92+L92</f>
        <v>0.12492073412698411</v>
      </c>
      <c r="O92" s="161" t="s">
        <v>1</v>
      </c>
      <c r="P92" s="178"/>
      <c r="Q92" s="167"/>
      <c r="R92" s="291"/>
      <c r="S92" s="162"/>
      <c r="T92" s="287"/>
    </row>
    <row r="93" spans="2:20" hidden="1">
      <c r="B93" s="221"/>
      <c r="C93" s="221"/>
      <c r="D93" s="921"/>
      <c r="E93" s="163"/>
      <c r="F93" s="348"/>
      <c r="G93" s="889" t="s">
        <v>276</v>
      </c>
      <c r="H93" s="389">
        <f>89.756/1008+4180.02/201600</f>
        <v>0.109777876984127</v>
      </c>
      <c r="I93" s="443" t="s">
        <v>3</v>
      </c>
      <c r="J93" s="389"/>
      <c r="K93" s="3">
        <f>89.756/1008+4180.02/201600</f>
        <v>0.109777876984127</v>
      </c>
      <c r="L93" s="224">
        <v>0.01</v>
      </c>
      <c r="M93" s="224">
        <v>0.02</v>
      </c>
      <c r="N93" s="224">
        <f>H93+L93</f>
        <v>0.11977787698412699</v>
      </c>
      <c r="O93" s="161" t="s">
        <v>1</v>
      </c>
      <c r="P93" s="167"/>
      <c r="Q93" s="167"/>
      <c r="R93" s="287"/>
      <c r="S93" s="162"/>
      <c r="T93" s="292"/>
    </row>
    <row r="94" spans="2:20" hidden="1">
      <c r="B94" s="221"/>
      <c r="C94" s="221"/>
      <c r="D94" s="163"/>
      <c r="E94" s="163"/>
      <c r="F94" s="348"/>
      <c r="G94" s="674" t="s">
        <v>148</v>
      </c>
      <c r="H94" s="389">
        <f>95.38/1008+4180.02/201600</f>
        <v>0.11535724206349207</v>
      </c>
      <c r="I94" s="443" t="s">
        <v>3</v>
      </c>
      <c r="J94" s="389"/>
      <c r="K94" s="4">
        <f>95.38/1008+4180.02/201600</f>
        <v>0.11535724206349207</v>
      </c>
      <c r="L94" s="224">
        <v>0.01</v>
      </c>
      <c r="M94" s="224">
        <v>0.02</v>
      </c>
      <c r="N94" s="224">
        <f>H94+L94</f>
        <v>0.12535724206349208</v>
      </c>
      <c r="O94" s="161" t="s">
        <v>1</v>
      </c>
      <c r="P94" s="167"/>
      <c r="Q94" s="167"/>
      <c r="R94" s="287"/>
      <c r="S94" s="162"/>
      <c r="T94" s="292"/>
    </row>
    <row r="95" spans="2:20" hidden="1">
      <c r="B95" s="221"/>
      <c r="C95" s="221"/>
      <c r="D95" s="163"/>
      <c r="E95" s="163"/>
      <c r="F95" s="348"/>
      <c r="G95" s="674" t="s">
        <v>542</v>
      </c>
      <c r="H95" s="389">
        <f>101.2/1008+(3805/201600)</f>
        <v>0.11927083333333334</v>
      </c>
      <c r="I95" s="443" t="s">
        <v>543</v>
      </c>
      <c r="J95" s="389"/>
      <c r="K95" s="4">
        <f>101.2/1008+4180.02/201600</f>
        <v>0.12113105158730159</v>
      </c>
      <c r="L95" s="224"/>
      <c r="M95" s="224"/>
      <c r="N95" s="224"/>
      <c r="O95" s="161"/>
      <c r="P95" s="167"/>
      <c r="Q95" s="167"/>
      <c r="R95" s="287"/>
      <c r="S95" s="162"/>
      <c r="T95" s="292"/>
    </row>
    <row r="96" spans="2:20" hidden="1">
      <c r="B96" s="221"/>
      <c r="C96" s="221"/>
      <c r="D96" s="163"/>
      <c r="E96" s="163"/>
      <c r="F96" s="348"/>
      <c r="G96" s="674" t="s">
        <v>544</v>
      </c>
      <c r="H96" s="389">
        <f>99.76/1008+(3756/201600)</f>
        <v>0.11759920634920634</v>
      </c>
      <c r="I96" s="443" t="s">
        <v>3</v>
      </c>
      <c r="J96" s="389"/>
      <c r="K96" s="4"/>
      <c r="L96" s="224"/>
      <c r="M96" s="224"/>
      <c r="N96" s="224"/>
      <c r="O96" s="161"/>
      <c r="P96" s="167"/>
      <c r="Q96" s="167"/>
      <c r="R96" s="287"/>
      <c r="S96" s="162"/>
      <c r="T96" s="292"/>
    </row>
    <row r="97" spans="2:20" hidden="1">
      <c r="B97" s="221"/>
      <c r="C97" s="221"/>
      <c r="D97" s="163"/>
      <c r="E97" s="163"/>
      <c r="F97" s="348"/>
      <c r="G97" s="890" t="s">
        <v>1018</v>
      </c>
      <c r="H97" s="886">
        <f>90.85/1008+(3152.5/201600)</f>
        <v>0.10576636904761905</v>
      </c>
      <c r="I97" s="891" t="s">
        <v>598</v>
      </c>
      <c r="J97" s="886" t="s">
        <v>1019</v>
      </c>
      <c r="K97" s="59">
        <f>101.2/1008+4180.02/201600</f>
        <v>0.12113105158730159</v>
      </c>
      <c r="L97" s="224"/>
      <c r="M97" s="224"/>
      <c r="N97" s="224"/>
      <c r="O97" s="161"/>
      <c r="P97" s="167"/>
      <c r="Q97" s="167"/>
      <c r="R97" s="299"/>
      <c r="S97" s="162" t="s">
        <v>566</v>
      </c>
      <c r="T97" s="292"/>
    </row>
    <row r="98" spans="2:20">
      <c r="B98" s="221">
        <v>5</v>
      </c>
      <c r="C98" s="221"/>
      <c r="D98" s="162" t="s">
        <v>314</v>
      </c>
      <c r="E98" s="162" t="s">
        <v>315</v>
      </c>
      <c r="F98" s="287" t="s">
        <v>312</v>
      </c>
      <c r="G98" s="673" t="s">
        <v>316</v>
      </c>
      <c r="H98" s="389">
        <f>8.9193/80+4180.02/115200</f>
        <v>0.14777614583333334</v>
      </c>
      <c r="I98" s="443" t="s">
        <v>3</v>
      </c>
      <c r="J98" s="389"/>
      <c r="K98" s="3">
        <f>8.9193/80+4180.02/115200</f>
        <v>0.14777614583333334</v>
      </c>
      <c r="L98" s="224">
        <v>0.01</v>
      </c>
      <c r="M98" s="224">
        <v>0.02</v>
      </c>
      <c r="N98" s="224">
        <f>H98+L98</f>
        <v>0.15777614583333335</v>
      </c>
      <c r="O98" s="161" t="s">
        <v>1</v>
      </c>
      <c r="P98" s="167"/>
      <c r="Q98" s="167"/>
      <c r="R98" s="298" t="s">
        <v>239</v>
      </c>
      <c r="S98" s="162"/>
      <c r="T98" s="292"/>
    </row>
    <row r="99" spans="2:20">
      <c r="B99" s="221"/>
      <c r="C99" s="221"/>
      <c r="D99" s="163"/>
      <c r="E99" s="163"/>
      <c r="F99" s="163"/>
      <c r="G99" s="388" t="s">
        <v>148</v>
      </c>
      <c r="H99" s="389">
        <f>9.82/80+4180.02/115200</f>
        <v>0.15903489583333333</v>
      </c>
      <c r="I99" s="443" t="s">
        <v>3</v>
      </c>
      <c r="J99" s="389"/>
      <c r="K99" s="4">
        <f>9.82/80+4180.02/115200</f>
        <v>0.15903489583333333</v>
      </c>
      <c r="L99" s="224">
        <v>0.01</v>
      </c>
      <c r="M99" s="224">
        <v>0.02</v>
      </c>
      <c r="N99" s="224">
        <f>H99+L99</f>
        <v>0.16903489583333334</v>
      </c>
      <c r="O99" s="161" t="s">
        <v>1</v>
      </c>
      <c r="P99" s="282"/>
      <c r="Q99" s="282"/>
      <c r="R99" s="287"/>
      <c r="S99" s="156"/>
      <c r="T99" s="293"/>
    </row>
    <row r="100" spans="2:20">
      <c r="B100" s="221"/>
      <c r="C100" s="221"/>
      <c r="D100" s="163"/>
      <c r="E100" s="163"/>
      <c r="F100" s="163"/>
      <c r="G100" s="388" t="s">
        <v>391</v>
      </c>
      <c r="H100" s="389">
        <f>(10.45/80)+(3906/115200)</f>
        <v>0.16453124999999999</v>
      </c>
      <c r="I100" s="443" t="s">
        <v>3</v>
      </c>
      <c r="J100" s="389"/>
      <c r="K100" s="4">
        <f>10.46/80+4180.02/115200</f>
        <v>0.16703489583333334</v>
      </c>
      <c r="L100" s="224"/>
      <c r="M100" s="224"/>
      <c r="N100" s="224"/>
      <c r="O100" s="161"/>
      <c r="P100" s="282"/>
      <c r="Q100" s="282"/>
      <c r="R100" s="287"/>
      <c r="S100" s="162"/>
      <c r="T100" s="293"/>
    </row>
    <row r="101" spans="2:20">
      <c r="B101" s="221"/>
      <c r="C101" s="221"/>
      <c r="D101" s="163"/>
      <c r="E101" s="163"/>
      <c r="F101" s="163"/>
      <c r="G101" s="674" t="s">
        <v>600</v>
      </c>
      <c r="H101" s="389">
        <f>(10.04/80)+(3702/115200)</f>
        <v>0.15763541666666667</v>
      </c>
      <c r="I101" s="443" t="s">
        <v>601</v>
      </c>
      <c r="J101" s="389"/>
      <c r="K101" s="4"/>
      <c r="L101" s="224"/>
      <c r="M101" s="224"/>
      <c r="N101" s="224"/>
      <c r="O101" s="161"/>
      <c r="P101" s="282"/>
      <c r="Q101" s="282"/>
      <c r="R101" s="287"/>
      <c r="S101" s="162"/>
      <c r="T101" s="293"/>
    </row>
    <row r="102" spans="2:20">
      <c r="B102" s="237"/>
      <c r="C102" s="237"/>
      <c r="D102" s="176"/>
      <c r="E102" s="176"/>
      <c r="F102" s="176"/>
      <c r="G102" s="675" t="s">
        <v>915</v>
      </c>
      <c r="H102" s="353">
        <f>(8.64/80)+(3407.25/115200)</f>
        <v>0.13757682291666667</v>
      </c>
      <c r="I102" s="354" t="s">
        <v>3</v>
      </c>
      <c r="J102" s="353" t="s">
        <v>565</v>
      </c>
      <c r="K102" s="59"/>
      <c r="L102" s="224"/>
      <c r="M102" s="224"/>
      <c r="N102" s="224"/>
      <c r="O102" s="161"/>
      <c r="P102" s="167">
        <v>3</v>
      </c>
      <c r="Q102" s="167">
        <v>63</v>
      </c>
      <c r="R102" s="299" t="s">
        <v>1030</v>
      </c>
      <c r="S102" s="162" t="s">
        <v>566</v>
      </c>
      <c r="T102" s="293"/>
    </row>
    <row r="103" spans="2:20">
      <c r="B103" s="221">
        <v>6</v>
      </c>
      <c r="C103" s="221" t="s">
        <v>752</v>
      </c>
      <c r="D103" s="176" t="s">
        <v>753</v>
      </c>
      <c r="E103" s="176" t="s">
        <v>754</v>
      </c>
      <c r="F103" s="162" t="s">
        <v>312</v>
      </c>
      <c r="G103" s="675" t="s">
        <v>915</v>
      </c>
      <c r="H103" s="353">
        <f>73.02/1008+(3407.25/201600)</f>
        <v>8.9341517857142852E-2</v>
      </c>
      <c r="I103" s="354" t="s">
        <v>3</v>
      </c>
      <c r="J103" s="353" t="s">
        <v>565</v>
      </c>
      <c r="K103" s="59"/>
      <c r="L103" s="224"/>
      <c r="M103" s="224"/>
      <c r="N103" s="224"/>
      <c r="O103" s="161"/>
      <c r="P103" s="167" t="s">
        <v>1026</v>
      </c>
      <c r="Q103" s="167">
        <v>63</v>
      </c>
      <c r="R103" s="299" t="s">
        <v>1030</v>
      </c>
      <c r="S103" s="162" t="s">
        <v>566</v>
      </c>
      <c r="T103" s="293"/>
    </row>
    <row r="104" spans="2:20" s="460" customFormat="1">
      <c r="B104" s="457">
        <v>7</v>
      </c>
      <c r="C104" s="457" t="s">
        <v>0</v>
      </c>
      <c r="D104" s="462" t="s">
        <v>150</v>
      </c>
      <c r="E104" s="462" t="s">
        <v>20</v>
      </c>
      <c r="F104" s="462" t="s">
        <v>2</v>
      </c>
      <c r="G104" s="444"/>
      <c r="H104" s="445">
        <f>0.72/1.17</f>
        <v>0.61538461538461542</v>
      </c>
      <c r="I104" s="443" t="s">
        <v>5</v>
      </c>
      <c r="J104" s="445"/>
      <c r="K104" s="458">
        <f t="shared" ref="K104:K110" si="2">H104*1.14/7.78</f>
        <v>9.0172038758157005E-2</v>
      </c>
      <c r="L104" s="459">
        <v>0</v>
      </c>
      <c r="M104" s="459">
        <v>0</v>
      </c>
      <c r="N104" s="458">
        <f t="shared" ref="N104:N111" si="3">K104+M104</f>
        <v>9.0172038758157005E-2</v>
      </c>
      <c r="O104" s="442" t="s">
        <v>1</v>
      </c>
      <c r="P104" s="924">
        <v>2</v>
      </c>
      <c r="Q104" s="924">
        <v>14</v>
      </c>
      <c r="R104" s="927" t="s">
        <v>240</v>
      </c>
      <c r="S104" s="927" t="s">
        <v>317</v>
      </c>
      <c r="T104" s="927" t="s">
        <v>318</v>
      </c>
    </row>
    <row r="105" spans="2:20" s="460" customFormat="1">
      <c r="B105" s="457"/>
      <c r="C105" s="457"/>
      <c r="D105" s="461"/>
      <c r="E105" s="461"/>
      <c r="F105" s="461"/>
      <c r="G105" s="444" t="s">
        <v>319</v>
      </c>
      <c r="H105" s="445">
        <f>0.7/1.17</f>
        <v>0.59829059829059827</v>
      </c>
      <c r="I105" s="443" t="s">
        <v>5</v>
      </c>
      <c r="J105" s="445"/>
      <c r="K105" s="458">
        <f t="shared" si="2"/>
        <v>8.7667259903763742E-2</v>
      </c>
      <c r="L105" s="459"/>
      <c r="M105" s="459"/>
      <c r="N105" s="458">
        <f t="shared" si="3"/>
        <v>8.7667259903763742E-2</v>
      </c>
      <c r="O105" s="444" t="s">
        <v>1</v>
      </c>
      <c r="P105" s="925"/>
      <c r="Q105" s="925"/>
      <c r="R105" s="928"/>
      <c r="S105" s="928"/>
      <c r="T105" s="928"/>
    </row>
    <row r="106" spans="2:20" s="460" customFormat="1">
      <c r="B106" s="457"/>
      <c r="C106" s="457"/>
      <c r="D106" s="462"/>
      <c r="E106" s="462"/>
      <c r="F106" s="462"/>
      <c r="G106" s="444" t="s">
        <v>320</v>
      </c>
      <c r="H106" s="445">
        <f>0.7728</f>
        <v>0.77280000000000004</v>
      </c>
      <c r="I106" s="446" t="s">
        <v>5</v>
      </c>
      <c r="J106" s="445"/>
      <c r="K106" s="458">
        <f t="shared" si="2"/>
        <v>0.11323804627249356</v>
      </c>
      <c r="L106" s="459"/>
      <c r="M106" s="459"/>
      <c r="N106" s="458">
        <f>K106+M106</f>
        <v>0.11323804627249356</v>
      </c>
      <c r="O106" s="444" t="s">
        <v>1</v>
      </c>
      <c r="P106" s="926"/>
      <c r="Q106" s="926"/>
      <c r="R106" s="929"/>
      <c r="S106" s="929"/>
      <c r="T106" s="929"/>
    </row>
    <row r="107" spans="2:20" s="460" customFormat="1">
      <c r="B107" s="457"/>
      <c r="C107" s="457"/>
      <c r="D107" s="442" t="s">
        <v>321</v>
      </c>
      <c r="E107" s="442" t="s">
        <v>322</v>
      </c>
      <c r="F107" s="442" t="s">
        <v>2</v>
      </c>
      <c r="G107" s="444"/>
      <c r="H107" s="445">
        <f>0.62/1.17</f>
        <v>0.52991452991452992</v>
      </c>
      <c r="I107" s="446" t="s">
        <v>5</v>
      </c>
      <c r="J107" s="445"/>
      <c r="K107" s="458">
        <f t="shared" si="2"/>
        <v>7.7648144486190743E-2</v>
      </c>
      <c r="L107" s="459">
        <v>0</v>
      </c>
      <c r="M107" s="459">
        <v>0</v>
      </c>
      <c r="N107" s="458">
        <f t="shared" si="3"/>
        <v>7.7648144486190743E-2</v>
      </c>
      <c r="O107" s="442" t="s">
        <v>1</v>
      </c>
      <c r="P107" s="924">
        <v>1</v>
      </c>
      <c r="Q107" s="924">
        <v>14</v>
      </c>
      <c r="R107" s="927" t="s">
        <v>240</v>
      </c>
      <c r="S107" s="927" t="s">
        <v>317</v>
      </c>
      <c r="T107" s="927" t="s">
        <v>318</v>
      </c>
    </row>
    <row r="108" spans="2:20" s="460" customFormat="1">
      <c r="B108" s="457"/>
      <c r="C108" s="457"/>
      <c r="D108" s="461"/>
      <c r="E108" s="461"/>
      <c r="F108" s="461"/>
      <c r="G108" s="444" t="s">
        <v>319</v>
      </c>
      <c r="H108" s="445">
        <f>0.6/1.17</f>
        <v>0.51282051282051289</v>
      </c>
      <c r="I108" s="446" t="s">
        <v>5</v>
      </c>
      <c r="J108" s="445"/>
      <c r="K108" s="458">
        <f t="shared" si="2"/>
        <v>7.5143365631797507E-2</v>
      </c>
      <c r="L108" s="463"/>
      <c r="M108" s="463"/>
      <c r="N108" s="458">
        <f t="shared" si="3"/>
        <v>7.5143365631797507E-2</v>
      </c>
      <c r="O108" s="444" t="s">
        <v>1</v>
      </c>
      <c r="P108" s="925"/>
      <c r="Q108" s="925"/>
      <c r="R108" s="928"/>
      <c r="S108" s="928"/>
      <c r="T108" s="928"/>
    </row>
    <row r="109" spans="2:20" s="460" customFormat="1">
      <c r="B109" s="462"/>
      <c r="C109" s="462"/>
      <c r="D109" s="462"/>
      <c r="E109" s="462"/>
      <c r="F109" s="462"/>
      <c r="G109" s="444" t="s">
        <v>320</v>
      </c>
      <c r="H109" s="445">
        <f>0.672</f>
        <v>0.67200000000000004</v>
      </c>
      <c r="I109" s="446" t="s">
        <v>5</v>
      </c>
      <c r="J109" s="445"/>
      <c r="K109" s="458">
        <f t="shared" si="2"/>
        <v>9.8467866323907444E-2</v>
      </c>
      <c r="L109" s="463"/>
      <c r="M109" s="463"/>
      <c r="N109" s="458">
        <f>K109+M109</f>
        <v>9.8467866323907444E-2</v>
      </c>
      <c r="O109" s="444" t="s">
        <v>1</v>
      </c>
      <c r="P109" s="926"/>
      <c r="Q109" s="926"/>
      <c r="R109" s="929"/>
      <c r="S109" s="929"/>
      <c r="T109" s="929"/>
    </row>
    <row r="110" spans="2:20" s="460" customFormat="1">
      <c r="B110" s="462">
        <v>8</v>
      </c>
      <c r="C110" s="442" t="s">
        <v>323</v>
      </c>
      <c r="D110" s="442" t="s">
        <v>324</v>
      </c>
      <c r="E110" s="442" t="s">
        <v>325</v>
      </c>
      <c r="F110" s="442" t="s">
        <v>243</v>
      </c>
      <c r="G110" s="444"/>
      <c r="H110" s="389">
        <f>0.226</f>
        <v>0.22600000000000001</v>
      </c>
      <c r="I110" s="446" t="s">
        <v>5</v>
      </c>
      <c r="J110" s="389"/>
      <c r="K110" s="458">
        <f t="shared" si="2"/>
        <v>3.3115681233933159E-2</v>
      </c>
      <c r="L110" s="463">
        <v>0</v>
      </c>
      <c r="M110" s="463">
        <v>0</v>
      </c>
      <c r="N110" s="458">
        <f t="shared" si="3"/>
        <v>3.3115681233933159E-2</v>
      </c>
      <c r="O110" s="444" t="s">
        <v>1</v>
      </c>
      <c r="P110" s="443">
        <v>1</v>
      </c>
      <c r="Q110" s="443">
        <v>21</v>
      </c>
      <c r="R110" s="464" t="s">
        <v>241</v>
      </c>
      <c r="S110" s="442" t="s">
        <v>317</v>
      </c>
      <c r="T110" s="464" t="s">
        <v>318</v>
      </c>
    </row>
    <row r="111" spans="2:20">
      <c r="B111" s="162">
        <v>9</v>
      </c>
      <c r="C111" s="162" t="s">
        <v>326</v>
      </c>
      <c r="D111" s="162" t="s">
        <v>749</v>
      </c>
      <c r="E111" s="162" t="s">
        <v>327</v>
      </c>
      <c r="F111" s="162" t="s">
        <v>244</v>
      </c>
      <c r="G111" s="162"/>
      <c r="H111" s="1">
        <v>7.3999999999999996E-2</v>
      </c>
      <c r="I111" s="167" t="s">
        <v>328</v>
      </c>
      <c r="J111" s="1"/>
      <c r="K111" s="166">
        <f>H111/7.8</f>
        <v>9.4871794871794861E-3</v>
      </c>
      <c r="L111" s="238">
        <v>0</v>
      </c>
      <c r="M111" s="238">
        <v>0</v>
      </c>
      <c r="N111" s="166">
        <f t="shared" si="3"/>
        <v>9.4871794871794861E-3</v>
      </c>
      <c r="O111" s="162" t="s">
        <v>1</v>
      </c>
      <c r="P111" s="167">
        <v>1</v>
      </c>
      <c r="Q111" s="167" t="s">
        <v>329</v>
      </c>
      <c r="R111" s="287" t="s">
        <v>240</v>
      </c>
      <c r="S111" s="162" t="s">
        <v>317</v>
      </c>
      <c r="T111" s="287"/>
    </row>
    <row r="112" spans="2:20" s="898" customFormat="1">
      <c r="B112" s="892">
        <v>10</v>
      </c>
      <c r="C112" s="892" t="s">
        <v>750</v>
      </c>
      <c r="D112" s="892" t="s">
        <v>593</v>
      </c>
      <c r="E112" s="892" t="s">
        <v>592</v>
      </c>
      <c r="F112" s="892" t="s">
        <v>245</v>
      </c>
      <c r="G112" s="892"/>
      <c r="H112" s="893">
        <v>1.7000000000000001E-2</v>
      </c>
      <c r="I112" s="894" t="s">
        <v>3</v>
      </c>
      <c r="J112" s="893"/>
      <c r="K112" s="895">
        <f>H112</f>
        <v>1.7000000000000001E-2</v>
      </c>
      <c r="L112" s="896">
        <v>1E-3</v>
      </c>
      <c r="M112" s="896">
        <f>L112*2</f>
        <v>2E-3</v>
      </c>
      <c r="N112" s="895">
        <f>L112+K112</f>
        <v>1.8000000000000002E-2</v>
      </c>
      <c r="O112" s="892" t="s">
        <v>1</v>
      </c>
      <c r="P112" s="894">
        <v>2</v>
      </c>
      <c r="Q112" s="894">
        <v>49</v>
      </c>
      <c r="R112" s="897" t="s">
        <v>242</v>
      </c>
      <c r="S112" s="892" t="s">
        <v>330</v>
      </c>
      <c r="T112" s="897"/>
    </row>
    <row r="113" spans="2:20" s="898" customFormat="1">
      <c r="B113" s="899"/>
      <c r="C113" s="899"/>
      <c r="D113" s="892"/>
      <c r="E113" s="892"/>
      <c r="F113" s="892"/>
      <c r="G113" s="900" t="s">
        <v>319</v>
      </c>
      <c r="H113" s="901">
        <v>1.6500000000000001E-2</v>
      </c>
      <c r="I113" s="902" t="s">
        <v>3</v>
      </c>
      <c r="J113" s="901"/>
      <c r="K113" s="903">
        <f>H113</f>
        <v>1.6500000000000001E-2</v>
      </c>
      <c r="L113" s="904">
        <v>1E-3</v>
      </c>
      <c r="M113" s="904">
        <f>L113*2</f>
        <v>2E-3</v>
      </c>
      <c r="N113" s="903">
        <f>L113+K113</f>
        <v>1.7500000000000002E-2</v>
      </c>
      <c r="O113" s="900" t="s">
        <v>1</v>
      </c>
      <c r="P113" s="894">
        <v>2</v>
      </c>
      <c r="Q113" s="894">
        <v>49</v>
      </c>
      <c r="R113" s="897" t="s">
        <v>242</v>
      </c>
      <c r="S113" s="892" t="s">
        <v>330</v>
      </c>
      <c r="T113" s="897"/>
    </row>
    <row r="114" spans="2:20" s="435" customFormat="1">
      <c r="B114" s="176">
        <v>11</v>
      </c>
      <c r="C114" s="672" t="s">
        <v>751</v>
      </c>
      <c r="D114" s="162" t="s">
        <v>595</v>
      </c>
      <c r="E114" s="162" t="s">
        <v>594</v>
      </c>
      <c r="F114" s="162" t="s">
        <v>596</v>
      </c>
      <c r="G114" s="162" t="s">
        <v>597</v>
      </c>
      <c r="H114" s="1">
        <v>1.6500000000000001E-2</v>
      </c>
      <c r="I114" s="167" t="s">
        <v>598</v>
      </c>
      <c r="J114" s="437"/>
      <c r="K114" s="439"/>
      <c r="L114" s="440"/>
      <c r="M114" s="440"/>
      <c r="N114" s="439"/>
      <c r="O114" s="436"/>
      <c r="P114" s="438">
        <v>2</v>
      </c>
      <c r="Q114" s="438">
        <v>49</v>
      </c>
      <c r="R114" s="441"/>
      <c r="S114" s="436"/>
      <c r="T114" s="441"/>
    </row>
    <row r="115" spans="2:20">
      <c r="B115" s="239" t="s">
        <v>331</v>
      </c>
      <c r="C115" s="239"/>
      <c r="D115" s="239"/>
      <c r="E115" s="239"/>
      <c r="F115" s="239"/>
      <c r="G115" s="239"/>
      <c r="H115" s="2"/>
      <c r="I115" s="240"/>
      <c r="J115" s="2"/>
      <c r="K115" s="241"/>
      <c r="L115" s="242"/>
      <c r="M115" s="242"/>
      <c r="N115" s="241"/>
      <c r="O115" s="239"/>
      <c r="P115" s="240"/>
      <c r="Q115" s="240"/>
      <c r="R115" s="294"/>
      <c r="S115" s="239"/>
      <c r="T115" s="294"/>
    </row>
    <row r="116" spans="2:20" hidden="1">
      <c r="B116" s="162"/>
      <c r="C116" s="162" t="s">
        <v>332</v>
      </c>
      <c r="D116" s="162" t="s">
        <v>333</v>
      </c>
      <c r="E116" s="162" t="s">
        <v>332</v>
      </c>
      <c r="F116" s="162" t="s">
        <v>334</v>
      </c>
      <c r="G116" s="162" t="s">
        <v>335</v>
      </c>
      <c r="H116" s="1">
        <v>6.1179999999999998E-2</v>
      </c>
      <c r="I116" s="167" t="s">
        <v>3</v>
      </c>
      <c r="J116" s="1"/>
      <c r="K116" s="166"/>
      <c r="L116" s="238"/>
      <c r="M116" s="238"/>
      <c r="N116" s="166"/>
      <c r="O116" s="162"/>
      <c r="P116" s="167"/>
      <c r="Q116" s="167"/>
      <c r="R116" s="287"/>
      <c r="S116" s="162"/>
      <c r="T116" s="287"/>
    </row>
    <row r="117" spans="2:20" hidden="1">
      <c r="B117" s="156"/>
      <c r="C117" s="156"/>
      <c r="D117" s="163"/>
      <c r="E117" s="163"/>
      <c r="F117" s="163"/>
      <c r="G117" s="162" t="s">
        <v>336</v>
      </c>
      <c r="H117" s="1">
        <v>6.1850000000000002E-2</v>
      </c>
      <c r="I117" s="167" t="s">
        <v>3</v>
      </c>
      <c r="J117" s="1"/>
      <c r="K117" s="166"/>
      <c r="L117" s="238"/>
      <c r="M117" s="238"/>
      <c r="N117" s="166"/>
      <c r="O117" s="162"/>
      <c r="P117" s="167"/>
      <c r="Q117" s="167"/>
      <c r="R117" s="287"/>
      <c r="S117" s="162"/>
      <c r="T117" s="287"/>
    </row>
    <row r="118" spans="2:20" hidden="1">
      <c r="B118" s="163"/>
      <c r="C118" s="163"/>
      <c r="D118" s="163"/>
      <c r="E118" s="163"/>
      <c r="F118" s="163"/>
      <c r="G118" s="162" t="s">
        <v>337</v>
      </c>
      <c r="H118" s="1">
        <v>6.3240000000000005E-2</v>
      </c>
      <c r="I118" s="167" t="s">
        <v>3</v>
      </c>
      <c r="J118" s="1"/>
      <c r="K118" s="166"/>
      <c r="L118" s="238"/>
      <c r="M118" s="166">
        <f>6500/21000/7.78/10</f>
        <v>3.9784551352674748E-3</v>
      </c>
      <c r="N118" s="166"/>
      <c r="O118" s="162" t="s">
        <v>1</v>
      </c>
      <c r="P118" s="167">
        <v>0.1</v>
      </c>
      <c r="Q118" s="167"/>
      <c r="R118" s="287"/>
      <c r="S118" s="162"/>
      <c r="T118" s="287"/>
    </row>
    <row r="119" spans="2:20" hidden="1">
      <c r="B119" s="176"/>
      <c r="C119" s="176"/>
      <c r="D119" s="176"/>
      <c r="E119" s="176"/>
      <c r="F119" s="176"/>
      <c r="G119" s="162" t="s">
        <v>338</v>
      </c>
      <c r="H119" s="1">
        <v>6.2149999999999997E-2</v>
      </c>
      <c r="I119" s="167" t="s">
        <v>3</v>
      </c>
      <c r="J119" s="1"/>
      <c r="K119" s="166"/>
      <c r="L119" s="238"/>
      <c r="M119" s="166"/>
      <c r="N119" s="166"/>
      <c r="O119" s="162" t="s">
        <v>1</v>
      </c>
      <c r="P119" s="167">
        <v>0.1</v>
      </c>
      <c r="Q119" s="167"/>
      <c r="R119" s="287"/>
      <c r="S119" s="162"/>
      <c r="T119" s="287"/>
    </row>
    <row r="120" spans="2:20">
      <c r="M120" s="243"/>
    </row>
    <row r="121" spans="2:20">
      <c r="B121" s="148" t="s">
        <v>339</v>
      </c>
    </row>
    <row r="123" spans="2:20">
      <c r="B123" s="147" t="s">
        <v>340</v>
      </c>
    </row>
    <row r="124" spans="2:20">
      <c r="C124" s="148" t="s">
        <v>341</v>
      </c>
    </row>
    <row r="125" spans="2:20">
      <c r="C125" s="148" t="s">
        <v>342</v>
      </c>
    </row>
    <row r="126" spans="2:20">
      <c r="C126" s="148" t="s">
        <v>343</v>
      </c>
    </row>
    <row r="127" spans="2:20">
      <c r="C127" s="148" t="s">
        <v>344</v>
      </c>
    </row>
    <row r="128" spans="2:20">
      <c r="C128" s="148" t="s">
        <v>345</v>
      </c>
    </row>
    <row r="129" spans="3:4">
      <c r="C129" s="148" t="s">
        <v>346</v>
      </c>
    </row>
    <row r="130" spans="3:4">
      <c r="C130" s="148" t="s">
        <v>347</v>
      </c>
    </row>
    <row r="131" spans="3:4">
      <c r="C131" s="148" t="s">
        <v>348</v>
      </c>
    </row>
    <row r="132" spans="3:4">
      <c r="C132" s="148" t="s">
        <v>349</v>
      </c>
      <c r="D132" s="148" t="s">
        <v>350</v>
      </c>
    </row>
    <row r="133" spans="3:4">
      <c r="D133" s="148" t="s">
        <v>351</v>
      </c>
    </row>
    <row r="134" spans="3:4">
      <c r="C134" s="148" t="s">
        <v>352</v>
      </c>
      <c r="D134" s="148" t="s">
        <v>353</v>
      </c>
    </row>
    <row r="135" spans="3:4">
      <c r="C135" s="148" t="s">
        <v>354</v>
      </c>
    </row>
    <row r="136" spans="3:4">
      <c r="D136" s="148" t="s">
        <v>355</v>
      </c>
    </row>
    <row r="137" spans="3:4" ht="12" customHeight="1">
      <c r="C137" s="148" t="s">
        <v>356</v>
      </c>
    </row>
    <row r="138" spans="3:4">
      <c r="C138" s="244" t="s">
        <v>357</v>
      </c>
    </row>
    <row r="139" spans="3:4">
      <c r="C139" s="148" t="s">
        <v>358</v>
      </c>
      <c r="D139" s="148" t="s">
        <v>359</v>
      </c>
    </row>
    <row r="140" spans="3:4">
      <c r="C140" s="148" t="s">
        <v>360</v>
      </c>
      <c r="D140" s="148" t="s">
        <v>361</v>
      </c>
    </row>
    <row r="141" spans="3:4">
      <c r="C141" s="148" t="s">
        <v>362</v>
      </c>
      <c r="D141" s="148" t="s">
        <v>363</v>
      </c>
    </row>
    <row r="142" spans="3:4">
      <c r="C142" s="148" t="s">
        <v>364</v>
      </c>
      <c r="D142" s="148" t="s">
        <v>365</v>
      </c>
    </row>
    <row r="143" spans="3:4">
      <c r="C143" s="148" t="s">
        <v>366</v>
      </c>
      <c r="D143" s="148" t="s">
        <v>367</v>
      </c>
    </row>
    <row r="144" spans="3:4">
      <c r="D144" s="148" t="s">
        <v>368</v>
      </c>
    </row>
    <row r="145" spans="3:20">
      <c r="D145" s="148" t="s">
        <v>369</v>
      </c>
    </row>
    <row r="146" spans="3:20">
      <c r="C146" s="148" t="s">
        <v>370</v>
      </c>
      <c r="D146" s="148" t="s">
        <v>371</v>
      </c>
    </row>
    <row r="147" spans="3:20">
      <c r="C147" s="148" t="s">
        <v>372</v>
      </c>
      <c r="D147" s="148" t="s">
        <v>373</v>
      </c>
    </row>
    <row r="148" spans="3:20">
      <c r="C148" s="148" t="s">
        <v>374</v>
      </c>
    </row>
    <row r="149" spans="3:20">
      <c r="C149" s="148" t="s">
        <v>375</v>
      </c>
    </row>
    <row r="150" spans="3:20">
      <c r="C150" s="148" t="s">
        <v>376</v>
      </c>
      <c r="D150" s="148" t="s">
        <v>377</v>
      </c>
    </row>
    <row r="151" spans="3:20">
      <c r="C151" s="148" t="s">
        <v>378</v>
      </c>
    </row>
    <row r="152" spans="3:20">
      <c r="C152" s="148" t="s">
        <v>379</v>
      </c>
    </row>
    <row r="153" spans="3:20">
      <c r="C153" s="148" t="s">
        <v>380</v>
      </c>
    </row>
    <row r="154" spans="3:20">
      <c r="C154" s="148" t="s">
        <v>381</v>
      </c>
    </row>
    <row r="155" spans="3:20">
      <c r="C155" s="148" t="s">
        <v>382</v>
      </c>
    </row>
    <row r="156" spans="3:20">
      <c r="C156" s="148" t="s">
        <v>383</v>
      </c>
    </row>
    <row r="157" spans="3:20">
      <c r="D157" s="148" t="s">
        <v>384</v>
      </c>
    </row>
    <row r="158" spans="3:20">
      <c r="C158" s="148" t="s">
        <v>385</v>
      </c>
    </row>
    <row r="159" spans="3:20" s="245" customFormat="1">
      <c r="C159" s="148" t="s">
        <v>386</v>
      </c>
      <c r="D159" s="148" t="s">
        <v>147</v>
      </c>
      <c r="E159" s="148"/>
      <c r="I159" s="246"/>
      <c r="P159" s="246"/>
      <c r="Q159" s="246"/>
      <c r="R159" s="244"/>
      <c r="T159" s="295"/>
    </row>
    <row r="160" spans="3:20" s="245" customFormat="1">
      <c r="C160" s="244" t="s">
        <v>387</v>
      </c>
      <c r="D160" s="148" t="s">
        <v>388</v>
      </c>
      <c r="E160" s="148"/>
      <c r="F160" s="148"/>
      <c r="G160" s="148"/>
      <c r="H160" s="148"/>
      <c r="I160" s="246"/>
      <c r="J160" s="148"/>
      <c r="P160" s="246"/>
      <c r="Q160" s="246"/>
      <c r="R160" s="244"/>
      <c r="T160" s="295"/>
    </row>
    <row r="161" spans="3:6">
      <c r="C161" s="148" t="s">
        <v>195</v>
      </c>
      <c r="D161" s="148" t="s">
        <v>196</v>
      </c>
    </row>
    <row r="162" spans="3:6">
      <c r="C162" s="148" t="s">
        <v>234</v>
      </c>
      <c r="D162" s="148" t="s">
        <v>196</v>
      </c>
    </row>
    <row r="163" spans="3:6">
      <c r="C163" s="148" t="s">
        <v>232</v>
      </c>
      <c r="D163" s="148" t="s">
        <v>233</v>
      </c>
      <c r="F163" s="245"/>
    </row>
    <row r="164" spans="3:6">
      <c r="C164" s="245" t="s">
        <v>403</v>
      </c>
      <c r="D164" s="148" t="s">
        <v>404</v>
      </c>
    </row>
  </sheetData>
  <mergeCells count="33">
    <mergeCell ref="T87:T88"/>
    <mergeCell ref="D24:D25"/>
    <mergeCell ref="K3:K5"/>
    <mergeCell ref="L3:L5"/>
    <mergeCell ref="M3:M5"/>
    <mergeCell ref="N3:N5"/>
    <mergeCell ref="Q3:Q5"/>
    <mergeCell ref="B6:B10"/>
    <mergeCell ref="M14:M22"/>
    <mergeCell ref="R14:R23"/>
    <mergeCell ref="S14:S23"/>
    <mergeCell ref="T14:T23"/>
    <mergeCell ref="P26:P31"/>
    <mergeCell ref="Q26:Q31"/>
    <mergeCell ref="R26:R31"/>
    <mergeCell ref="S26:S31"/>
    <mergeCell ref="T26:T31"/>
    <mergeCell ref="T107:T109"/>
    <mergeCell ref="P104:P106"/>
    <mergeCell ref="Q104:Q106"/>
    <mergeCell ref="R104:R106"/>
    <mergeCell ref="S104:S106"/>
    <mergeCell ref="T104:T106"/>
    <mergeCell ref="D92:D93"/>
    <mergeCell ref="S75:S76"/>
    <mergeCell ref="P107:P109"/>
    <mergeCell ref="Q107:Q109"/>
    <mergeCell ref="R107:R109"/>
    <mergeCell ref="S107:S109"/>
    <mergeCell ref="P87:P88"/>
    <mergeCell ref="Q87:Q88"/>
    <mergeCell ref="R87:R88"/>
    <mergeCell ref="S87:S88"/>
  </mergeCells>
  <phoneticPr fontId="3" type="noConversion"/>
  <pageMargins left="0.5" right="0.3" top="0.27" bottom="0.55000000000000004" header="0.22" footer="0.5"/>
  <pageSetup paperSize="9" scale="5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89"/>
  <sheetViews>
    <sheetView showGridLines="0" workbookViewId="0">
      <pane xSplit="4" ySplit="2" topLeftCell="E369" activePane="bottomRight" state="frozen"/>
      <selection activeCell="A47" sqref="A47"/>
      <selection pane="topRight" activeCell="A47" sqref="A47"/>
      <selection pane="bottomLeft" activeCell="A47" sqref="A47"/>
      <selection pane="bottomRight" activeCell="A368" sqref="A368"/>
    </sheetView>
  </sheetViews>
  <sheetFormatPr defaultColWidth="9" defaultRowHeight="12"/>
  <cols>
    <col min="1" max="1" width="12.19921875" style="62" bestFit="1" customWidth="1"/>
    <col min="2" max="2" width="30.69921875" style="62" customWidth="1"/>
    <col min="3" max="3" width="13.69921875" style="62" customWidth="1"/>
    <col min="4" max="4" width="7.3984375" style="62" customWidth="1"/>
    <col min="5" max="5" width="21.8984375" style="62" customWidth="1"/>
    <col min="6" max="6" width="7.5" style="63" customWidth="1"/>
    <col min="7" max="7" width="3.5" style="62" customWidth="1"/>
    <col min="8" max="8" width="4.3984375" style="64" customWidth="1"/>
    <col min="9" max="9" width="8" style="64" hidden="1" customWidth="1"/>
    <col min="10" max="10" width="6.19921875" style="64" customWidth="1"/>
    <col min="11" max="11" width="9.19921875" style="318" customWidth="1"/>
    <col min="12" max="12" width="6.19921875" style="66" customWidth="1"/>
    <col min="13" max="13" width="11.8984375" style="62" customWidth="1"/>
    <col min="14" max="16384" width="9" style="62"/>
  </cols>
  <sheetData>
    <row r="1" spans="1:13" ht="12.6" thickBot="1"/>
    <row r="2" spans="1:13" s="137" customFormat="1" ht="24.6" thickBot="1">
      <c r="A2" s="331" t="s">
        <v>22</v>
      </c>
      <c r="B2" s="332" t="s">
        <v>23</v>
      </c>
      <c r="C2" s="332" t="s">
        <v>114</v>
      </c>
      <c r="D2" s="332" t="s">
        <v>24</v>
      </c>
      <c r="E2" s="332" t="s">
        <v>25</v>
      </c>
      <c r="F2" s="333" t="s">
        <v>26</v>
      </c>
      <c r="G2" s="332" t="s">
        <v>27</v>
      </c>
      <c r="H2" s="332" t="s">
        <v>28</v>
      </c>
      <c r="I2" s="332" t="s">
        <v>115</v>
      </c>
      <c r="J2" s="332" t="s">
        <v>29</v>
      </c>
      <c r="K2" s="319" t="s">
        <v>511</v>
      </c>
      <c r="L2" s="332" t="s">
        <v>30</v>
      </c>
      <c r="M2" s="334" t="s">
        <v>116</v>
      </c>
    </row>
    <row r="3" spans="1:13" s="72" customFormat="1" hidden="1">
      <c r="A3" s="67" t="s">
        <v>31</v>
      </c>
      <c r="B3" s="68" t="s">
        <v>32</v>
      </c>
      <c r="C3" s="68" t="s">
        <v>506</v>
      </c>
      <c r="D3" s="68" t="s">
        <v>33</v>
      </c>
      <c r="E3" s="68" t="s">
        <v>34</v>
      </c>
      <c r="F3" s="69">
        <v>0</v>
      </c>
      <c r="G3" s="68" t="s">
        <v>35</v>
      </c>
      <c r="H3" s="127">
        <v>1</v>
      </c>
      <c r="I3" s="127"/>
      <c r="J3" s="127">
        <v>1.18</v>
      </c>
      <c r="K3" s="320">
        <f>J3/H3</f>
        <v>1.18</v>
      </c>
      <c r="L3" s="70" t="s">
        <v>36</v>
      </c>
      <c r="M3" s="71"/>
    </row>
    <row r="4" spans="1:13" s="72" customFormat="1" hidden="1">
      <c r="A4" s="73"/>
      <c r="B4" s="74"/>
      <c r="C4" s="74"/>
      <c r="D4" s="74"/>
      <c r="E4" s="74"/>
      <c r="F4" s="75">
        <v>10000</v>
      </c>
      <c r="G4" s="74" t="s">
        <v>35</v>
      </c>
      <c r="H4" s="76">
        <v>1</v>
      </c>
      <c r="I4" s="76"/>
      <c r="J4" s="76">
        <v>1.18</v>
      </c>
      <c r="K4" s="321">
        <f t="shared" ref="K4:K67" si="0">J4/H4</f>
        <v>1.18</v>
      </c>
      <c r="L4" s="77" t="s">
        <v>36</v>
      </c>
      <c r="M4" s="78"/>
    </row>
    <row r="5" spans="1:13" s="72" customFormat="1" hidden="1">
      <c r="A5" s="73"/>
      <c r="B5" s="74"/>
      <c r="C5" s="74"/>
      <c r="D5" s="74"/>
      <c r="E5" s="74"/>
      <c r="F5" s="75">
        <v>20000</v>
      </c>
      <c r="G5" s="74" t="s">
        <v>35</v>
      </c>
      <c r="H5" s="76">
        <v>1</v>
      </c>
      <c r="I5" s="76"/>
      <c r="J5" s="76">
        <v>1.1000000000000001</v>
      </c>
      <c r="K5" s="321">
        <f t="shared" si="0"/>
        <v>1.1000000000000001</v>
      </c>
      <c r="L5" s="77" t="s">
        <v>36</v>
      </c>
      <c r="M5" s="78"/>
    </row>
    <row r="6" spans="1:13" s="72" customFormat="1" hidden="1">
      <c r="A6" s="73"/>
      <c r="B6" s="74"/>
      <c r="C6" s="74"/>
      <c r="D6" s="74"/>
      <c r="E6" s="74"/>
      <c r="F6" s="75">
        <v>50000</v>
      </c>
      <c r="G6" s="74" t="s">
        <v>35</v>
      </c>
      <c r="H6" s="76">
        <v>1</v>
      </c>
      <c r="I6" s="76"/>
      <c r="J6" s="76">
        <v>1.06</v>
      </c>
      <c r="K6" s="321">
        <f t="shared" si="0"/>
        <v>1.06</v>
      </c>
      <c r="L6" s="77" t="s">
        <v>36</v>
      </c>
      <c r="M6" s="78"/>
    </row>
    <row r="7" spans="1:13" s="72" customFormat="1" hidden="1">
      <c r="A7" s="73"/>
      <c r="B7" s="74"/>
      <c r="C7" s="74"/>
      <c r="D7" s="74"/>
      <c r="E7" s="74"/>
      <c r="F7" s="75">
        <v>100000</v>
      </c>
      <c r="G7" s="74" t="s">
        <v>35</v>
      </c>
      <c r="H7" s="76">
        <v>1</v>
      </c>
      <c r="I7" s="76"/>
      <c r="J7" s="76">
        <v>1.02</v>
      </c>
      <c r="K7" s="321">
        <f t="shared" si="0"/>
        <v>1.02</v>
      </c>
      <c r="L7" s="77" t="s">
        <v>36</v>
      </c>
      <c r="M7" s="78"/>
    </row>
    <row r="8" spans="1:13" s="72" customFormat="1" hidden="1">
      <c r="A8" s="73"/>
      <c r="B8" s="74"/>
      <c r="C8" s="74"/>
      <c r="D8" s="74"/>
      <c r="E8" s="74"/>
      <c r="F8" s="75">
        <v>300000</v>
      </c>
      <c r="G8" s="74" t="s">
        <v>35</v>
      </c>
      <c r="H8" s="76">
        <v>1</v>
      </c>
      <c r="I8" s="76"/>
      <c r="J8" s="76">
        <v>0.99</v>
      </c>
      <c r="K8" s="321">
        <f t="shared" si="0"/>
        <v>0.99</v>
      </c>
      <c r="L8" s="77" t="s">
        <v>36</v>
      </c>
      <c r="M8" s="78"/>
    </row>
    <row r="9" spans="1:13" s="72" customFormat="1" ht="12.6" hidden="1" thickBot="1">
      <c r="A9" s="79"/>
      <c r="B9" s="80"/>
      <c r="C9" s="80"/>
      <c r="D9" s="80"/>
      <c r="E9" s="80"/>
      <c r="F9" s="81">
        <v>500000</v>
      </c>
      <c r="G9" s="80" t="s">
        <v>35</v>
      </c>
      <c r="H9" s="82">
        <v>1</v>
      </c>
      <c r="I9" s="82"/>
      <c r="J9" s="82">
        <v>0.97</v>
      </c>
      <c r="K9" s="322">
        <f t="shared" si="0"/>
        <v>0.97</v>
      </c>
      <c r="L9" s="83" t="s">
        <v>36</v>
      </c>
      <c r="M9" s="84"/>
    </row>
    <row r="10" spans="1:13" s="72" customFormat="1" hidden="1">
      <c r="A10" s="67" t="s">
        <v>37</v>
      </c>
      <c r="B10" s="68" t="s">
        <v>38</v>
      </c>
      <c r="C10" s="68" t="s">
        <v>507</v>
      </c>
      <c r="D10" s="68" t="s">
        <v>33</v>
      </c>
      <c r="E10" s="68" t="s">
        <v>34</v>
      </c>
      <c r="F10" s="69">
        <v>0</v>
      </c>
      <c r="G10" s="68" t="s">
        <v>35</v>
      </c>
      <c r="H10" s="127">
        <v>1</v>
      </c>
      <c r="I10" s="127"/>
      <c r="J10" s="127">
        <v>1.18</v>
      </c>
      <c r="K10" s="320">
        <f t="shared" si="0"/>
        <v>1.18</v>
      </c>
      <c r="L10" s="70" t="s">
        <v>36</v>
      </c>
      <c r="M10" s="71"/>
    </row>
    <row r="11" spans="1:13" s="72" customFormat="1" hidden="1">
      <c r="A11" s="73"/>
      <c r="B11" s="74"/>
      <c r="C11" s="74"/>
      <c r="D11" s="74"/>
      <c r="E11" s="74"/>
      <c r="F11" s="75">
        <v>10000</v>
      </c>
      <c r="G11" s="74" t="s">
        <v>35</v>
      </c>
      <c r="H11" s="76">
        <v>1</v>
      </c>
      <c r="I11" s="76"/>
      <c r="J11" s="76">
        <v>1.18</v>
      </c>
      <c r="K11" s="321">
        <f t="shared" si="0"/>
        <v>1.18</v>
      </c>
      <c r="L11" s="77" t="s">
        <v>36</v>
      </c>
      <c r="M11" s="78"/>
    </row>
    <row r="12" spans="1:13" s="72" customFormat="1" hidden="1">
      <c r="A12" s="73"/>
      <c r="B12" s="74"/>
      <c r="C12" s="74"/>
      <c r="D12" s="74"/>
      <c r="E12" s="74"/>
      <c r="F12" s="75">
        <v>20000</v>
      </c>
      <c r="G12" s="74" t="s">
        <v>35</v>
      </c>
      <c r="H12" s="76">
        <v>1</v>
      </c>
      <c r="I12" s="76"/>
      <c r="J12" s="76">
        <v>1.1000000000000001</v>
      </c>
      <c r="K12" s="321">
        <f t="shared" si="0"/>
        <v>1.1000000000000001</v>
      </c>
      <c r="L12" s="77" t="s">
        <v>36</v>
      </c>
      <c r="M12" s="78"/>
    </row>
    <row r="13" spans="1:13" s="72" customFormat="1" hidden="1">
      <c r="A13" s="73"/>
      <c r="B13" s="74"/>
      <c r="C13" s="74"/>
      <c r="D13" s="74"/>
      <c r="E13" s="74"/>
      <c r="F13" s="75">
        <v>50000</v>
      </c>
      <c r="G13" s="74" t="s">
        <v>35</v>
      </c>
      <c r="H13" s="76">
        <v>1</v>
      </c>
      <c r="I13" s="76"/>
      <c r="J13" s="76">
        <v>1.06</v>
      </c>
      <c r="K13" s="321">
        <f t="shared" si="0"/>
        <v>1.06</v>
      </c>
      <c r="L13" s="77" t="s">
        <v>36</v>
      </c>
      <c r="M13" s="78"/>
    </row>
    <row r="14" spans="1:13" s="72" customFormat="1" hidden="1">
      <c r="A14" s="73"/>
      <c r="B14" s="74"/>
      <c r="C14" s="74"/>
      <c r="D14" s="74"/>
      <c r="E14" s="74"/>
      <c r="F14" s="75">
        <v>100000</v>
      </c>
      <c r="G14" s="74" t="s">
        <v>35</v>
      </c>
      <c r="H14" s="76">
        <v>1</v>
      </c>
      <c r="I14" s="76"/>
      <c r="J14" s="76">
        <v>1.02</v>
      </c>
      <c r="K14" s="321">
        <f t="shared" si="0"/>
        <v>1.02</v>
      </c>
      <c r="L14" s="77" t="s">
        <v>36</v>
      </c>
      <c r="M14" s="78"/>
    </row>
    <row r="15" spans="1:13" s="72" customFormat="1" hidden="1">
      <c r="A15" s="73"/>
      <c r="B15" s="74"/>
      <c r="C15" s="74"/>
      <c r="D15" s="74"/>
      <c r="E15" s="74"/>
      <c r="F15" s="75">
        <v>300000</v>
      </c>
      <c r="G15" s="74" t="s">
        <v>35</v>
      </c>
      <c r="H15" s="76">
        <v>1</v>
      </c>
      <c r="I15" s="76"/>
      <c r="J15" s="76">
        <v>0.99</v>
      </c>
      <c r="K15" s="321">
        <f t="shared" si="0"/>
        <v>0.99</v>
      </c>
      <c r="L15" s="77" t="s">
        <v>36</v>
      </c>
      <c r="M15" s="78"/>
    </row>
    <row r="16" spans="1:13" s="72" customFormat="1" hidden="1">
      <c r="A16" s="73"/>
      <c r="B16" s="74"/>
      <c r="C16" s="74"/>
      <c r="D16" s="74"/>
      <c r="E16" s="74"/>
      <c r="F16" s="75">
        <v>500000</v>
      </c>
      <c r="G16" s="74" t="s">
        <v>35</v>
      </c>
      <c r="H16" s="76">
        <v>1</v>
      </c>
      <c r="I16" s="76"/>
      <c r="J16" s="76">
        <v>0.97</v>
      </c>
      <c r="K16" s="321">
        <f t="shared" si="0"/>
        <v>0.97</v>
      </c>
      <c r="L16" s="77" t="s">
        <v>36</v>
      </c>
      <c r="M16" s="78"/>
    </row>
    <row r="17" spans="1:13" s="72" customFormat="1" ht="12.6" hidden="1" thickBot="1">
      <c r="A17" s="79"/>
      <c r="B17" s="80"/>
      <c r="C17" s="80"/>
      <c r="D17" s="80"/>
      <c r="E17" s="80"/>
      <c r="F17" s="81">
        <v>0</v>
      </c>
      <c r="G17" s="80" t="s">
        <v>35</v>
      </c>
      <c r="H17" s="82">
        <v>1</v>
      </c>
      <c r="I17" s="82"/>
      <c r="J17" s="82">
        <v>2.25</v>
      </c>
      <c r="K17" s="322">
        <f t="shared" si="0"/>
        <v>2.25</v>
      </c>
      <c r="L17" s="83" t="s">
        <v>36</v>
      </c>
      <c r="M17" s="84"/>
    </row>
    <row r="18" spans="1:13" s="72" customFormat="1" hidden="1">
      <c r="A18" s="67" t="s">
        <v>39</v>
      </c>
      <c r="B18" s="68" t="s">
        <v>40</v>
      </c>
      <c r="C18" s="68" t="s">
        <v>508</v>
      </c>
      <c r="D18" s="68" t="s">
        <v>33</v>
      </c>
      <c r="E18" s="68" t="s">
        <v>34</v>
      </c>
      <c r="F18" s="69">
        <v>1000</v>
      </c>
      <c r="G18" s="68" t="s">
        <v>35</v>
      </c>
      <c r="H18" s="127">
        <v>1</v>
      </c>
      <c r="I18" s="127"/>
      <c r="J18" s="127">
        <v>2.25</v>
      </c>
      <c r="K18" s="320">
        <f t="shared" si="0"/>
        <v>2.25</v>
      </c>
      <c r="L18" s="70" t="s">
        <v>36</v>
      </c>
      <c r="M18" s="71"/>
    </row>
    <row r="19" spans="1:13" s="72" customFormat="1" hidden="1">
      <c r="A19" s="73"/>
      <c r="B19" s="74"/>
      <c r="C19" s="74"/>
      <c r="D19" s="74"/>
      <c r="E19" s="74"/>
      <c r="F19" s="75">
        <v>2000</v>
      </c>
      <c r="G19" s="74" t="s">
        <v>35</v>
      </c>
      <c r="H19" s="76">
        <v>1</v>
      </c>
      <c r="I19" s="76"/>
      <c r="J19" s="76">
        <v>1.6</v>
      </c>
      <c r="K19" s="321">
        <f t="shared" si="0"/>
        <v>1.6</v>
      </c>
      <c r="L19" s="77" t="s">
        <v>36</v>
      </c>
      <c r="M19" s="78"/>
    </row>
    <row r="20" spans="1:13" s="72" customFormat="1" hidden="1">
      <c r="A20" s="73"/>
      <c r="B20" s="74"/>
      <c r="C20" s="74"/>
      <c r="D20" s="74"/>
      <c r="E20" s="74"/>
      <c r="F20" s="75">
        <v>3000</v>
      </c>
      <c r="G20" s="74" t="s">
        <v>35</v>
      </c>
      <c r="H20" s="76">
        <v>1</v>
      </c>
      <c r="I20" s="76"/>
      <c r="J20" s="76">
        <v>1.4</v>
      </c>
      <c r="K20" s="321">
        <f t="shared" si="0"/>
        <v>1.4</v>
      </c>
      <c r="L20" s="77" t="s">
        <v>36</v>
      </c>
      <c r="M20" s="78"/>
    </row>
    <row r="21" spans="1:13" s="72" customFormat="1" hidden="1">
      <c r="A21" s="73"/>
      <c r="B21" s="74"/>
      <c r="C21" s="74"/>
      <c r="D21" s="74"/>
      <c r="E21" s="74"/>
      <c r="F21" s="75">
        <v>4000</v>
      </c>
      <c r="G21" s="74" t="s">
        <v>35</v>
      </c>
      <c r="H21" s="76">
        <v>1</v>
      </c>
      <c r="I21" s="76"/>
      <c r="J21" s="76">
        <v>1.35</v>
      </c>
      <c r="K21" s="321">
        <f t="shared" si="0"/>
        <v>1.35</v>
      </c>
      <c r="L21" s="77" t="s">
        <v>36</v>
      </c>
      <c r="M21" s="78"/>
    </row>
    <row r="22" spans="1:13" s="72" customFormat="1" hidden="1">
      <c r="A22" s="73"/>
      <c r="B22" s="74"/>
      <c r="C22" s="74"/>
      <c r="D22" s="74"/>
      <c r="E22" s="74"/>
      <c r="F22" s="75">
        <v>5000</v>
      </c>
      <c r="G22" s="74" t="s">
        <v>35</v>
      </c>
      <c r="H22" s="76">
        <v>1</v>
      </c>
      <c r="I22" s="76"/>
      <c r="J22" s="76">
        <v>1.3</v>
      </c>
      <c r="K22" s="321">
        <f t="shared" si="0"/>
        <v>1.3</v>
      </c>
      <c r="L22" s="77" t="s">
        <v>36</v>
      </c>
      <c r="M22" s="78"/>
    </row>
    <row r="23" spans="1:13" s="72" customFormat="1" hidden="1">
      <c r="A23" s="73"/>
      <c r="B23" s="74"/>
      <c r="C23" s="74"/>
      <c r="D23" s="74"/>
      <c r="E23" s="74"/>
      <c r="F23" s="75">
        <v>10000</v>
      </c>
      <c r="G23" s="74" t="s">
        <v>35</v>
      </c>
      <c r="H23" s="76">
        <v>1</v>
      </c>
      <c r="I23" s="76"/>
      <c r="J23" s="76">
        <v>1.18</v>
      </c>
      <c r="K23" s="321">
        <f t="shared" si="0"/>
        <v>1.18</v>
      </c>
      <c r="L23" s="77" t="s">
        <v>36</v>
      </c>
      <c r="M23" s="78"/>
    </row>
    <row r="24" spans="1:13" s="72" customFormat="1" hidden="1">
      <c r="A24" s="73"/>
      <c r="B24" s="74"/>
      <c r="C24" s="74"/>
      <c r="D24" s="74"/>
      <c r="E24" s="74"/>
      <c r="F24" s="75">
        <v>20000</v>
      </c>
      <c r="G24" s="74" t="s">
        <v>35</v>
      </c>
      <c r="H24" s="76">
        <v>1</v>
      </c>
      <c r="I24" s="76"/>
      <c r="J24" s="76">
        <v>1.1000000000000001</v>
      </c>
      <c r="K24" s="321">
        <f t="shared" si="0"/>
        <v>1.1000000000000001</v>
      </c>
      <c r="L24" s="77" t="s">
        <v>36</v>
      </c>
      <c r="M24" s="78"/>
    </row>
    <row r="25" spans="1:13" s="72" customFormat="1" hidden="1">
      <c r="A25" s="73"/>
      <c r="B25" s="74"/>
      <c r="C25" s="74"/>
      <c r="D25" s="74"/>
      <c r="E25" s="74"/>
      <c r="F25" s="75">
        <v>50000</v>
      </c>
      <c r="G25" s="74" t="s">
        <v>35</v>
      </c>
      <c r="H25" s="76">
        <v>1</v>
      </c>
      <c r="I25" s="76"/>
      <c r="J25" s="76">
        <v>1.06</v>
      </c>
      <c r="K25" s="321">
        <f t="shared" si="0"/>
        <v>1.06</v>
      </c>
      <c r="L25" s="77" t="s">
        <v>36</v>
      </c>
      <c r="M25" s="78"/>
    </row>
    <row r="26" spans="1:13" s="72" customFormat="1" hidden="1">
      <c r="A26" s="73"/>
      <c r="B26" s="74"/>
      <c r="C26" s="74"/>
      <c r="D26" s="74"/>
      <c r="E26" s="74"/>
      <c r="F26" s="75">
        <v>100000</v>
      </c>
      <c r="G26" s="74" t="s">
        <v>35</v>
      </c>
      <c r="H26" s="76">
        <v>1</v>
      </c>
      <c r="I26" s="76"/>
      <c r="J26" s="76">
        <v>1.02</v>
      </c>
      <c r="K26" s="321">
        <f t="shared" si="0"/>
        <v>1.02</v>
      </c>
      <c r="L26" s="77" t="s">
        <v>36</v>
      </c>
      <c r="M26" s="78"/>
    </row>
    <row r="27" spans="1:13" s="72" customFormat="1" hidden="1">
      <c r="A27" s="73"/>
      <c r="B27" s="74"/>
      <c r="C27" s="74"/>
      <c r="D27" s="74"/>
      <c r="E27" s="74"/>
      <c r="F27" s="75">
        <v>300000</v>
      </c>
      <c r="G27" s="74" t="s">
        <v>35</v>
      </c>
      <c r="H27" s="76">
        <v>1</v>
      </c>
      <c r="I27" s="76"/>
      <c r="J27" s="76">
        <v>0.99</v>
      </c>
      <c r="K27" s="321">
        <f t="shared" si="0"/>
        <v>0.99</v>
      </c>
      <c r="L27" s="77" t="s">
        <v>36</v>
      </c>
      <c r="M27" s="78"/>
    </row>
    <row r="28" spans="1:13" s="72" customFormat="1" ht="12.6" hidden="1" thickBot="1">
      <c r="A28" s="79"/>
      <c r="B28" s="80"/>
      <c r="C28" s="80"/>
      <c r="D28" s="80"/>
      <c r="E28" s="80"/>
      <c r="F28" s="81">
        <v>500000</v>
      </c>
      <c r="G28" s="80" t="s">
        <v>35</v>
      </c>
      <c r="H28" s="82">
        <v>1</v>
      </c>
      <c r="I28" s="82"/>
      <c r="J28" s="82">
        <v>0.97</v>
      </c>
      <c r="K28" s="322">
        <f t="shared" si="0"/>
        <v>0.97</v>
      </c>
      <c r="L28" s="83" t="s">
        <v>36</v>
      </c>
      <c r="M28" s="84"/>
    </row>
    <row r="29" spans="1:13" s="72" customFormat="1" hidden="1">
      <c r="A29" s="67" t="s">
        <v>41</v>
      </c>
      <c r="B29" s="68" t="s">
        <v>42</v>
      </c>
      <c r="C29" s="68" t="s">
        <v>509</v>
      </c>
      <c r="D29" s="68" t="s">
        <v>33</v>
      </c>
      <c r="E29" s="68" t="s">
        <v>34</v>
      </c>
      <c r="F29" s="69">
        <v>1000</v>
      </c>
      <c r="G29" s="68" t="s">
        <v>35</v>
      </c>
      <c r="H29" s="127">
        <v>1</v>
      </c>
      <c r="I29" s="127"/>
      <c r="J29" s="127">
        <v>2.25</v>
      </c>
      <c r="K29" s="320">
        <f t="shared" si="0"/>
        <v>2.25</v>
      </c>
      <c r="L29" s="70" t="s">
        <v>36</v>
      </c>
      <c r="M29" s="71"/>
    </row>
    <row r="30" spans="1:13" s="72" customFormat="1" hidden="1">
      <c r="A30" s="73"/>
      <c r="B30" s="74"/>
      <c r="C30" s="74"/>
      <c r="D30" s="74"/>
      <c r="E30" s="74"/>
      <c r="F30" s="75">
        <v>2000</v>
      </c>
      <c r="G30" s="74" t="s">
        <v>35</v>
      </c>
      <c r="H30" s="76">
        <v>1</v>
      </c>
      <c r="I30" s="76"/>
      <c r="J30" s="76">
        <v>1.6</v>
      </c>
      <c r="K30" s="321">
        <f t="shared" si="0"/>
        <v>1.6</v>
      </c>
      <c r="L30" s="77" t="s">
        <v>36</v>
      </c>
      <c r="M30" s="78"/>
    </row>
    <row r="31" spans="1:13" s="72" customFormat="1" hidden="1">
      <c r="A31" s="73"/>
      <c r="B31" s="74"/>
      <c r="C31" s="74"/>
      <c r="D31" s="74"/>
      <c r="E31" s="74"/>
      <c r="F31" s="75">
        <v>3000</v>
      </c>
      <c r="G31" s="74" t="s">
        <v>35</v>
      </c>
      <c r="H31" s="76">
        <v>1</v>
      </c>
      <c r="I31" s="76"/>
      <c r="J31" s="76">
        <v>1.4</v>
      </c>
      <c r="K31" s="321">
        <f t="shared" si="0"/>
        <v>1.4</v>
      </c>
      <c r="L31" s="77" t="s">
        <v>36</v>
      </c>
      <c r="M31" s="78"/>
    </row>
    <row r="32" spans="1:13" s="72" customFormat="1" hidden="1">
      <c r="A32" s="73"/>
      <c r="B32" s="74"/>
      <c r="C32" s="74"/>
      <c r="D32" s="74"/>
      <c r="E32" s="74"/>
      <c r="F32" s="75">
        <v>4000</v>
      </c>
      <c r="G32" s="74" t="s">
        <v>35</v>
      </c>
      <c r="H32" s="76">
        <v>1</v>
      </c>
      <c r="I32" s="76"/>
      <c r="J32" s="76">
        <v>1.35</v>
      </c>
      <c r="K32" s="321">
        <f t="shared" si="0"/>
        <v>1.35</v>
      </c>
      <c r="L32" s="77" t="s">
        <v>36</v>
      </c>
      <c r="M32" s="78"/>
    </row>
    <row r="33" spans="1:13" s="72" customFormat="1" hidden="1">
      <c r="A33" s="73"/>
      <c r="B33" s="74"/>
      <c r="C33" s="74"/>
      <c r="D33" s="74"/>
      <c r="E33" s="74"/>
      <c r="F33" s="75">
        <v>5000</v>
      </c>
      <c r="G33" s="74" t="s">
        <v>35</v>
      </c>
      <c r="H33" s="76">
        <v>1</v>
      </c>
      <c r="I33" s="76"/>
      <c r="J33" s="76">
        <v>1.3</v>
      </c>
      <c r="K33" s="321">
        <f t="shared" si="0"/>
        <v>1.3</v>
      </c>
      <c r="L33" s="77" t="s">
        <v>36</v>
      </c>
      <c r="M33" s="78"/>
    </row>
    <row r="34" spans="1:13" s="72" customFormat="1" hidden="1">
      <c r="A34" s="73"/>
      <c r="B34" s="74"/>
      <c r="C34" s="74"/>
      <c r="D34" s="74"/>
      <c r="E34" s="74"/>
      <c r="F34" s="75">
        <v>10000</v>
      </c>
      <c r="G34" s="74" t="s">
        <v>35</v>
      </c>
      <c r="H34" s="76">
        <v>1</v>
      </c>
      <c r="I34" s="76"/>
      <c r="J34" s="76">
        <v>1.18</v>
      </c>
      <c r="K34" s="321">
        <f t="shared" si="0"/>
        <v>1.18</v>
      </c>
      <c r="L34" s="77" t="s">
        <v>36</v>
      </c>
      <c r="M34" s="78"/>
    </row>
    <row r="35" spans="1:13" s="72" customFormat="1" hidden="1">
      <c r="A35" s="73"/>
      <c r="B35" s="74"/>
      <c r="C35" s="74"/>
      <c r="D35" s="74"/>
      <c r="E35" s="74"/>
      <c r="F35" s="75">
        <v>20000</v>
      </c>
      <c r="G35" s="74" t="s">
        <v>35</v>
      </c>
      <c r="H35" s="76">
        <v>1</v>
      </c>
      <c r="I35" s="76"/>
      <c r="J35" s="76">
        <v>1.1000000000000001</v>
      </c>
      <c r="K35" s="321">
        <f t="shared" si="0"/>
        <v>1.1000000000000001</v>
      </c>
      <c r="L35" s="77" t="s">
        <v>36</v>
      </c>
      <c r="M35" s="78"/>
    </row>
    <row r="36" spans="1:13" s="72" customFormat="1" hidden="1">
      <c r="A36" s="73"/>
      <c r="B36" s="74"/>
      <c r="C36" s="74"/>
      <c r="D36" s="74"/>
      <c r="E36" s="74"/>
      <c r="F36" s="75">
        <v>50000</v>
      </c>
      <c r="G36" s="74" t="s">
        <v>35</v>
      </c>
      <c r="H36" s="76">
        <v>1</v>
      </c>
      <c r="I36" s="76"/>
      <c r="J36" s="76">
        <v>1.06</v>
      </c>
      <c r="K36" s="321">
        <f t="shared" si="0"/>
        <v>1.06</v>
      </c>
      <c r="L36" s="77" t="s">
        <v>36</v>
      </c>
      <c r="M36" s="78"/>
    </row>
    <row r="37" spans="1:13" s="72" customFormat="1" hidden="1">
      <c r="A37" s="73"/>
      <c r="B37" s="74"/>
      <c r="C37" s="74"/>
      <c r="D37" s="74"/>
      <c r="E37" s="74"/>
      <c r="F37" s="75">
        <v>100000</v>
      </c>
      <c r="G37" s="74" t="s">
        <v>35</v>
      </c>
      <c r="H37" s="76">
        <v>1</v>
      </c>
      <c r="I37" s="76"/>
      <c r="J37" s="76">
        <v>1.02</v>
      </c>
      <c r="K37" s="321">
        <f t="shared" si="0"/>
        <v>1.02</v>
      </c>
      <c r="L37" s="77" t="s">
        <v>36</v>
      </c>
      <c r="M37" s="78"/>
    </row>
    <row r="38" spans="1:13" s="72" customFormat="1" hidden="1">
      <c r="A38" s="73"/>
      <c r="B38" s="74"/>
      <c r="C38" s="74"/>
      <c r="D38" s="74"/>
      <c r="E38" s="74"/>
      <c r="F38" s="75">
        <v>300000</v>
      </c>
      <c r="G38" s="74" t="s">
        <v>35</v>
      </c>
      <c r="H38" s="76">
        <v>1</v>
      </c>
      <c r="I38" s="76"/>
      <c r="J38" s="76">
        <v>0.99</v>
      </c>
      <c r="K38" s="321">
        <f t="shared" si="0"/>
        <v>0.99</v>
      </c>
      <c r="L38" s="77" t="s">
        <v>36</v>
      </c>
      <c r="M38" s="78"/>
    </row>
    <row r="39" spans="1:13" s="72" customFormat="1" ht="12.6" hidden="1" thickBot="1">
      <c r="A39" s="79"/>
      <c r="B39" s="80"/>
      <c r="C39" s="80"/>
      <c r="D39" s="80"/>
      <c r="E39" s="80"/>
      <c r="F39" s="81">
        <v>500000</v>
      </c>
      <c r="G39" s="80" t="s">
        <v>35</v>
      </c>
      <c r="H39" s="82">
        <v>1</v>
      </c>
      <c r="I39" s="82"/>
      <c r="J39" s="82">
        <v>0.97</v>
      </c>
      <c r="K39" s="322">
        <f t="shared" si="0"/>
        <v>0.97</v>
      </c>
      <c r="L39" s="83" t="s">
        <v>36</v>
      </c>
      <c r="M39" s="84"/>
    </row>
    <row r="40" spans="1:13" s="72" customFormat="1" hidden="1">
      <c r="A40" s="67" t="s">
        <v>43</v>
      </c>
      <c r="B40" s="68" t="s">
        <v>44</v>
      </c>
      <c r="C40" s="68" t="s">
        <v>510</v>
      </c>
      <c r="D40" s="68" t="s">
        <v>33</v>
      </c>
      <c r="E40" s="68" t="s">
        <v>34</v>
      </c>
      <c r="F40" s="69">
        <v>0</v>
      </c>
      <c r="G40" s="68" t="s">
        <v>35</v>
      </c>
      <c r="H40" s="127">
        <v>1</v>
      </c>
      <c r="I40" s="127"/>
      <c r="J40" s="127">
        <v>2.25</v>
      </c>
      <c r="K40" s="320">
        <f t="shared" si="0"/>
        <v>2.25</v>
      </c>
      <c r="L40" s="70" t="s">
        <v>36</v>
      </c>
      <c r="M40" s="71"/>
    </row>
    <row r="41" spans="1:13" s="72" customFormat="1" hidden="1">
      <c r="A41" s="73"/>
      <c r="B41" s="74"/>
      <c r="C41" s="74"/>
      <c r="D41" s="74"/>
      <c r="E41" s="74"/>
      <c r="F41" s="75">
        <v>1000</v>
      </c>
      <c r="G41" s="74" t="s">
        <v>35</v>
      </c>
      <c r="H41" s="76">
        <v>1</v>
      </c>
      <c r="I41" s="76"/>
      <c r="J41" s="76">
        <v>2.25</v>
      </c>
      <c r="K41" s="321">
        <f t="shared" si="0"/>
        <v>2.25</v>
      </c>
      <c r="L41" s="77" t="s">
        <v>36</v>
      </c>
      <c r="M41" s="78"/>
    </row>
    <row r="42" spans="1:13" s="72" customFormat="1" hidden="1">
      <c r="A42" s="73"/>
      <c r="B42" s="74"/>
      <c r="C42" s="74"/>
      <c r="D42" s="74"/>
      <c r="E42" s="74"/>
      <c r="F42" s="75">
        <v>2000</v>
      </c>
      <c r="G42" s="74" t="s">
        <v>35</v>
      </c>
      <c r="H42" s="76">
        <v>1</v>
      </c>
      <c r="I42" s="76"/>
      <c r="J42" s="76">
        <v>1.6</v>
      </c>
      <c r="K42" s="321">
        <f t="shared" si="0"/>
        <v>1.6</v>
      </c>
      <c r="L42" s="77" t="s">
        <v>36</v>
      </c>
      <c r="M42" s="78"/>
    </row>
    <row r="43" spans="1:13" s="72" customFormat="1" hidden="1">
      <c r="A43" s="73"/>
      <c r="B43" s="74"/>
      <c r="C43" s="74"/>
      <c r="D43" s="74"/>
      <c r="E43" s="74"/>
      <c r="F43" s="75">
        <v>3000</v>
      </c>
      <c r="G43" s="74" t="s">
        <v>35</v>
      </c>
      <c r="H43" s="76">
        <v>1</v>
      </c>
      <c r="I43" s="76"/>
      <c r="J43" s="76">
        <v>1.4</v>
      </c>
      <c r="K43" s="321">
        <f t="shared" si="0"/>
        <v>1.4</v>
      </c>
      <c r="L43" s="77" t="s">
        <v>36</v>
      </c>
      <c r="M43" s="78"/>
    </row>
    <row r="44" spans="1:13" s="72" customFormat="1" hidden="1">
      <c r="A44" s="73"/>
      <c r="B44" s="74"/>
      <c r="C44" s="74"/>
      <c r="D44" s="74"/>
      <c r="E44" s="74"/>
      <c r="F44" s="75">
        <v>4000</v>
      </c>
      <c r="G44" s="74" t="s">
        <v>35</v>
      </c>
      <c r="H44" s="76">
        <v>1</v>
      </c>
      <c r="I44" s="76"/>
      <c r="J44" s="76">
        <v>1.35</v>
      </c>
      <c r="K44" s="321">
        <f t="shared" si="0"/>
        <v>1.35</v>
      </c>
      <c r="L44" s="77" t="s">
        <v>36</v>
      </c>
      <c r="M44" s="78"/>
    </row>
    <row r="45" spans="1:13" s="72" customFormat="1" hidden="1">
      <c r="A45" s="73"/>
      <c r="B45" s="74"/>
      <c r="C45" s="74"/>
      <c r="D45" s="74"/>
      <c r="E45" s="74"/>
      <c r="F45" s="75">
        <v>5000</v>
      </c>
      <c r="G45" s="74" t="s">
        <v>35</v>
      </c>
      <c r="H45" s="76">
        <v>1</v>
      </c>
      <c r="I45" s="76"/>
      <c r="J45" s="76">
        <v>1.3</v>
      </c>
      <c r="K45" s="321">
        <f t="shared" si="0"/>
        <v>1.3</v>
      </c>
      <c r="L45" s="77" t="s">
        <v>36</v>
      </c>
      <c r="M45" s="78"/>
    </row>
    <row r="46" spans="1:13" s="72" customFormat="1" hidden="1">
      <c r="A46" s="73"/>
      <c r="B46" s="74"/>
      <c r="C46" s="74"/>
      <c r="D46" s="74"/>
      <c r="E46" s="74"/>
      <c r="F46" s="75">
        <v>10000</v>
      </c>
      <c r="G46" s="74" t="s">
        <v>35</v>
      </c>
      <c r="H46" s="76">
        <v>1</v>
      </c>
      <c r="I46" s="76"/>
      <c r="J46" s="76">
        <v>1.18</v>
      </c>
      <c r="K46" s="321">
        <f t="shared" si="0"/>
        <v>1.18</v>
      </c>
      <c r="L46" s="77" t="s">
        <v>36</v>
      </c>
      <c r="M46" s="78"/>
    </row>
    <row r="47" spans="1:13" s="72" customFormat="1" hidden="1">
      <c r="A47" s="73"/>
      <c r="B47" s="74"/>
      <c r="C47" s="74"/>
      <c r="D47" s="74"/>
      <c r="E47" s="74"/>
      <c r="F47" s="75">
        <v>20000</v>
      </c>
      <c r="G47" s="74" t="s">
        <v>35</v>
      </c>
      <c r="H47" s="76">
        <v>1</v>
      </c>
      <c r="I47" s="76"/>
      <c r="J47" s="76">
        <v>1.1000000000000001</v>
      </c>
      <c r="K47" s="321">
        <f t="shared" si="0"/>
        <v>1.1000000000000001</v>
      </c>
      <c r="L47" s="77" t="s">
        <v>36</v>
      </c>
      <c r="M47" s="78"/>
    </row>
    <row r="48" spans="1:13" s="72" customFormat="1" hidden="1">
      <c r="A48" s="73"/>
      <c r="B48" s="73"/>
      <c r="C48" s="74"/>
      <c r="D48" s="74"/>
      <c r="E48" s="74"/>
      <c r="F48" s="75">
        <v>50000</v>
      </c>
      <c r="G48" s="74" t="s">
        <v>35</v>
      </c>
      <c r="H48" s="76">
        <v>1</v>
      </c>
      <c r="I48" s="76"/>
      <c r="J48" s="76">
        <v>1.06</v>
      </c>
      <c r="K48" s="321">
        <f t="shared" si="0"/>
        <v>1.06</v>
      </c>
      <c r="L48" s="77" t="s">
        <v>36</v>
      </c>
      <c r="M48" s="78"/>
    </row>
    <row r="49" spans="1:13" s="72" customFormat="1" hidden="1">
      <c r="A49" s="73"/>
      <c r="B49" s="74"/>
      <c r="C49" s="74"/>
      <c r="D49" s="74"/>
      <c r="E49" s="74"/>
      <c r="F49" s="75">
        <v>100000</v>
      </c>
      <c r="G49" s="74" t="s">
        <v>35</v>
      </c>
      <c r="H49" s="76">
        <v>1</v>
      </c>
      <c r="I49" s="76"/>
      <c r="J49" s="76">
        <v>1.02</v>
      </c>
      <c r="K49" s="321">
        <f t="shared" si="0"/>
        <v>1.02</v>
      </c>
      <c r="L49" s="77" t="s">
        <v>36</v>
      </c>
      <c r="M49" s="78"/>
    </row>
    <row r="50" spans="1:13" s="72" customFormat="1" hidden="1">
      <c r="A50" s="73"/>
      <c r="B50" s="74"/>
      <c r="C50" s="74"/>
      <c r="D50" s="74"/>
      <c r="E50" s="74"/>
      <c r="F50" s="75">
        <v>300000</v>
      </c>
      <c r="G50" s="74" t="s">
        <v>35</v>
      </c>
      <c r="H50" s="76">
        <v>1</v>
      </c>
      <c r="I50" s="76"/>
      <c r="J50" s="76">
        <v>0.99</v>
      </c>
      <c r="K50" s="321">
        <f t="shared" si="0"/>
        <v>0.99</v>
      </c>
      <c r="L50" s="77" t="s">
        <v>36</v>
      </c>
      <c r="M50" s="78"/>
    </row>
    <row r="51" spans="1:13" s="72" customFormat="1" ht="12.6" hidden="1" thickBot="1">
      <c r="A51" s="79"/>
      <c r="B51" s="80"/>
      <c r="C51" s="80"/>
      <c r="D51" s="80"/>
      <c r="E51" s="80"/>
      <c r="F51" s="81">
        <v>500000</v>
      </c>
      <c r="G51" s="80" t="s">
        <v>35</v>
      </c>
      <c r="H51" s="82">
        <v>1</v>
      </c>
      <c r="I51" s="82"/>
      <c r="J51" s="82">
        <v>0.97</v>
      </c>
      <c r="K51" s="322">
        <f t="shared" si="0"/>
        <v>0.97</v>
      </c>
      <c r="L51" s="83" t="s">
        <v>36</v>
      </c>
      <c r="M51" s="84"/>
    </row>
    <row r="52" spans="1:13" s="72" customFormat="1" hidden="1">
      <c r="A52" s="67" t="s">
        <v>409</v>
      </c>
      <c r="B52" s="68" t="s">
        <v>410</v>
      </c>
      <c r="C52" s="68" t="s">
        <v>442</v>
      </c>
      <c r="D52" s="68" t="s">
        <v>33</v>
      </c>
      <c r="E52" s="68" t="s">
        <v>34</v>
      </c>
      <c r="F52" s="69">
        <v>0</v>
      </c>
      <c r="G52" s="68" t="s">
        <v>35</v>
      </c>
      <c r="H52" s="127">
        <v>1</v>
      </c>
      <c r="I52" s="127"/>
      <c r="J52" s="127">
        <v>2.25</v>
      </c>
      <c r="K52" s="320">
        <f t="shared" si="0"/>
        <v>2.25</v>
      </c>
      <c r="L52" s="70" t="s">
        <v>36</v>
      </c>
      <c r="M52" s="71"/>
    </row>
    <row r="53" spans="1:13" s="72" customFormat="1" hidden="1">
      <c r="A53" s="73"/>
      <c r="B53" s="74"/>
      <c r="C53" s="74"/>
      <c r="D53" s="74"/>
      <c r="E53" s="74"/>
      <c r="F53" s="75">
        <v>1000</v>
      </c>
      <c r="G53" s="74" t="s">
        <v>35</v>
      </c>
      <c r="H53" s="76">
        <v>1</v>
      </c>
      <c r="I53" s="76"/>
      <c r="J53" s="76">
        <v>2.25</v>
      </c>
      <c r="K53" s="321">
        <f t="shared" si="0"/>
        <v>2.25</v>
      </c>
      <c r="L53" s="77" t="s">
        <v>36</v>
      </c>
      <c r="M53" s="78"/>
    </row>
    <row r="54" spans="1:13" s="72" customFormat="1" hidden="1">
      <c r="A54" s="73"/>
      <c r="B54" s="74"/>
      <c r="C54" s="74"/>
      <c r="D54" s="74"/>
      <c r="E54" s="74"/>
      <c r="F54" s="75">
        <v>2000</v>
      </c>
      <c r="G54" s="74" t="s">
        <v>35</v>
      </c>
      <c r="H54" s="76">
        <v>1</v>
      </c>
      <c r="I54" s="76"/>
      <c r="J54" s="76">
        <v>1.6</v>
      </c>
      <c r="K54" s="321">
        <f t="shared" si="0"/>
        <v>1.6</v>
      </c>
      <c r="L54" s="77" t="s">
        <v>36</v>
      </c>
      <c r="M54" s="78"/>
    </row>
    <row r="55" spans="1:13" s="72" customFormat="1" hidden="1">
      <c r="A55" s="73"/>
      <c r="B55" s="74"/>
      <c r="C55" s="74"/>
      <c r="D55" s="74"/>
      <c r="E55" s="74"/>
      <c r="F55" s="75">
        <v>3000</v>
      </c>
      <c r="G55" s="74" t="s">
        <v>35</v>
      </c>
      <c r="H55" s="76">
        <v>1</v>
      </c>
      <c r="I55" s="76"/>
      <c r="J55" s="76">
        <v>1.4</v>
      </c>
      <c r="K55" s="321">
        <f t="shared" si="0"/>
        <v>1.4</v>
      </c>
      <c r="L55" s="77" t="s">
        <v>36</v>
      </c>
      <c r="M55" s="78"/>
    </row>
    <row r="56" spans="1:13" s="72" customFormat="1" hidden="1">
      <c r="A56" s="73"/>
      <c r="B56" s="74"/>
      <c r="C56" s="74"/>
      <c r="D56" s="74"/>
      <c r="E56" s="74"/>
      <c r="F56" s="75">
        <v>4000</v>
      </c>
      <c r="G56" s="74" t="s">
        <v>35</v>
      </c>
      <c r="H56" s="76">
        <v>1</v>
      </c>
      <c r="I56" s="76"/>
      <c r="J56" s="76">
        <v>1.35</v>
      </c>
      <c r="K56" s="321">
        <f t="shared" si="0"/>
        <v>1.35</v>
      </c>
      <c r="L56" s="77" t="s">
        <v>36</v>
      </c>
      <c r="M56" s="78"/>
    </row>
    <row r="57" spans="1:13" s="72" customFormat="1" hidden="1">
      <c r="A57" s="73"/>
      <c r="B57" s="74"/>
      <c r="C57" s="74"/>
      <c r="D57" s="74"/>
      <c r="E57" s="74"/>
      <c r="F57" s="75">
        <v>5000</v>
      </c>
      <c r="G57" s="74" t="s">
        <v>35</v>
      </c>
      <c r="H57" s="76">
        <v>1</v>
      </c>
      <c r="I57" s="76"/>
      <c r="J57" s="76">
        <v>1.3</v>
      </c>
      <c r="K57" s="321">
        <f t="shared" si="0"/>
        <v>1.3</v>
      </c>
      <c r="L57" s="77" t="s">
        <v>36</v>
      </c>
      <c r="M57" s="78"/>
    </row>
    <row r="58" spans="1:13" s="72" customFormat="1" hidden="1">
      <c r="A58" s="73"/>
      <c r="B58" s="74"/>
      <c r="C58" s="74"/>
      <c r="D58" s="74"/>
      <c r="E58" s="74"/>
      <c r="F58" s="75">
        <v>10000</v>
      </c>
      <c r="G58" s="74" t="s">
        <v>35</v>
      </c>
      <c r="H58" s="76">
        <v>1</v>
      </c>
      <c r="I58" s="76"/>
      <c r="J58" s="76">
        <v>1.18</v>
      </c>
      <c r="K58" s="321">
        <f t="shared" si="0"/>
        <v>1.18</v>
      </c>
      <c r="L58" s="77" t="s">
        <v>36</v>
      </c>
      <c r="M58" s="78"/>
    </row>
    <row r="59" spans="1:13" s="72" customFormat="1" hidden="1">
      <c r="A59" s="73"/>
      <c r="B59" s="74"/>
      <c r="C59" s="74"/>
      <c r="D59" s="74"/>
      <c r="E59" s="74"/>
      <c r="F59" s="75">
        <v>20000</v>
      </c>
      <c r="G59" s="74" t="s">
        <v>35</v>
      </c>
      <c r="H59" s="76">
        <v>1</v>
      </c>
      <c r="I59" s="76"/>
      <c r="J59" s="76">
        <v>1.1000000000000001</v>
      </c>
      <c r="K59" s="321">
        <f t="shared" si="0"/>
        <v>1.1000000000000001</v>
      </c>
      <c r="L59" s="77" t="s">
        <v>36</v>
      </c>
      <c r="M59" s="78"/>
    </row>
    <row r="60" spans="1:13" s="72" customFormat="1" hidden="1">
      <c r="A60" s="73"/>
      <c r="B60" s="74"/>
      <c r="C60" s="74"/>
      <c r="D60" s="74"/>
      <c r="E60" s="74"/>
      <c r="F60" s="75">
        <v>50000</v>
      </c>
      <c r="G60" s="74" t="s">
        <v>35</v>
      </c>
      <c r="H60" s="76">
        <v>1</v>
      </c>
      <c r="I60" s="76"/>
      <c r="J60" s="76">
        <v>1.06</v>
      </c>
      <c r="K60" s="321">
        <f t="shared" si="0"/>
        <v>1.06</v>
      </c>
      <c r="L60" s="77" t="s">
        <v>36</v>
      </c>
      <c r="M60" s="78"/>
    </row>
    <row r="61" spans="1:13" s="72" customFormat="1" hidden="1">
      <c r="A61" s="73"/>
      <c r="B61" s="74"/>
      <c r="C61" s="74"/>
      <c r="D61" s="74"/>
      <c r="E61" s="74"/>
      <c r="F61" s="75">
        <v>100000</v>
      </c>
      <c r="G61" s="74" t="s">
        <v>35</v>
      </c>
      <c r="H61" s="76">
        <v>1</v>
      </c>
      <c r="I61" s="76"/>
      <c r="J61" s="76">
        <v>1.02</v>
      </c>
      <c r="K61" s="321">
        <f t="shared" si="0"/>
        <v>1.02</v>
      </c>
      <c r="L61" s="77" t="s">
        <v>36</v>
      </c>
      <c r="M61" s="78"/>
    </row>
    <row r="62" spans="1:13" s="72" customFormat="1" hidden="1">
      <c r="A62" s="73"/>
      <c r="B62" s="74"/>
      <c r="C62" s="74"/>
      <c r="D62" s="74"/>
      <c r="E62" s="74"/>
      <c r="F62" s="75">
        <v>300000</v>
      </c>
      <c r="G62" s="74" t="s">
        <v>35</v>
      </c>
      <c r="H62" s="76">
        <v>1</v>
      </c>
      <c r="I62" s="76"/>
      <c r="J62" s="76">
        <v>0.99</v>
      </c>
      <c r="K62" s="321">
        <f t="shared" si="0"/>
        <v>0.99</v>
      </c>
      <c r="L62" s="77" t="s">
        <v>36</v>
      </c>
      <c r="M62" s="78"/>
    </row>
    <row r="63" spans="1:13" s="72" customFormat="1" ht="12.6" hidden="1" thickBot="1">
      <c r="A63" s="79"/>
      <c r="B63" s="80"/>
      <c r="C63" s="80"/>
      <c r="D63" s="80"/>
      <c r="E63" s="80"/>
      <c r="F63" s="81">
        <v>500000</v>
      </c>
      <c r="G63" s="80" t="s">
        <v>35</v>
      </c>
      <c r="H63" s="82">
        <v>1</v>
      </c>
      <c r="I63" s="82"/>
      <c r="J63" s="82">
        <v>0.97</v>
      </c>
      <c r="K63" s="322">
        <f t="shared" si="0"/>
        <v>0.97</v>
      </c>
      <c r="L63" s="83" t="s">
        <v>36</v>
      </c>
      <c r="M63" s="84"/>
    </row>
    <row r="64" spans="1:13" s="72" customFormat="1" hidden="1">
      <c r="A64" s="67" t="s">
        <v>411</v>
      </c>
      <c r="B64" s="68" t="s">
        <v>412</v>
      </c>
      <c r="C64" s="68" t="s">
        <v>413</v>
      </c>
      <c r="D64" s="68" t="s">
        <v>33</v>
      </c>
      <c r="E64" s="68" t="s">
        <v>34</v>
      </c>
      <c r="F64" s="69">
        <v>0</v>
      </c>
      <c r="G64" s="68" t="s">
        <v>35</v>
      </c>
      <c r="H64" s="127">
        <v>1</v>
      </c>
      <c r="I64" s="127"/>
      <c r="J64" s="127">
        <v>2.25</v>
      </c>
      <c r="K64" s="320">
        <f t="shared" si="0"/>
        <v>2.25</v>
      </c>
      <c r="L64" s="70" t="s">
        <v>36</v>
      </c>
      <c r="M64" s="71"/>
    </row>
    <row r="65" spans="1:13" s="72" customFormat="1" hidden="1">
      <c r="A65" s="73"/>
      <c r="B65" s="74"/>
      <c r="C65" s="74"/>
      <c r="D65" s="74"/>
      <c r="E65" s="74"/>
      <c r="F65" s="75">
        <v>1000</v>
      </c>
      <c r="G65" s="74" t="s">
        <v>35</v>
      </c>
      <c r="H65" s="76">
        <v>1</v>
      </c>
      <c r="I65" s="76"/>
      <c r="J65" s="76">
        <v>2.25</v>
      </c>
      <c r="K65" s="321">
        <f t="shared" si="0"/>
        <v>2.25</v>
      </c>
      <c r="L65" s="77" t="s">
        <v>36</v>
      </c>
      <c r="M65" s="78"/>
    </row>
    <row r="66" spans="1:13" s="72" customFormat="1" hidden="1">
      <c r="A66" s="73"/>
      <c r="B66" s="74"/>
      <c r="C66" s="74"/>
      <c r="D66" s="74"/>
      <c r="E66" s="74"/>
      <c r="F66" s="75">
        <v>2000</v>
      </c>
      <c r="G66" s="74" t="s">
        <v>35</v>
      </c>
      <c r="H66" s="76">
        <v>1</v>
      </c>
      <c r="I66" s="76"/>
      <c r="J66" s="76">
        <v>1.6</v>
      </c>
      <c r="K66" s="321">
        <f t="shared" si="0"/>
        <v>1.6</v>
      </c>
      <c r="L66" s="77" t="s">
        <v>36</v>
      </c>
      <c r="M66" s="78"/>
    </row>
    <row r="67" spans="1:13" s="72" customFormat="1" hidden="1">
      <c r="A67" s="73"/>
      <c r="B67" s="74"/>
      <c r="C67" s="74"/>
      <c r="D67" s="74"/>
      <c r="E67" s="74"/>
      <c r="F67" s="75">
        <v>3000</v>
      </c>
      <c r="G67" s="74" t="s">
        <v>35</v>
      </c>
      <c r="H67" s="76">
        <v>1</v>
      </c>
      <c r="I67" s="76"/>
      <c r="J67" s="76">
        <v>1.4</v>
      </c>
      <c r="K67" s="321">
        <f t="shared" si="0"/>
        <v>1.4</v>
      </c>
      <c r="L67" s="77" t="s">
        <v>36</v>
      </c>
      <c r="M67" s="78"/>
    </row>
    <row r="68" spans="1:13" s="72" customFormat="1" hidden="1">
      <c r="A68" s="73"/>
      <c r="B68" s="74"/>
      <c r="C68" s="74"/>
      <c r="D68" s="74"/>
      <c r="E68" s="74"/>
      <c r="F68" s="75">
        <v>4000</v>
      </c>
      <c r="G68" s="74" t="s">
        <v>35</v>
      </c>
      <c r="H68" s="76">
        <v>1</v>
      </c>
      <c r="I68" s="76"/>
      <c r="J68" s="76">
        <v>1.35</v>
      </c>
      <c r="K68" s="321">
        <f t="shared" ref="K68:K153" si="1">J68/H68</f>
        <v>1.35</v>
      </c>
      <c r="L68" s="77" t="s">
        <v>36</v>
      </c>
      <c r="M68" s="78"/>
    </row>
    <row r="69" spans="1:13" s="72" customFormat="1" hidden="1">
      <c r="A69" s="73"/>
      <c r="B69" s="74"/>
      <c r="C69" s="74"/>
      <c r="D69" s="74"/>
      <c r="E69" s="74"/>
      <c r="F69" s="75">
        <v>5000</v>
      </c>
      <c r="G69" s="74" t="s">
        <v>35</v>
      </c>
      <c r="H69" s="76">
        <v>1</v>
      </c>
      <c r="I69" s="76"/>
      <c r="J69" s="76">
        <v>1.3</v>
      </c>
      <c r="K69" s="321">
        <f t="shared" si="1"/>
        <v>1.3</v>
      </c>
      <c r="L69" s="77" t="s">
        <v>36</v>
      </c>
      <c r="M69" s="78"/>
    </row>
    <row r="70" spans="1:13" s="72" customFormat="1" hidden="1">
      <c r="A70" s="73"/>
      <c r="B70" s="74"/>
      <c r="C70" s="74"/>
      <c r="D70" s="74"/>
      <c r="E70" s="74"/>
      <c r="F70" s="75">
        <v>10000</v>
      </c>
      <c r="G70" s="74" t="s">
        <v>35</v>
      </c>
      <c r="H70" s="76">
        <v>1</v>
      </c>
      <c r="I70" s="76"/>
      <c r="J70" s="76">
        <v>1.18</v>
      </c>
      <c r="K70" s="321">
        <f t="shared" si="1"/>
        <v>1.18</v>
      </c>
      <c r="L70" s="77" t="s">
        <v>36</v>
      </c>
      <c r="M70" s="78"/>
    </row>
    <row r="71" spans="1:13" s="72" customFormat="1" hidden="1">
      <c r="A71" s="73"/>
      <c r="B71" s="74"/>
      <c r="C71" s="74"/>
      <c r="D71" s="74"/>
      <c r="E71" s="74"/>
      <c r="F71" s="75">
        <v>20000</v>
      </c>
      <c r="G71" s="74" t="s">
        <v>35</v>
      </c>
      <c r="H71" s="76">
        <v>1</v>
      </c>
      <c r="I71" s="76"/>
      <c r="J71" s="76">
        <v>1.1000000000000001</v>
      </c>
      <c r="K71" s="321">
        <f t="shared" si="1"/>
        <v>1.1000000000000001</v>
      </c>
      <c r="L71" s="77" t="s">
        <v>36</v>
      </c>
      <c r="M71" s="78"/>
    </row>
    <row r="72" spans="1:13" s="72" customFormat="1" hidden="1">
      <c r="A72" s="73"/>
      <c r="B72" s="74"/>
      <c r="C72" s="74"/>
      <c r="D72" s="74"/>
      <c r="E72" s="74"/>
      <c r="F72" s="75">
        <v>50000</v>
      </c>
      <c r="G72" s="74" t="s">
        <v>35</v>
      </c>
      <c r="H72" s="76">
        <v>1</v>
      </c>
      <c r="I72" s="76"/>
      <c r="J72" s="76">
        <v>1.06</v>
      </c>
      <c r="K72" s="321">
        <f t="shared" si="1"/>
        <v>1.06</v>
      </c>
      <c r="L72" s="77" t="s">
        <v>36</v>
      </c>
      <c r="M72" s="78"/>
    </row>
    <row r="73" spans="1:13" s="72" customFormat="1" hidden="1">
      <c r="A73" s="73"/>
      <c r="B73" s="74"/>
      <c r="C73" s="74"/>
      <c r="D73" s="74"/>
      <c r="E73" s="74"/>
      <c r="F73" s="75">
        <v>100000</v>
      </c>
      <c r="G73" s="74" t="s">
        <v>35</v>
      </c>
      <c r="H73" s="76">
        <v>1</v>
      </c>
      <c r="I73" s="76"/>
      <c r="J73" s="76">
        <v>1.02</v>
      </c>
      <c r="K73" s="321">
        <f t="shared" si="1"/>
        <v>1.02</v>
      </c>
      <c r="L73" s="77" t="s">
        <v>36</v>
      </c>
      <c r="M73" s="78"/>
    </row>
    <row r="74" spans="1:13" s="72" customFormat="1" hidden="1">
      <c r="A74" s="73"/>
      <c r="B74" s="74"/>
      <c r="C74" s="74"/>
      <c r="D74" s="74"/>
      <c r="E74" s="74"/>
      <c r="F74" s="75">
        <v>300000</v>
      </c>
      <c r="G74" s="74" t="s">
        <v>35</v>
      </c>
      <c r="H74" s="76">
        <v>1</v>
      </c>
      <c r="I74" s="76"/>
      <c r="J74" s="76">
        <v>0.99</v>
      </c>
      <c r="K74" s="321">
        <f t="shared" si="1"/>
        <v>0.99</v>
      </c>
      <c r="L74" s="77" t="s">
        <v>36</v>
      </c>
      <c r="M74" s="78"/>
    </row>
    <row r="75" spans="1:13" s="72" customFormat="1" ht="12.6" hidden="1" thickBot="1">
      <c r="A75" s="79"/>
      <c r="B75" s="80"/>
      <c r="C75" s="80"/>
      <c r="D75" s="80"/>
      <c r="E75" s="80"/>
      <c r="F75" s="81">
        <v>500000</v>
      </c>
      <c r="G75" s="80" t="s">
        <v>35</v>
      </c>
      <c r="H75" s="82">
        <v>1</v>
      </c>
      <c r="I75" s="82"/>
      <c r="J75" s="82">
        <v>0.97</v>
      </c>
      <c r="K75" s="322">
        <f t="shared" si="1"/>
        <v>0.97</v>
      </c>
      <c r="L75" s="83" t="s">
        <v>36</v>
      </c>
      <c r="M75" s="84"/>
    </row>
    <row r="76" spans="1:13" s="72" customFormat="1" hidden="1">
      <c r="A76" s="67" t="s">
        <v>414</v>
      </c>
      <c r="B76" s="68" t="s">
        <v>415</v>
      </c>
      <c r="C76" s="68" t="s">
        <v>416</v>
      </c>
      <c r="D76" s="68" t="s">
        <v>33</v>
      </c>
      <c r="E76" s="68" t="s">
        <v>34</v>
      </c>
      <c r="F76" s="69">
        <v>0</v>
      </c>
      <c r="G76" s="68" t="s">
        <v>35</v>
      </c>
      <c r="H76" s="127">
        <v>1</v>
      </c>
      <c r="I76" s="127"/>
      <c r="J76" s="127">
        <v>2.25</v>
      </c>
      <c r="K76" s="320">
        <f t="shared" si="1"/>
        <v>2.25</v>
      </c>
      <c r="L76" s="70" t="s">
        <v>36</v>
      </c>
      <c r="M76" s="71"/>
    </row>
    <row r="77" spans="1:13" s="72" customFormat="1" hidden="1">
      <c r="A77" s="73"/>
      <c r="B77" s="74"/>
      <c r="C77" s="74"/>
      <c r="D77" s="74"/>
      <c r="E77" s="74"/>
      <c r="F77" s="75">
        <v>1000</v>
      </c>
      <c r="G77" s="74" t="s">
        <v>35</v>
      </c>
      <c r="H77" s="76">
        <v>1</v>
      </c>
      <c r="I77" s="76"/>
      <c r="J77" s="76">
        <v>2.25</v>
      </c>
      <c r="K77" s="321">
        <f t="shared" si="1"/>
        <v>2.25</v>
      </c>
      <c r="L77" s="77" t="s">
        <v>36</v>
      </c>
      <c r="M77" s="78"/>
    </row>
    <row r="78" spans="1:13" s="72" customFormat="1" hidden="1">
      <c r="A78" s="73"/>
      <c r="B78" s="74"/>
      <c r="C78" s="74"/>
      <c r="D78" s="74"/>
      <c r="E78" s="74"/>
      <c r="F78" s="75">
        <v>2000</v>
      </c>
      <c r="G78" s="74" t="s">
        <v>35</v>
      </c>
      <c r="H78" s="76">
        <v>1</v>
      </c>
      <c r="I78" s="76"/>
      <c r="J78" s="76">
        <v>1.6</v>
      </c>
      <c r="K78" s="321">
        <f t="shared" si="1"/>
        <v>1.6</v>
      </c>
      <c r="L78" s="77" t="s">
        <v>36</v>
      </c>
      <c r="M78" s="78"/>
    </row>
    <row r="79" spans="1:13" s="72" customFormat="1" hidden="1">
      <c r="A79" s="73"/>
      <c r="B79" s="74"/>
      <c r="C79" s="74"/>
      <c r="D79" s="74"/>
      <c r="E79" s="74"/>
      <c r="F79" s="75">
        <v>3000</v>
      </c>
      <c r="G79" s="74" t="s">
        <v>35</v>
      </c>
      <c r="H79" s="76">
        <v>1</v>
      </c>
      <c r="I79" s="76"/>
      <c r="J79" s="76">
        <v>1.4</v>
      </c>
      <c r="K79" s="321">
        <f t="shared" si="1"/>
        <v>1.4</v>
      </c>
      <c r="L79" s="77" t="s">
        <v>36</v>
      </c>
      <c r="M79" s="78"/>
    </row>
    <row r="80" spans="1:13" s="72" customFormat="1" hidden="1">
      <c r="A80" s="73"/>
      <c r="B80" s="74"/>
      <c r="C80" s="74"/>
      <c r="D80" s="74"/>
      <c r="E80" s="74"/>
      <c r="F80" s="75">
        <v>4000</v>
      </c>
      <c r="G80" s="74" t="s">
        <v>35</v>
      </c>
      <c r="H80" s="76">
        <v>1</v>
      </c>
      <c r="I80" s="76"/>
      <c r="J80" s="76">
        <v>1.35</v>
      </c>
      <c r="K80" s="321">
        <f t="shared" si="1"/>
        <v>1.35</v>
      </c>
      <c r="L80" s="77" t="s">
        <v>36</v>
      </c>
      <c r="M80" s="78"/>
    </row>
    <row r="81" spans="1:13" s="72" customFormat="1" hidden="1">
      <c r="A81" s="73"/>
      <c r="B81" s="74"/>
      <c r="C81" s="74"/>
      <c r="D81" s="74"/>
      <c r="E81" s="74"/>
      <c r="F81" s="75">
        <v>5000</v>
      </c>
      <c r="G81" s="74" t="s">
        <v>35</v>
      </c>
      <c r="H81" s="76">
        <v>1</v>
      </c>
      <c r="I81" s="76"/>
      <c r="J81" s="76">
        <v>1.3</v>
      </c>
      <c r="K81" s="321">
        <f t="shared" si="1"/>
        <v>1.3</v>
      </c>
      <c r="L81" s="77" t="s">
        <v>36</v>
      </c>
      <c r="M81" s="78"/>
    </row>
    <row r="82" spans="1:13" s="72" customFormat="1" hidden="1">
      <c r="A82" s="73"/>
      <c r="B82" s="74"/>
      <c r="C82" s="74"/>
      <c r="D82" s="74"/>
      <c r="E82" s="74"/>
      <c r="F82" s="75">
        <v>10000</v>
      </c>
      <c r="G82" s="74" t="s">
        <v>35</v>
      </c>
      <c r="H82" s="76">
        <v>1</v>
      </c>
      <c r="I82" s="76"/>
      <c r="J82" s="76">
        <v>1.18</v>
      </c>
      <c r="K82" s="321">
        <f t="shared" si="1"/>
        <v>1.18</v>
      </c>
      <c r="L82" s="77" t="s">
        <v>36</v>
      </c>
      <c r="M82" s="78"/>
    </row>
    <row r="83" spans="1:13" s="72" customFormat="1" hidden="1">
      <c r="A83" s="73"/>
      <c r="B83" s="74"/>
      <c r="C83" s="74"/>
      <c r="D83" s="74"/>
      <c r="E83" s="74"/>
      <c r="F83" s="75">
        <v>20000</v>
      </c>
      <c r="G83" s="74" t="s">
        <v>35</v>
      </c>
      <c r="H83" s="76">
        <v>1</v>
      </c>
      <c r="I83" s="76"/>
      <c r="J83" s="76">
        <v>1.1000000000000001</v>
      </c>
      <c r="K83" s="321">
        <f t="shared" si="1"/>
        <v>1.1000000000000001</v>
      </c>
      <c r="L83" s="77" t="s">
        <v>36</v>
      </c>
      <c r="M83" s="78"/>
    </row>
    <row r="84" spans="1:13" s="72" customFormat="1" hidden="1">
      <c r="A84" s="73"/>
      <c r="B84" s="74"/>
      <c r="C84" s="74"/>
      <c r="D84" s="74"/>
      <c r="E84" s="74"/>
      <c r="F84" s="75">
        <v>50000</v>
      </c>
      <c r="G84" s="74" t="s">
        <v>35</v>
      </c>
      <c r="H84" s="76">
        <v>1</v>
      </c>
      <c r="I84" s="76"/>
      <c r="J84" s="76">
        <v>1.06</v>
      </c>
      <c r="K84" s="321">
        <f t="shared" si="1"/>
        <v>1.06</v>
      </c>
      <c r="L84" s="77" t="s">
        <v>36</v>
      </c>
      <c r="M84" s="78"/>
    </row>
    <row r="85" spans="1:13" s="72" customFormat="1" hidden="1">
      <c r="A85" s="73"/>
      <c r="B85" s="74"/>
      <c r="C85" s="74"/>
      <c r="D85" s="74"/>
      <c r="E85" s="74"/>
      <c r="F85" s="75">
        <v>100000</v>
      </c>
      <c r="G85" s="74" t="s">
        <v>35</v>
      </c>
      <c r="H85" s="76">
        <v>1</v>
      </c>
      <c r="I85" s="76"/>
      <c r="J85" s="76">
        <v>1.02</v>
      </c>
      <c r="K85" s="321">
        <f t="shared" si="1"/>
        <v>1.02</v>
      </c>
      <c r="L85" s="77" t="s">
        <v>36</v>
      </c>
      <c r="M85" s="78"/>
    </row>
    <row r="86" spans="1:13" s="72" customFormat="1" hidden="1">
      <c r="A86" s="73"/>
      <c r="B86" s="74"/>
      <c r="C86" s="74"/>
      <c r="D86" s="74"/>
      <c r="E86" s="74"/>
      <c r="F86" s="75">
        <v>300000</v>
      </c>
      <c r="G86" s="74" t="s">
        <v>35</v>
      </c>
      <c r="H86" s="76">
        <v>1</v>
      </c>
      <c r="I86" s="76"/>
      <c r="J86" s="76">
        <v>0.99</v>
      </c>
      <c r="K86" s="321">
        <f t="shared" si="1"/>
        <v>0.99</v>
      </c>
      <c r="L86" s="77" t="s">
        <v>36</v>
      </c>
      <c r="M86" s="78"/>
    </row>
    <row r="87" spans="1:13" s="72" customFormat="1" ht="12.6" hidden="1" thickBot="1">
      <c r="A87" s="79"/>
      <c r="B87" s="80"/>
      <c r="C87" s="80"/>
      <c r="D87" s="80"/>
      <c r="E87" s="80"/>
      <c r="F87" s="81">
        <v>500000</v>
      </c>
      <c r="G87" s="80" t="s">
        <v>35</v>
      </c>
      <c r="H87" s="82">
        <v>1</v>
      </c>
      <c r="I87" s="82"/>
      <c r="J87" s="82">
        <v>0.97</v>
      </c>
      <c r="K87" s="322">
        <f t="shared" si="1"/>
        <v>0.97</v>
      </c>
      <c r="L87" s="83" t="s">
        <v>36</v>
      </c>
      <c r="M87" s="84"/>
    </row>
    <row r="88" spans="1:13" s="72" customFormat="1" hidden="1">
      <c r="A88" s="67" t="s">
        <v>417</v>
      </c>
      <c r="B88" s="68" t="s">
        <v>418</v>
      </c>
      <c r="C88" s="68" t="s">
        <v>419</v>
      </c>
      <c r="D88" s="68" t="s">
        <v>33</v>
      </c>
      <c r="E88" s="68" t="s">
        <v>34</v>
      </c>
      <c r="F88" s="69">
        <v>0</v>
      </c>
      <c r="G88" s="68" t="s">
        <v>35</v>
      </c>
      <c r="H88" s="127">
        <v>1</v>
      </c>
      <c r="I88" s="127"/>
      <c r="J88" s="127">
        <v>2.25</v>
      </c>
      <c r="K88" s="320">
        <f t="shared" si="1"/>
        <v>2.25</v>
      </c>
      <c r="L88" s="70" t="s">
        <v>36</v>
      </c>
      <c r="M88" s="71"/>
    </row>
    <row r="89" spans="1:13" s="72" customFormat="1" hidden="1">
      <c r="A89" s="73"/>
      <c r="B89" s="74"/>
      <c r="C89" s="74"/>
      <c r="D89" s="74"/>
      <c r="E89" s="74"/>
      <c r="F89" s="75">
        <v>1000</v>
      </c>
      <c r="G89" s="74" t="s">
        <v>35</v>
      </c>
      <c r="H89" s="76">
        <v>1</v>
      </c>
      <c r="I89" s="76"/>
      <c r="J89" s="76">
        <v>2.25</v>
      </c>
      <c r="K89" s="321">
        <f t="shared" si="1"/>
        <v>2.25</v>
      </c>
      <c r="L89" s="77" t="s">
        <v>36</v>
      </c>
      <c r="M89" s="78"/>
    </row>
    <row r="90" spans="1:13" s="72" customFormat="1" hidden="1">
      <c r="A90" s="73"/>
      <c r="B90" s="74"/>
      <c r="C90" s="74"/>
      <c r="D90" s="74"/>
      <c r="E90" s="74"/>
      <c r="F90" s="75">
        <v>2000</v>
      </c>
      <c r="G90" s="74" t="s">
        <v>35</v>
      </c>
      <c r="H90" s="76">
        <v>1</v>
      </c>
      <c r="I90" s="76"/>
      <c r="J90" s="76">
        <v>1.6</v>
      </c>
      <c r="K90" s="321">
        <f t="shared" si="1"/>
        <v>1.6</v>
      </c>
      <c r="L90" s="77" t="s">
        <v>36</v>
      </c>
      <c r="M90" s="78"/>
    </row>
    <row r="91" spans="1:13" s="72" customFormat="1" hidden="1">
      <c r="A91" s="73"/>
      <c r="B91" s="74"/>
      <c r="C91" s="74"/>
      <c r="D91" s="74"/>
      <c r="E91" s="74"/>
      <c r="F91" s="75">
        <v>3000</v>
      </c>
      <c r="G91" s="74" t="s">
        <v>35</v>
      </c>
      <c r="H91" s="76">
        <v>1</v>
      </c>
      <c r="I91" s="76"/>
      <c r="J91" s="76">
        <v>1.4</v>
      </c>
      <c r="K91" s="321">
        <f t="shared" si="1"/>
        <v>1.4</v>
      </c>
      <c r="L91" s="77" t="s">
        <v>36</v>
      </c>
      <c r="M91" s="78"/>
    </row>
    <row r="92" spans="1:13" s="72" customFormat="1" hidden="1">
      <c r="A92" s="73"/>
      <c r="B92" s="74"/>
      <c r="C92" s="74"/>
      <c r="D92" s="74"/>
      <c r="E92" s="74"/>
      <c r="F92" s="75">
        <v>4000</v>
      </c>
      <c r="G92" s="74" t="s">
        <v>35</v>
      </c>
      <c r="H92" s="76">
        <v>1</v>
      </c>
      <c r="I92" s="76"/>
      <c r="J92" s="76">
        <v>1.35</v>
      </c>
      <c r="K92" s="321">
        <f t="shared" si="1"/>
        <v>1.35</v>
      </c>
      <c r="L92" s="77" t="s">
        <v>36</v>
      </c>
      <c r="M92" s="78"/>
    </row>
    <row r="93" spans="1:13" s="72" customFormat="1" hidden="1">
      <c r="A93" s="73"/>
      <c r="B93" s="74"/>
      <c r="C93" s="74"/>
      <c r="D93" s="74"/>
      <c r="E93" s="74"/>
      <c r="F93" s="75">
        <v>5000</v>
      </c>
      <c r="G93" s="74" t="s">
        <v>35</v>
      </c>
      <c r="H93" s="76">
        <v>1</v>
      </c>
      <c r="I93" s="76"/>
      <c r="J93" s="76">
        <v>1.3</v>
      </c>
      <c r="K93" s="321">
        <f t="shared" si="1"/>
        <v>1.3</v>
      </c>
      <c r="L93" s="77" t="s">
        <v>36</v>
      </c>
      <c r="M93" s="78"/>
    </row>
    <row r="94" spans="1:13" s="72" customFormat="1" hidden="1">
      <c r="A94" s="73"/>
      <c r="B94" s="74"/>
      <c r="C94" s="74"/>
      <c r="D94" s="74"/>
      <c r="E94" s="74"/>
      <c r="F94" s="75">
        <v>10000</v>
      </c>
      <c r="G94" s="74" t="s">
        <v>35</v>
      </c>
      <c r="H94" s="76">
        <v>1</v>
      </c>
      <c r="I94" s="76"/>
      <c r="J94" s="76">
        <v>1.18</v>
      </c>
      <c r="K94" s="321">
        <f t="shared" si="1"/>
        <v>1.18</v>
      </c>
      <c r="L94" s="77" t="s">
        <v>36</v>
      </c>
      <c r="M94" s="78"/>
    </row>
    <row r="95" spans="1:13" s="72" customFormat="1" hidden="1">
      <c r="A95" s="73"/>
      <c r="B95" s="74"/>
      <c r="C95" s="74"/>
      <c r="D95" s="74"/>
      <c r="E95" s="74"/>
      <c r="F95" s="75">
        <v>20000</v>
      </c>
      <c r="G95" s="74" t="s">
        <v>35</v>
      </c>
      <c r="H95" s="76">
        <v>1</v>
      </c>
      <c r="I95" s="76"/>
      <c r="J95" s="76">
        <v>1.1000000000000001</v>
      </c>
      <c r="K95" s="321">
        <f t="shared" si="1"/>
        <v>1.1000000000000001</v>
      </c>
      <c r="L95" s="77" t="s">
        <v>36</v>
      </c>
      <c r="M95" s="78"/>
    </row>
    <row r="96" spans="1:13" s="72" customFormat="1" hidden="1">
      <c r="A96" s="73"/>
      <c r="B96" s="74"/>
      <c r="C96" s="74"/>
      <c r="D96" s="74"/>
      <c r="E96" s="74"/>
      <c r="F96" s="75">
        <v>50000</v>
      </c>
      <c r="G96" s="74" t="s">
        <v>35</v>
      </c>
      <c r="H96" s="76">
        <v>1</v>
      </c>
      <c r="I96" s="76"/>
      <c r="J96" s="76">
        <v>1.06</v>
      </c>
      <c r="K96" s="321">
        <f t="shared" si="1"/>
        <v>1.06</v>
      </c>
      <c r="L96" s="77" t="s">
        <v>36</v>
      </c>
      <c r="M96" s="78"/>
    </row>
    <row r="97" spans="1:13" s="72" customFormat="1" hidden="1">
      <c r="A97" s="73"/>
      <c r="B97" s="74"/>
      <c r="C97" s="74"/>
      <c r="D97" s="74"/>
      <c r="E97" s="74"/>
      <c r="F97" s="75">
        <v>100000</v>
      </c>
      <c r="G97" s="74" t="s">
        <v>35</v>
      </c>
      <c r="H97" s="76">
        <v>1</v>
      </c>
      <c r="I97" s="76"/>
      <c r="J97" s="76">
        <v>1.02</v>
      </c>
      <c r="K97" s="321">
        <f t="shared" si="1"/>
        <v>1.02</v>
      </c>
      <c r="L97" s="77" t="s">
        <v>36</v>
      </c>
      <c r="M97" s="78"/>
    </row>
    <row r="98" spans="1:13" s="72" customFormat="1" hidden="1">
      <c r="A98" s="73"/>
      <c r="B98" s="74"/>
      <c r="C98" s="74"/>
      <c r="D98" s="74"/>
      <c r="E98" s="74"/>
      <c r="F98" s="75">
        <v>300000</v>
      </c>
      <c r="G98" s="74" t="s">
        <v>35</v>
      </c>
      <c r="H98" s="76">
        <v>1</v>
      </c>
      <c r="I98" s="76"/>
      <c r="J98" s="76">
        <v>0.99</v>
      </c>
      <c r="K98" s="321">
        <f t="shared" si="1"/>
        <v>0.99</v>
      </c>
      <c r="L98" s="77" t="s">
        <v>36</v>
      </c>
      <c r="M98" s="78"/>
    </row>
    <row r="99" spans="1:13" s="72" customFormat="1" ht="12.6" hidden="1" thickBot="1">
      <c r="A99" s="79"/>
      <c r="B99" s="80"/>
      <c r="C99" s="80"/>
      <c r="D99" s="80"/>
      <c r="E99" s="80"/>
      <c r="F99" s="81">
        <v>500000</v>
      </c>
      <c r="G99" s="80" t="s">
        <v>35</v>
      </c>
      <c r="H99" s="82">
        <v>1</v>
      </c>
      <c r="I99" s="82"/>
      <c r="J99" s="82">
        <v>0.97</v>
      </c>
      <c r="K99" s="322">
        <f t="shared" si="1"/>
        <v>0.97</v>
      </c>
      <c r="L99" s="83" t="s">
        <v>36</v>
      </c>
      <c r="M99" s="84"/>
    </row>
    <row r="100" spans="1:13" s="72" customFormat="1" hidden="1">
      <c r="A100" s="67" t="s">
        <v>420</v>
      </c>
      <c r="B100" s="68" t="s">
        <v>421</v>
      </c>
      <c r="C100" s="68" t="s">
        <v>422</v>
      </c>
      <c r="D100" s="68" t="s">
        <v>33</v>
      </c>
      <c r="E100" s="68" t="s">
        <v>34</v>
      </c>
      <c r="F100" s="69">
        <v>0</v>
      </c>
      <c r="G100" s="68" t="s">
        <v>35</v>
      </c>
      <c r="H100" s="127">
        <v>1</v>
      </c>
      <c r="I100" s="127"/>
      <c r="J100" s="127">
        <v>2.25</v>
      </c>
      <c r="K100" s="320">
        <f t="shared" si="1"/>
        <v>2.25</v>
      </c>
      <c r="L100" s="70" t="s">
        <v>36</v>
      </c>
      <c r="M100" s="71"/>
    </row>
    <row r="101" spans="1:13" s="72" customFormat="1" hidden="1">
      <c r="A101" s="73"/>
      <c r="B101" s="74"/>
      <c r="C101" s="74"/>
      <c r="D101" s="74"/>
      <c r="E101" s="74"/>
      <c r="F101" s="75">
        <v>1000</v>
      </c>
      <c r="G101" s="74" t="s">
        <v>35</v>
      </c>
      <c r="H101" s="76">
        <v>1</v>
      </c>
      <c r="I101" s="76"/>
      <c r="J101" s="76">
        <v>2.25</v>
      </c>
      <c r="K101" s="321">
        <f t="shared" si="1"/>
        <v>2.25</v>
      </c>
      <c r="L101" s="77" t="s">
        <v>36</v>
      </c>
      <c r="M101" s="78"/>
    </row>
    <row r="102" spans="1:13" s="72" customFormat="1" hidden="1">
      <c r="A102" s="73"/>
      <c r="B102" s="74"/>
      <c r="C102" s="74"/>
      <c r="D102" s="74"/>
      <c r="E102" s="74"/>
      <c r="F102" s="75">
        <v>2000</v>
      </c>
      <c r="G102" s="74" t="s">
        <v>35</v>
      </c>
      <c r="H102" s="76">
        <v>1</v>
      </c>
      <c r="I102" s="76"/>
      <c r="J102" s="76">
        <v>1.6</v>
      </c>
      <c r="K102" s="321">
        <f t="shared" si="1"/>
        <v>1.6</v>
      </c>
      <c r="L102" s="77" t="s">
        <v>36</v>
      </c>
      <c r="M102" s="78"/>
    </row>
    <row r="103" spans="1:13" s="72" customFormat="1" hidden="1">
      <c r="A103" s="73"/>
      <c r="B103" s="74"/>
      <c r="C103" s="74"/>
      <c r="D103" s="74"/>
      <c r="E103" s="74"/>
      <c r="F103" s="75">
        <v>3000</v>
      </c>
      <c r="G103" s="74" t="s">
        <v>35</v>
      </c>
      <c r="H103" s="76">
        <v>1</v>
      </c>
      <c r="I103" s="76"/>
      <c r="J103" s="76">
        <v>1.4</v>
      </c>
      <c r="K103" s="321">
        <f t="shared" si="1"/>
        <v>1.4</v>
      </c>
      <c r="L103" s="77" t="s">
        <v>36</v>
      </c>
      <c r="M103" s="78"/>
    </row>
    <row r="104" spans="1:13" s="72" customFormat="1" hidden="1">
      <c r="A104" s="73"/>
      <c r="B104" s="74"/>
      <c r="C104" s="74"/>
      <c r="D104" s="74"/>
      <c r="E104" s="74"/>
      <c r="F104" s="75">
        <v>4000</v>
      </c>
      <c r="G104" s="74" t="s">
        <v>35</v>
      </c>
      <c r="H104" s="76">
        <v>1</v>
      </c>
      <c r="I104" s="76"/>
      <c r="J104" s="76">
        <v>1.35</v>
      </c>
      <c r="K104" s="321">
        <f t="shared" si="1"/>
        <v>1.35</v>
      </c>
      <c r="L104" s="77" t="s">
        <v>36</v>
      </c>
      <c r="M104" s="78"/>
    </row>
    <row r="105" spans="1:13" s="72" customFormat="1" hidden="1">
      <c r="A105" s="73"/>
      <c r="B105" s="74"/>
      <c r="C105" s="74"/>
      <c r="D105" s="74"/>
      <c r="E105" s="74"/>
      <c r="F105" s="75">
        <v>5000</v>
      </c>
      <c r="G105" s="74" t="s">
        <v>35</v>
      </c>
      <c r="H105" s="76">
        <v>1</v>
      </c>
      <c r="I105" s="76"/>
      <c r="J105" s="76">
        <v>1.3</v>
      </c>
      <c r="K105" s="321">
        <f t="shared" si="1"/>
        <v>1.3</v>
      </c>
      <c r="L105" s="77" t="s">
        <v>36</v>
      </c>
      <c r="M105" s="78"/>
    </row>
    <row r="106" spans="1:13" s="72" customFormat="1" hidden="1">
      <c r="A106" s="73"/>
      <c r="B106" s="74"/>
      <c r="C106" s="74"/>
      <c r="D106" s="74"/>
      <c r="E106" s="74"/>
      <c r="F106" s="75">
        <v>10000</v>
      </c>
      <c r="G106" s="74" t="s">
        <v>35</v>
      </c>
      <c r="H106" s="76">
        <v>1</v>
      </c>
      <c r="I106" s="76"/>
      <c r="J106" s="76">
        <v>1.18</v>
      </c>
      <c r="K106" s="321">
        <f t="shared" si="1"/>
        <v>1.18</v>
      </c>
      <c r="L106" s="77" t="s">
        <v>36</v>
      </c>
      <c r="M106" s="78"/>
    </row>
    <row r="107" spans="1:13" s="72" customFormat="1" hidden="1">
      <c r="A107" s="73"/>
      <c r="B107" s="74"/>
      <c r="C107" s="74"/>
      <c r="D107" s="74"/>
      <c r="E107" s="74"/>
      <c r="F107" s="75">
        <v>20000</v>
      </c>
      <c r="G107" s="74" t="s">
        <v>35</v>
      </c>
      <c r="H107" s="76">
        <v>1</v>
      </c>
      <c r="I107" s="76"/>
      <c r="J107" s="76">
        <v>1.1000000000000001</v>
      </c>
      <c r="K107" s="321">
        <f t="shared" si="1"/>
        <v>1.1000000000000001</v>
      </c>
      <c r="L107" s="77" t="s">
        <v>36</v>
      </c>
      <c r="M107" s="78"/>
    </row>
    <row r="108" spans="1:13" s="72" customFormat="1" hidden="1">
      <c r="A108" s="73"/>
      <c r="B108" s="74"/>
      <c r="C108" s="74"/>
      <c r="D108" s="74"/>
      <c r="E108" s="74"/>
      <c r="F108" s="75">
        <v>50000</v>
      </c>
      <c r="G108" s="74" t="s">
        <v>35</v>
      </c>
      <c r="H108" s="76">
        <v>1</v>
      </c>
      <c r="I108" s="76"/>
      <c r="J108" s="76">
        <v>1.06</v>
      </c>
      <c r="K108" s="321">
        <f t="shared" si="1"/>
        <v>1.06</v>
      </c>
      <c r="L108" s="77" t="s">
        <v>36</v>
      </c>
      <c r="M108" s="78"/>
    </row>
    <row r="109" spans="1:13" s="72" customFormat="1" hidden="1">
      <c r="A109" s="73"/>
      <c r="B109" s="74"/>
      <c r="C109" s="74"/>
      <c r="D109" s="74"/>
      <c r="E109" s="74"/>
      <c r="F109" s="75">
        <v>100000</v>
      </c>
      <c r="G109" s="74" t="s">
        <v>35</v>
      </c>
      <c r="H109" s="76">
        <v>1</v>
      </c>
      <c r="I109" s="76"/>
      <c r="J109" s="76">
        <v>1.02</v>
      </c>
      <c r="K109" s="321">
        <f t="shared" si="1"/>
        <v>1.02</v>
      </c>
      <c r="L109" s="77" t="s">
        <v>36</v>
      </c>
      <c r="M109" s="78"/>
    </row>
    <row r="110" spans="1:13" s="72" customFormat="1" hidden="1">
      <c r="A110" s="73"/>
      <c r="B110" s="74"/>
      <c r="C110" s="74"/>
      <c r="D110" s="74"/>
      <c r="E110" s="74"/>
      <c r="F110" s="75">
        <v>300000</v>
      </c>
      <c r="G110" s="74" t="s">
        <v>35</v>
      </c>
      <c r="H110" s="76">
        <v>1</v>
      </c>
      <c r="I110" s="76"/>
      <c r="J110" s="76">
        <v>0.99</v>
      </c>
      <c r="K110" s="321">
        <f t="shared" si="1"/>
        <v>0.99</v>
      </c>
      <c r="L110" s="77" t="s">
        <v>36</v>
      </c>
      <c r="M110" s="78"/>
    </row>
    <row r="111" spans="1:13" s="72" customFormat="1" ht="12.6" hidden="1" thickBot="1">
      <c r="A111" s="79"/>
      <c r="B111" s="80"/>
      <c r="C111" s="80"/>
      <c r="D111" s="80"/>
      <c r="E111" s="80"/>
      <c r="F111" s="81">
        <v>500000</v>
      </c>
      <c r="G111" s="80" t="s">
        <v>35</v>
      </c>
      <c r="H111" s="82">
        <v>1</v>
      </c>
      <c r="I111" s="82"/>
      <c r="J111" s="82">
        <v>0.97</v>
      </c>
      <c r="K111" s="322">
        <f t="shared" si="1"/>
        <v>0.97</v>
      </c>
      <c r="L111" s="83" t="s">
        <v>36</v>
      </c>
      <c r="M111" s="84"/>
    </row>
    <row r="112" spans="1:13" s="72" customFormat="1" hidden="1">
      <c r="A112" s="67" t="s">
        <v>423</v>
      </c>
      <c r="B112" s="68" t="s">
        <v>418</v>
      </c>
      <c r="C112" s="68" t="s">
        <v>424</v>
      </c>
      <c r="D112" s="68" t="s">
        <v>33</v>
      </c>
      <c r="E112" s="68" t="s">
        <v>34</v>
      </c>
      <c r="F112" s="69">
        <v>0</v>
      </c>
      <c r="G112" s="68" t="s">
        <v>35</v>
      </c>
      <c r="H112" s="127">
        <v>1</v>
      </c>
      <c r="I112" s="127"/>
      <c r="J112" s="127">
        <v>0.64870000000000005</v>
      </c>
      <c r="K112" s="320">
        <f t="shared" si="1"/>
        <v>0.64870000000000005</v>
      </c>
      <c r="L112" s="70" t="s">
        <v>36</v>
      </c>
      <c r="M112" s="71"/>
    </row>
    <row r="113" spans="1:13" s="72" customFormat="1" ht="12.6" hidden="1" thickBot="1">
      <c r="A113" s="73"/>
      <c r="B113" s="74"/>
      <c r="C113" s="74"/>
      <c r="D113" s="74"/>
      <c r="E113" s="74"/>
      <c r="F113" s="75">
        <v>100000</v>
      </c>
      <c r="G113" s="74" t="s">
        <v>35</v>
      </c>
      <c r="H113" s="76">
        <v>1</v>
      </c>
      <c r="I113" s="76"/>
      <c r="J113" s="76">
        <v>0.64870000000000005</v>
      </c>
      <c r="K113" s="321">
        <f t="shared" si="1"/>
        <v>0.64870000000000005</v>
      </c>
      <c r="L113" s="77" t="s">
        <v>36</v>
      </c>
      <c r="M113" s="78"/>
    </row>
    <row r="114" spans="1:13" s="72" customFormat="1" hidden="1">
      <c r="A114" s="67" t="s">
        <v>425</v>
      </c>
      <c r="B114" s="68" t="s">
        <v>45</v>
      </c>
      <c r="C114" s="68" t="s">
        <v>426</v>
      </c>
      <c r="D114" s="68" t="s">
        <v>33</v>
      </c>
      <c r="E114" s="68" t="s">
        <v>34</v>
      </c>
      <c r="F114" s="69">
        <v>0</v>
      </c>
      <c r="G114" s="68" t="s">
        <v>35</v>
      </c>
      <c r="H114" s="127">
        <v>1</v>
      </c>
      <c r="I114" s="127"/>
      <c r="J114" s="127">
        <v>2.5</v>
      </c>
      <c r="K114" s="320">
        <f t="shared" si="1"/>
        <v>2.5</v>
      </c>
      <c r="L114" s="70" t="s">
        <v>36</v>
      </c>
      <c r="M114" s="71"/>
    </row>
    <row r="115" spans="1:13" s="72" customFormat="1" hidden="1">
      <c r="A115" s="73"/>
      <c r="B115" s="74"/>
      <c r="C115" s="74"/>
      <c r="D115" s="74"/>
      <c r="E115" s="74"/>
      <c r="F115" s="75">
        <v>1000</v>
      </c>
      <c r="G115" s="74" t="s">
        <v>35</v>
      </c>
      <c r="H115" s="76">
        <v>1</v>
      </c>
      <c r="I115" s="76"/>
      <c r="J115" s="76">
        <v>2.25</v>
      </c>
      <c r="K115" s="321">
        <f t="shared" si="1"/>
        <v>2.25</v>
      </c>
      <c r="L115" s="77" t="s">
        <v>36</v>
      </c>
      <c r="M115" s="78"/>
    </row>
    <row r="116" spans="1:13" s="72" customFormat="1" hidden="1">
      <c r="A116" s="73"/>
      <c r="B116" s="74"/>
      <c r="C116" s="74"/>
      <c r="D116" s="74"/>
      <c r="E116" s="74"/>
      <c r="F116" s="75">
        <v>2000</v>
      </c>
      <c r="G116" s="74" t="s">
        <v>35</v>
      </c>
      <c r="H116" s="76">
        <v>1</v>
      </c>
      <c r="I116" s="76"/>
      <c r="J116" s="76">
        <v>1.6</v>
      </c>
      <c r="K116" s="321">
        <f t="shared" si="1"/>
        <v>1.6</v>
      </c>
      <c r="L116" s="77" t="s">
        <v>36</v>
      </c>
      <c r="M116" s="78"/>
    </row>
    <row r="117" spans="1:13" s="72" customFormat="1" hidden="1">
      <c r="A117" s="73"/>
      <c r="B117" s="74"/>
      <c r="C117" s="74"/>
      <c r="D117" s="74"/>
      <c r="E117" s="74"/>
      <c r="F117" s="75">
        <v>3000</v>
      </c>
      <c r="G117" s="74" t="s">
        <v>35</v>
      </c>
      <c r="H117" s="76">
        <v>1</v>
      </c>
      <c r="I117" s="76"/>
      <c r="J117" s="76">
        <v>1.4</v>
      </c>
      <c r="K117" s="321">
        <f t="shared" si="1"/>
        <v>1.4</v>
      </c>
      <c r="L117" s="77" t="s">
        <v>36</v>
      </c>
      <c r="M117" s="78"/>
    </row>
    <row r="118" spans="1:13" s="72" customFormat="1" hidden="1">
      <c r="A118" s="73"/>
      <c r="B118" s="74"/>
      <c r="C118" s="74"/>
      <c r="D118" s="74"/>
      <c r="E118" s="74"/>
      <c r="F118" s="75">
        <v>4000</v>
      </c>
      <c r="G118" s="74" t="s">
        <v>35</v>
      </c>
      <c r="H118" s="76">
        <v>1</v>
      </c>
      <c r="I118" s="76"/>
      <c r="J118" s="76">
        <v>1.35</v>
      </c>
      <c r="K118" s="321">
        <f t="shared" si="1"/>
        <v>1.35</v>
      </c>
      <c r="L118" s="77" t="s">
        <v>36</v>
      </c>
      <c r="M118" s="78"/>
    </row>
    <row r="119" spans="1:13" s="72" customFormat="1" hidden="1">
      <c r="A119" s="73"/>
      <c r="B119" s="74"/>
      <c r="C119" s="74"/>
      <c r="D119" s="74"/>
      <c r="E119" s="74"/>
      <c r="F119" s="75">
        <v>5000</v>
      </c>
      <c r="G119" s="74" t="s">
        <v>35</v>
      </c>
      <c r="H119" s="76">
        <v>1</v>
      </c>
      <c r="I119" s="76"/>
      <c r="J119" s="76">
        <v>1.3</v>
      </c>
      <c r="K119" s="321">
        <f t="shared" si="1"/>
        <v>1.3</v>
      </c>
      <c r="L119" s="77" t="s">
        <v>36</v>
      </c>
      <c r="M119" s="78"/>
    </row>
    <row r="120" spans="1:13" s="72" customFormat="1" hidden="1">
      <c r="A120" s="73"/>
      <c r="B120" s="74"/>
      <c r="C120" s="74"/>
      <c r="D120" s="74"/>
      <c r="E120" s="74"/>
      <c r="F120" s="75">
        <v>10000</v>
      </c>
      <c r="G120" s="74" t="s">
        <v>35</v>
      </c>
      <c r="H120" s="76">
        <v>1</v>
      </c>
      <c r="I120" s="76"/>
      <c r="J120" s="76">
        <v>1.18</v>
      </c>
      <c r="K120" s="321">
        <f t="shared" si="1"/>
        <v>1.18</v>
      </c>
      <c r="L120" s="77" t="s">
        <v>36</v>
      </c>
      <c r="M120" s="78"/>
    </row>
    <row r="121" spans="1:13" s="72" customFormat="1" hidden="1">
      <c r="A121" s="73"/>
      <c r="B121" s="74"/>
      <c r="C121" s="74"/>
      <c r="D121" s="74"/>
      <c r="E121" s="74"/>
      <c r="F121" s="75">
        <v>20000</v>
      </c>
      <c r="G121" s="74" t="s">
        <v>35</v>
      </c>
      <c r="H121" s="76">
        <v>1</v>
      </c>
      <c r="I121" s="76"/>
      <c r="J121" s="76">
        <v>1.1000000000000001</v>
      </c>
      <c r="K121" s="321">
        <f t="shared" si="1"/>
        <v>1.1000000000000001</v>
      </c>
      <c r="L121" s="77" t="s">
        <v>36</v>
      </c>
      <c r="M121" s="78"/>
    </row>
    <row r="122" spans="1:13" s="72" customFormat="1" hidden="1">
      <c r="A122" s="73"/>
      <c r="B122" s="74"/>
      <c r="C122" s="74"/>
      <c r="D122" s="74"/>
      <c r="E122" s="74"/>
      <c r="F122" s="75">
        <v>50000</v>
      </c>
      <c r="G122" s="74" t="s">
        <v>35</v>
      </c>
      <c r="H122" s="76">
        <v>1</v>
      </c>
      <c r="I122" s="76"/>
      <c r="J122" s="76">
        <v>1.06</v>
      </c>
      <c r="K122" s="321">
        <f t="shared" si="1"/>
        <v>1.06</v>
      </c>
      <c r="L122" s="77" t="s">
        <v>36</v>
      </c>
      <c r="M122" s="78"/>
    </row>
    <row r="123" spans="1:13" s="72" customFormat="1" hidden="1">
      <c r="A123" s="73"/>
      <c r="B123" s="74"/>
      <c r="C123" s="74"/>
      <c r="D123" s="74"/>
      <c r="E123" s="74"/>
      <c r="F123" s="75">
        <v>100000</v>
      </c>
      <c r="G123" s="74" t="s">
        <v>35</v>
      </c>
      <c r="H123" s="76">
        <v>1</v>
      </c>
      <c r="I123" s="76"/>
      <c r="J123" s="76">
        <v>1.02</v>
      </c>
      <c r="K123" s="321">
        <f t="shared" si="1"/>
        <v>1.02</v>
      </c>
      <c r="L123" s="77" t="s">
        <v>36</v>
      </c>
      <c r="M123" s="78"/>
    </row>
    <row r="124" spans="1:13" s="72" customFormat="1" hidden="1">
      <c r="A124" s="73"/>
      <c r="B124" s="74"/>
      <c r="C124" s="74"/>
      <c r="D124" s="74"/>
      <c r="E124" s="74"/>
      <c r="F124" s="75">
        <v>300000</v>
      </c>
      <c r="G124" s="74" t="s">
        <v>35</v>
      </c>
      <c r="H124" s="76">
        <v>1</v>
      </c>
      <c r="I124" s="76"/>
      <c r="J124" s="76">
        <v>0.99</v>
      </c>
      <c r="K124" s="321">
        <f t="shared" si="1"/>
        <v>0.99</v>
      </c>
      <c r="L124" s="77" t="s">
        <v>36</v>
      </c>
      <c r="M124" s="78"/>
    </row>
    <row r="125" spans="1:13" s="72" customFormat="1" ht="12.6" hidden="1" thickBot="1">
      <c r="A125" s="79"/>
      <c r="B125" s="80"/>
      <c r="C125" s="80"/>
      <c r="D125" s="80"/>
      <c r="E125" s="80"/>
      <c r="F125" s="81">
        <v>500000</v>
      </c>
      <c r="G125" s="80" t="s">
        <v>35</v>
      </c>
      <c r="H125" s="82">
        <v>1</v>
      </c>
      <c r="I125" s="82"/>
      <c r="J125" s="82">
        <v>0.97</v>
      </c>
      <c r="K125" s="322">
        <f t="shared" si="1"/>
        <v>0.97</v>
      </c>
      <c r="L125" s="83" t="s">
        <v>36</v>
      </c>
      <c r="M125" s="84"/>
    </row>
    <row r="126" spans="1:13" s="72" customFormat="1" hidden="1">
      <c r="A126" s="85" t="s">
        <v>427</v>
      </c>
      <c r="B126" s="86" t="s">
        <v>428</v>
      </c>
      <c r="C126" s="86" t="s">
        <v>429</v>
      </c>
      <c r="D126" s="86" t="s">
        <v>33</v>
      </c>
      <c r="E126" s="86" t="s">
        <v>34</v>
      </c>
      <c r="F126" s="87">
        <v>0</v>
      </c>
      <c r="G126" s="68" t="s">
        <v>35</v>
      </c>
      <c r="H126" s="68">
        <v>1</v>
      </c>
      <c r="I126" s="68"/>
      <c r="J126" s="68">
        <v>1.02</v>
      </c>
      <c r="K126" s="320">
        <f t="shared" si="1"/>
        <v>1.02</v>
      </c>
      <c r="L126" s="70" t="s">
        <v>36</v>
      </c>
      <c r="M126" s="71"/>
    </row>
    <row r="127" spans="1:13" s="72" customFormat="1" ht="12.6" hidden="1" thickBot="1">
      <c r="A127" s="88"/>
      <c r="B127" s="89"/>
      <c r="C127" s="89"/>
      <c r="D127" s="89"/>
      <c r="E127" s="89"/>
      <c r="F127" s="90">
        <v>100000</v>
      </c>
      <c r="G127" s="74" t="s">
        <v>35</v>
      </c>
      <c r="H127" s="74">
        <v>1</v>
      </c>
      <c r="I127" s="74"/>
      <c r="J127" s="74">
        <v>1.02</v>
      </c>
      <c r="K127" s="321">
        <f t="shared" si="1"/>
        <v>1.02</v>
      </c>
      <c r="L127" s="77" t="s">
        <v>36</v>
      </c>
      <c r="M127" s="78"/>
    </row>
    <row r="128" spans="1:13" s="72" customFormat="1" hidden="1">
      <c r="A128" s="85" t="s">
        <v>223</v>
      </c>
      <c r="B128" s="86" t="s">
        <v>224</v>
      </c>
      <c r="C128" s="86" t="s">
        <v>438</v>
      </c>
      <c r="D128" s="86" t="s">
        <v>33</v>
      </c>
      <c r="E128" s="86" t="s">
        <v>34</v>
      </c>
      <c r="F128" s="75">
        <v>0</v>
      </c>
      <c r="G128" s="68" t="s">
        <v>436</v>
      </c>
      <c r="H128" s="68">
        <v>1</v>
      </c>
      <c r="I128" s="68"/>
      <c r="J128" s="68">
        <v>1.34</v>
      </c>
      <c r="K128" s="320">
        <f t="shared" ref="K128:K133" si="2">J128/H128</f>
        <v>1.34</v>
      </c>
      <c r="L128" s="70" t="s">
        <v>36</v>
      </c>
      <c r="M128" s="71"/>
    </row>
    <row r="129" spans="1:13" s="72" customFormat="1" hidden="1">
      <c r="A129" s="91"/>
      <c r="B129" s="92"/>
      <c r="C129" s="92"/>
      <c r="D129" s="92"/>
      <c r="E129" s="92"/>
      <c r="F129" s="75">
        <v>5000</v>
      </c>
      <c r="G129" s="93" t="s">
        <v>436</v>
      </c>
      <c r="H129" s="93">
        <v>1</v>
      </c>
      <c r="I129" s="93"/>
      <c r="J129" s="93">
        <v>1.34</v>
      </c>
      <c r="K129" s="323">
        <f t="shared" si="2"/>
        <v>1.34</v>
      </c>
      <c r="L129" s="94" t="s">
        <v>437</v>
      </c>
      <c r="M129" s="95"/>
    </row>
    <row r="130" spans="1:13" s="72" customFormat="1" hidden="1">
      <c r="A130" s="91"/>
      <c r="B130" s="92"/>
      <c r="C130" s="92"/>
      <c r="D130" s="92"/>
      <c r="E130" s="92"/>
      <c r="F130" s="75">
        <v>10000</v>
      </c>
      <c r="G130" s="93" t="s">
        <v>436</v>
      </c>
      <c r="H130" s="93">
        <v>1</v>
      </c>
      <c r="I130" s="93"/>
      <c r="J130" s="93">
        <v>1.03</v>
      </c>
      <c r="K130" s="323">
        <f t="shared" si="2"/>
        <v>1.03</v>
      </c>
      <c r="L130" s="94" t="s">
        <v>437</v>
      </c>
      <c r="M130" s="95"/>
    </row>
    <row r="131" spans="1:13" s="72" customFormat="1" hidden="1">
      <c r="A131" s="91"/>
      <c r="B131" s="92"/>
      <c r="C131" s="92"/>
      <c r="D131" s="92"/>
      <c r="E131" s="92"/>
      <c r="F131" s="75">
        <v>20000</v>
      </c>
      <c r="G131" s="93" t="s">
        <v>436</v>
      </c>
      <c r="H131" s="93">
        <v>1</v>
      </c>
      <c r="I131" s="93"/>
      <c r="J131" s="93">
        <v>0.9</v>
      </c>
      <c r="K131" s="323">
        <f t="shared" si="2"/>
        <v>0.9</v>
      </c>
      <c r="L131" s="94" t="s">
        <v>437</v>
      </c>
      <c r="M131" s="95"/>
    </row>
    <row r="132" spans="1:13" s="72" customFormat="1" hidden="1">
      <c r="A132" s="91"/>
      <c r="B132" s="92"/>
      <c r="C132" s="92"/>
      <c r="D132" s="92"/>
      <c r="E132" s="92"/>
      <c r="F132" s="75">
        <v>50000</v>
      </c>
      <c r="G132" s="93" t="s">
        <v>436</v>
      </c>
      <c r="H132" s="93">
        <v>1</v>
      </c>
      <c r="I132" s="93"/>
      <c r="J132" s="93">
        <v>0.82</v>
      </c>
      <c r="K132" s="323">
        <f t="shared" si="2"/>
        <v>0.82</v>
      </c>
      <c r="L132" s="94" t="s">
        <v>437</v>
      </c>
      <c r="M132" s="95"/>
    </row>
    <row r="133" spans="1:13" s="72" customFormat="1" ht="12.6" hidden="1" thickBot="1">
      <c r="A133" s="88"/>
      <c r="B133" s="89"/>
      <c r="C133" s="89"/>
      <c r="D133" s="89"/>
      <c r="E133" s="89"/>
      <c r="F133" s="75">
        <v>100000</v>
      </c>
      <c r="G133" s="74" t="s">
        <v>35</v>
      </c>
      <c r="H133" s="74">
        <v>1</v>
      </c>
      <c r="I133" s="74"/>
      <c r="J133" s="74">
        <v>0.81</v>
      </c>
      <c r="K133" s="321">
        <f t="shared" si="2"/>
        <v>0.81</v>
      </c>
      <c r="L133" s="77" t="s">
        <v>36</v>
      </c>
      <c r="M133" s="78"/>
    </row>
    <row r="134" spans="1:13" s="263" customFormat="1" hidden="1">
      <c r="A134" s="257" t="s">
        <v>430</v>
      </c>
      <c r="B134" s="258" t="s">
        <v>431</v>
      </c>
      <c r="C134" s="258" t="s">
        <v>432</v>
      </c>
      <c r="D134" s="258" t="s">
        <v>33</v>
      </c>
      <c r="E134" s="258" t="s">
        <v>34</v>
      </c>
      <c r="F134" s="259">
        <v>0</v>
      </c>
      <c r="G134" s="260" t="s">
        <v>35</v>
      </c>
      <c r="H134" s="260">
        <v>1</v>
      </c>
      <c r="I134" s="260"/>
      <c r="J134" s="260">
        <v>0.81</v>
      </c>
      <c r="K134" s="320">
        <v>0.81</v>
      </c>
      <c r="L134" s="261" t="s">
        <v>36</v>
      </c>
      <c r="M134" s="262"/>
    </row>
    <row r="135" spans="1:13" s="263" customFormat="1" ht="12.6" hidden="1" thickBot="1">
      <c r="A135" s="264"/>
      <c r="B135" s="265"/>
      <c r="C135" s="265"/>
      <c r="D135" s="265"/>
      <c r="E135" s="265"/>
      <c r="F135" s="266">
        <v>100000</v>
      </c>
      <c r="G135" s="267" t="s">
        <v>35</v>
      </c>
      <c r="H135" s="267">
        <v>1</v>
      </c>
      <c r="I135" s="267"/>
      <c r="J135" s="267">
        <v>0.81</v>
      </c>
      <c r="K135" s="321">
        <v>0.81</v>
      </c>
      <c r="L135" s="268" t="s">
        <v>36</v>
      </c>
      <c r="M135" s="269"/>
    </row>
    <row r="136" spans="1:13" s="263" customFormat="1" hidden="1">
      <c r="A136" s="257" t="s">
        <v>433</v>
      </c>
      <c r="B136" s="258" t="s">
        <v>434</v>
      </c>
      <c r="C136" s="258" t="s">
        <v>435</v>
      </c>
      <c r="D136" s="258" t="s">
        <v>33</v>
      </c>
      <c r="E136" s="258" t="s">
        <v>34</v>
      </c>
      <c r="F136" s="270">
        <v>0</v>
      </c>
      <c r="G136" s="260" t="s">
        <v>436</v>
      </c>
      <c r="H136" s="260">
        <v>1</v>
      </c>
      <c r="I136" s="260"/>
      <c r="J136" s="260">
        <v>0.9</v>
      </c>
      <c r="K136" s="320">
        <f t="shared" ref="K136:K139" si="3">J136/H136</f>
        <v>0.9</v>
      </c>
      <c r="L136" s="261" t="s">
        <v>36</v>
      </c>
      <c r="M136" s="262"/>
    </row>
    <row r="137" spans="1:13" s="263" customFormat="1" hidden="1">
      <c r="A137" s="271"/>
      <c r="B137" s="272"/>
      <c r="C137" s="272"/>
      <c r="D137" s="272"/>
      <c r="E137" s="272"/>
      <c r="F137" s="273">
        <v>20000</v>
      </c>
      <c r="G137" s="274" t="s">
        <v>436</v>
      </c>
      <c r="H137" s="274">
        <v>1</v>
      </c>
      <c r="I137" s="274"/>
      <c r="J137" s="274">
        <v>0.9</v>
      </c>
      <c r="K137" s="323">
        <f t="shared" si="3"/>
        <v>0.9</v>
      </c>
      <c r="L137" s="275" t="s">
        <v>437</v>
      </c>
      <c r="M137" s="276"/>
    </row>
    <row r="138" spans="1:13" s="263" customFormat="1" hidden="1">
      <c r="A138" s="271"/>
      <c r="B138" s="272"/>
      <c r="C138" s="272"/>
      <c r="D138" s="272"/>
      <c r="E138" s="272"/>
      <c r="F138" s="273">
        <v>50000</v>
      </c>
      <c r="G138" s="274" t="s">
        <v>436</v>
      </c>
      <c r="H138" s="274">
        <v>1</v>
      </c>
      <c r="I138" s="274"/>
      <c r="J138" s="274">
        <v>0.82</v>
      </c>
      <c r="K138" s="323">
        <f t="shared" si="3"/>
        <v>0.82</v>
      </c>
      <c r="L138" s="275" t="s">
        <v>437</v>
      </c>
      <c r="M138" s="276"/>
    </row>
    <row r="139" spans="1:13" s="263" customFormat="1" ht="12.6" hidden="1" thickBot="1">
      <c r="A139" s="264"/>
      <c r="B139" s="265"/>
      <c r="C139" s="265"/>
      <c r="D139" s="265"/>
      <c r="E139" s="265"/>
      <c r="F139" s="273">
        <v>100000</v>
      </c>
      <c r="G139" s="267" t="s">
        <v>35</v>
      </c>
      <c r="H139" s="267">
        <v>1</v>
      </c>
      <c r="I139" s="267"/>
      <c r="J139" s="267">
        <v>0.81</v>
      </c>
      <c r="K139" s="321">
        <f t="shared" si="3"/>
        <v>0.81</v>
      </c>
      <c r="L139" s="268" t="s">
        <v>36</v>
      </c>
      <c r="M139" s="269"/>
    </row>
    <row r="140" spans="1:13" s="400" customFormat="1" hidden="1">
      <c r="A140" s="394" t="s">
        <v>522</v>
      </c>
      <c r="B140" s="395" t="s">
        <v>549</v>
      </c>
      <c r="C140" s="395" t="s">
        <v>550</v>
      </c>
      <c r="D140" s="395" t="s">
        <v>33</v>
      </c>
      <c r="E140" s="395" t="s">
        <v>34</v>
      </c>
      <c r="F140" s="414">
        <v>0</v>
      </c>
      <c r="G140" s="397" t="s">
        <v>35</v>
      </c>
      <c r="H140" s="397">
        <v>1</v>
      </c>
      <c r="I140" s="397"/>
      <c r="J140" s="397">
        <v>0.81</v>
      </c>
      <c r="K140" s="397">
        <v>0.81</v>
      </c>
      <c r="L140" s="398" t="s">
        <v>36</v>
      </c>
      <c r="M140" s="399"/>
    </row>
    <row r="141" spans="1:13" s="400" customFormat="1" ht="12.6" hidden="1" thickBot="1">
      <c r="A141" s="401"/>
      <c r="B141" s="402"/>
      <c r="C141" s="402"/>
      <c r="D141" s="402"/>
      <c r="E141" s="402"/>
      <c r="F141" s="465">
        <v>100000</v>
      </c>
      <c r="G141" s="404" t="s">
        <v>35</v>
      </c>
      <c r="H141" s="404">
        <v>1</v>
      </c>
      <c r="I141" s="404"/>
      <c r="J141" s="404">
        <v>0.81</v>
      </c>
      <c r="K141" s="404">
        <v>0.81</v>
      </c>
      <c r="L141" s="405" t="s">
        <v>36</v>
      </c>
      <c r="M141" s="406"/>
    </row>
    <row r="142" spans="1:13" s="400" customFormat="1" hidden="1">
      <c r="A142" s="394" t="s">
        <v>562</v>
      </c>
      <c r="B142" s="395" t="s">
        <v>523</v>
      </c>
      <c r="C142" s="395" t="s">
        <v>551</v>
      </c>
      <c r="D142" s="395" t="s">
        <v>33</v>
      </c>
      <c r="E142" s="395" t="s">
        <v>34</v>
      </c>
      <c r="F142" s="396">
        <v>0</v>
      </c>
      <c r="G142" s="397" t="s">
        <v>552</v>
      </c>
      <c r="H142" s="397">
        <v>1</v>
      </c>
      <c r="I142" s="397"/>
      <c r="J142" s="397">
        <v>1.34</v>
      </c>
      <c r="K142" s="397">
        <f t="shared" ref="K142:K147" si="4">J142/H142</f>
        <v>1.34</v>
      </c>
      <c r="L142" s="398" t="s">
        <v>36</v>
      </c>
      <c r="M142" s="399"/>
    </row>
    <row r="143" spans="1:13" s="400" customFormat="1" hidden="1">
      <c r="A143" s="416"/>
      <c r="B143" s="417"/>
      <c r="C143" s="417"/>
      <c r="D143" s="417"/>
      <c r="E143" s="417"/>
      <c r="F143" s="396">
        <v>5000</v>
      </c>
      <c r="G143" s="418" t="s">
        <v>552</v>
      </c>
      <c r="H143" s="418">
        <v>1</v>
      </c>
      <c r="I143" s="418"/>
      <c r="J143" s="418">
        <v>1.34</v>
      </c>
      <c r="K143" s="418">
        <f t="shared" si="4"/>
        <v>1.34</v>
      </c>
      <c r="L143" s="420" t="s">
        <v>553</v>
      </c>
      <c r="M143" s="421"/>
    </row>
    <row r="144" spans="1:13" s="400" customFormat="1" hidden="1">
      <c r="A144" s="416"/>
      <c r="B144" s="417"/>
      <c r="C144" s="417"/>
      <c r="D144" s="417"/>
      <c r="E144" s="417"/>
      <c r="F144" s="396">
        <v>10000</v>
      </c>
      <c r="G144" s="418" t="s">
        <v>552</v>
      </c>
      <c r="H144" s="418">
        <v>1</v>
      </c>
      <c r="I144" s="418"/>
      <c r="J144" s="418">
        <v>1.03</v>
      </c>
      <c r="K144" s="418">
        <f t="shared" si="4"/>
        <v>1.03</v>
      </c>
      <c r="L144" s="420" t="s">
        <v>553</v>
      </c>
      <c r="M144" s="421"/>
    </row>
    <row r="145" spans="1:13" s="400" customFormat="1" hidden="1">
      <c r="A145" s="416"/>
      <c r="B145" s="417"/>
      <c r="C145" s="417"/>
      <c r="D145" s="417"/>
      <c r="E145" s="417"/>
      <c r="F145" s="403">
        <v>20000</v>
      </c>
      <c r="G145" s="418" t="s">
        <v>552</v>
      </c>
      <c r="H145" s="418">
        <v>1</v>
      </c>
      <c r="I145" s="418"/>
      <c r="J145" s="418">
        <v>0.9</v>
      </c>
      <c r="K145" s="418">
        <f t="shared" si="4"/>
        <v>0.9</v>
      </c>
      <c r="L145" s="420" t="s">
        <v>553</v>
      </c>
      <c r="M145" s="421"/>
    </row>
    <row r="146" spans="1:13" s="400" customFormat="1" hidden="1">
      <c r="A146" s="416"/>
      <c r="B146" s="417"/>
      <c r="C146" s="417"/>
      <c r="D146" s="417"/>
      <c r="E146" s="417"/>
      <c r="F146" s="403">
        <v>50000</v>
      </c>
      <c r="G146" s="418" t="s">
        <v>552</v>
      </c>
      <c r="H146" s="418">
        <v>1</v>
      </c>
      <c r="I146" s="418"/>
      <c r="J146" s="418">
        <v>0.82</v>
      </c>
      <c r="K146" s="418">
        <f t="shared" si="4"/>
        <v>0.82</v>
      </c>
      <c r="L146" s="420" t="s">
        <v>553</v>
      </c>
      <c r="M146" s="421"/>
    </row>
    <row r="147" spans="1:13" s="400" customFormat="1" ht="12.6" hidden="1" thickBot="1">
      <c r="A147" s="401"/>
      <c r="B147" s="402"/>
      <c r="C147" s="402"/>
      <c r="D147" s="402"/>
      <c r="E147" s="402"/>
      <c r="F147" s="465">
        <v>100000</v>
      </c>
      <c r="G147" s="404" t="s">
        <v>35</v>
      </c>
      <c r="H147" s="404">
        <v>1</v>
      </c>
      <c r="I147" s="404"/>
      <c r="J147" s="404">
        <v>0.81</v>
      </c>
      <c r="K147" s="404">
        <f t="shared" si="4"/>
        <v>0.81</v>
      </c>
      <c r="L147" s="405" t="s">
        <v>36</v>
      </c>
      <c r="M147" s="406"/>
    </row>
    <row r="148" spans="1:13" s="400" customFormat="1" ht="14.25" hidden="1" customHeight="1">
      <c r="A148" s="394" t="s">
        <v>554</v>
      </c>
      <c r="B148" s="395" t="s">
        <v>524</v>
      </c>
      <c r="C148" s="395" t="s">
        <v>555</v>
      </c>
      <c r="D148" s="395" t="s">
        <v>33</v>
      </c>
      <c r="E148" s="395" t="s">
        <v>34</v>
      </c>
      <c r="F148" s="396">
        <v>0</v>
      </c>
      <c r="G148" s="397" t="s">
        <v>552</v>
      </c>
      <c r="H148" s="397">
        <v>1</v>
      </c>
      <c r="I148" s="397"/>
      <c r="J148" s="397">
        <v>0.9</v>
      </c>
      <c r="K148" s="397">
        <f t="shared" ref="K148:K149" si="5">J148/H148</f>
        <v>0.9</v>
      </c>
      <c r="L148" s="398" t="s">
        <v>36</v>
      </c>
      <c r="M148" s="399"/>
    </row>
    <row r="149" spans="1:13" s="400" customFormat="1" ht="12.6" hidden="1" thickBot="1">
      <c r="A149" s="401"/>
      <c r="B149" s="402"/>
      <c r="C149" s="402"/>
      <c r="D149" s="402"/>
      <c r="E149" s="402"/>
      <c r="F149" s="403">
        <v>2000</v>
      </c>
      <c r="G149" s="404" t="s">
        <v>35</v>
      </c>
      <c r="H149" s="404">
        <v>1</v>
      </c>
      <c r="I149" s="404"/>
      <c r="J149" s="404">
        <v>0.9</v>
      </c>
      <c r="K149" s="404">
        <f t="shared" si="5"/>
        <v>0.9</v>
      </c>
      <c r="L149" s="405" t="s">
        <v>36</v>
      </c>
      <c r="M149" s="406"/>
    </row>
    <row r="150" spans="1:13" s="400" customFormat="1" ht="12.6" hidden="1" thickBot="1">
      <c r="A150" s="407" t="s">
        <v>46</v>
      </c>
      <c r="B150" s="408" t="s">
        <v>47</v>
      </c>
      <c r="C150" s="408" t="s">
        <v>439</v>
      </c>
      <c r="D150" s="408" t="s">
        <v>48</v>
      </c>
      <c r="E150" s="408" t="s">
        <v>49</v>
      </c>
      <c r="F150" s="409">
        <v>0</v>
      </c>
      <c r="G150" s="408" t="s">
        <v>35</v>
      </c>
      <c r="H150" s="408">
        <v>1</v>
      </c>
      <c r="I150" s="408"/>
      <c r="J150" s="408">
        <v>6.69</v>
      </c>
      <c r="K150" s="410">
        <f t="shared" si="1"/>
        <v>6.69</v>
      </c>
      <c r="L150" s="411" t="s">
        <v>36</v>
      </c>
      <c r="M150" s="412"/>
    </row>
    <row r="151" spans="1:13" s="400" customFormat="1" ht="12.6" hidden="1" thickBot="1">
      <c r="A151" s="407" t="s">
        <v>50</v>
      </c>
      <c r="B151" s="408" t="s">
        <v>51</v>
      </c>
      <c r="C151" s="408" t="s">
        <v>405</v>
      </c>
      <c r="D151" s="408" t="s">
        <v>48</v>
      </c>
      <c r="E151" s="408" t="s">
        <v>49</v>
      </c>
      <c r="F151" s="409">
        <v>0</v>
      </c>
      <c r="G151" s="408" t="s">
        <v>35</v>
      </c>
      <c r="H151" s="408">
        <v>1</v>
      </c>
      <c r="I151" s="408"/>
      <c r="J151" s="408">
        <v>6.69</v>
      </c>
      <c r="K151" s="410">
        <f t="shared" si="1"/>
        <v>6.69</v>
      </c>
      <c r="L151" s="411" t="s">
        <v>36</v>
      </c>
      <c r="M151" s="412"/>
    </row>
    <row r="152" spans="1:13" s="400" customFormat="1" ht="12.6" hidden="1" thickBot="1">
      <c r="A152" s="407" t="s">
        <v>52</v>
      </c>
      <c r="B152" s="408" t="s">
        <v>53</v>
      </c>
      <c r="C152" s="408" t="s">
        <v>406</v>
      </c>
      <c r="D152" s="408" t="s">
        <v>48</v>
      </c>
      <c r="E152" s="408" t="s">
        <v>49</v>
      </c>
      <c r="F152" s="409">
        <v>0</v>
      </c>
      <c r="G152" s="408" t="s">
        <v>35</v>
      </c>
      <c r="H152" s="408">
        <v>1</v>
      </c>
      <c r="I152" s="408"/>
      <c r="J152" s="408">
        <v>6.69</v>
      </c>
      <c r="K152" s="410">
        <f t="shared" si="1"/>
        <v>6.69</v>
      </c>
      <c r="L152" s="411" t="s">
        <v>36</v>
      </c>
      <c r="M152" s="412"/>
    </row>
    <row r="153" spans="1:13" s="400" customFormat="1" ht="12.6" hidden="1" thickBot="1">
      <c r="A153" s="407" t="s">
        <v>54</v>
      </c>
      <c r="B153" s="408" t="s">
        <v>55</v>
      </c>
      <c r="C153" s="408" t="s">
        <v>407</v>
      </c>
      <c r="D153" s="408" t="s">
        <v>48</v>
      </c>
      <c r="E153" s="408" t="s">
        <v>49</v>
      </c>
      <c r="F153" s="409">
        <v>0</v>
      </c>
      <c r="G153" s="408" t="s">
        <v>35</v>
      </c>
      <c r="H153" s="408">
        <v>1</v>
      </c>
      <c r="I153" s="408"/>
      <c r="J153" s="408">
        <v>6.69</v>
      </c>
      <c r="K153" s="410">
        <f t="shared" si="1"/>
        <v>6.69</v>
      </c>
      <c r="L153" s="411" t="s">
        <v>36</v>
      </c>
      <c r="M153" s="412"/>
    </row>
    <row r="154" spans="1:13" s="400" customFormat="1" ht="12.6" hidden="1" thickBot="1">
      <c r="A154" s="407" t="s">
        <v>56</v>
      </c>
      <c r="B154" s="408" t="s">
        <v>57</v>
      </c>
      <c r="C154" s="408" t="s">
        <v>408</v>
      </c>
      <c r="D154" s="408" t="s">
        <v>48</v>
      </c>
      <c r="E154" s="408" t="s">
        <v>49</v>
      </c>
      <c r="F154" s="409">
        <v>0</v>
      </c>
      <c r="G154" s="408" t="s">
        <v>35</v>
      </c>
      <c r="H154" s="408">
        <v>1</v>
      </c>
      <c r="I154" s="408"/>
      <c r="J154" s="408">
        <v>6.69</v>
      </c>
      <c r="K154" s="410">
        <f t="shared" ref="K154:K267" si="6">J154/H154</f>
        <v>6.69</v>
      </c>
      <c r="L154" s="411" t="s">
        <v>36</v>
      </c>
      <c r="M154" s="412"/>
    </row>
    <row r="155" spans="1:13" s="400" customFormat="1" ht="12.6" hidden="1" thickBot="1">
      <c r="A155" s="407" t="s">
        <v>440</v>
      </c>
      <c r="B155" s="408" t="s">
        <v>441</v>
      </c>
      <c r="C155" s="408" t="s">
        <v>442</v>
      </c>
      <c r="D155" s="408" t="s">
        <v>48</v>
      </c>
      <c r="E155" s="408" t="s">
        <v>49</v>
      </c>
      <c r="F155" s="409">
        <v>0</v>
      </c>
      <c r="G155" s="408" t="s">
        <v>35</v>
      </c>
      <c r="H155" s="408">
        <v>1</v>
      </c>
      <c r="I155" s="408"/>
      <c r="J155" s="408">
        <v>6.69</v>
      </c>
      <c r="K155" s="410">
        <f t="shared" si="6"/>
        <v>6.69</v>
      </c>
      <c r="L155" s="411" t="s">
        <v>36</v>
      </c>
      <c r="M155" s="412"/>
    </row>
    <row r="156" spans="1:13" s="400" customFormat="1" ht="12.6" hidden="1" thickBot="1">
      <c r="A156" s="407" t="s">
        <v>443</v>
      </c>
      <c r="B156" s="408" t="s">
        <v>444</v>
      </c>
      <c r="C156" s="408" t="s">
        <v>413</v>
      </c>
      <c r="D156" s="408" t="s">
        <v>48</v>
      </c>
      <c r="E156" s="408" t="s">
        <v>49</v>
      </c>
      <c r="F156" s="409">
        <v>0</v>
      </c>
      <c r="G156" s="408" t="s">
        <v>35</v>
      </c>
      <c r="H156" s="408">
        <v>1</v>
      </c>
      <c r="I156" s="408"/>
      <c r="J156" s="408">
        <v>6.69</v>
      </c>
      <c r="K156" s="410">
        <f t="shared" si="6"/>
        <v>6.69</v>
      </c>
      <c r="L156" s="411" t="s">
        <v>36</v>
      </c>
      <c r="M156" s="412"/>
    </row>
    <row r="157" spans="1:13" s="400" customFormat="1" ht="12.6" hidden="1" thickBot="1">
      <c r="A157" s="407" t="s">
        <v>445</v>
      </c>
      <c r="B157" s="408" t="s">
        <v>446</v>
      </c>
      <c r="C157" s="408" t="s">
        <v>416</v>
      </c>
      <c r="D157" s="408" t="s">
        <v>48</v>
      </c>
      <c r="E157" s="408" t="s">
        <v>49</v>
      </c>
      <c r="F157" s="409">
        <v>0</v>
      </c>
      <c r="G157" s="408" t="s">
        <v>35</v>
      </c>
      <c r="H157" s="408">
        <v>1</v>
      </c>
      <c r="I157" s="408"/>
      <c r="J157" s="408">
        <v>6.69</v>
      </c>
      <c r="K157" s="410">
        <f t="shared" si="6"/>
        <v>6.69</v>
      </c>
      <c r="L157" s="411" t="s">
        <v>36</v>
      </c>
      <c r="M157" s="412"/>
    </row>
    <row r="158" spans="1:13" s="400" customFormat="1" ht="12.6" hidden="1" thickBot="1">
      <c r="A158" s="407" t="s">
        <v>447</v>
      </c>
      <c r="B158" s="408" t="s">
        <v>448</v>
      </c>
      <c r="C158" s="408" t="s">
        <v>419</v>
      </c>
      <c r="D158" s="408" t="s">
        <v>48</v>
      </c>
      <c r="E158" s="408" t="s">
        <v>49</v>
      </c>
      <c r="F158" s="409">
        <v>0</v>
      </c>
      <c r="G158" s="408" t="s">
        <v>35</v>
      </c>
      <c r="H158" s="408">
        <v>1</v>
      </c>
      <c r="I158" s="408"/>
      <c r="J158" s="408">
        <v>6.69</v>
      </c>
      <c r="K158" s="410">
        <f t="shared" si="6"/>
        <v>6.69</v>
      </c>
      <c r="L158" s="411" t="s">
        <v>36</v>
      </c>
      <c r="M158" s="412"/>
    </row>
    <row r="159" spans="1:13" s="400" customFormat="1" ht="12.6" hidden="1" thickBot="1">
      <c r="A159" s="407" t="s">
        <v>449</v>
      </c>
      <c r="B159" s="408" t="s">
        <v>450</v>
      </c>
      <c r="C159" s="408" t="s">
        <v>422</v>
      </c>
      <c r="D159" s="408" t="s">
        <v>48</v>
      </c>
      <c r="E159" s="408" t="s">
        <v>49</v>
      </c>
      <c r="F159" s="409">
        <v>0</v>
      </c>
      <c r="G159" s="408" t="s">
        <v>35</v>
      </c>
      <c r="H159" s="408">
        <v>1</v>
      </c>
      <c r="I159" s="408"/>
      <c r="J159" s="408">
        <v>6.69</v>
      </c>
      <c r="K159" s="410">
        <f t="shared" si="6"/>
        <v>6.69</v>
      </c>
      <c r="L159" s="411" t="s">
        <v>36</v>
      </c>
      <c r="M159" s="412"/>
    </row>
    <row r="160" spans="1:13" s="400" customFormat="1" ht="12.6" hidden="1" thickBot="1">
      <c r="A160" s="407" t="s">
        <v>451</v>
      </c>
      <c r="B160" s="408" t="s">
        <v>452</v>
      </c>
      <c r="C160" s="408" t="s">
        <v>424</v>
      </c>
      <c r="D160" s="408" t="s">
        <v>453</v>
      </c>
      <c r="E160" s="408" t="s">
        <v>58</v>
      </c>
      <c r="F160" s="409">
        <v>0</v>
      </c>
      <c r="G160" s="408" t="s">
        <v>35</v>
      </c>
      <c r="H160" s="408">
        <v>1</v>
      </c>
      <c r="I160" s="408"/>
      <c r="J160" s="408">
        <f>3.15*1.17</f>
        <v>3.6854999999999998</v>
      </c>
      <c r="K160" s="410">
        <f t="shared" si="6"/>
        <v>3.6854999999999998</v>
      </c>
      <c r="L160" s="411" t="s">
        <v>454</v>
      </c>
      <c r="M160" s="413" t="s">
        <v>455</v>
      </c>
    </row>
    <row r="161" spans="1:13" s="400" customFormat="1" ht="12.6" hidden="1" thickBot="1">
      <c r="A161" s="407" t="s">
        <v>59</v>
      </c>
      <c r="B161" s="408" t="s">
        <v>60</v>
      </c>
      <c r="C161" s="408" t="s">
        <v>426</v>
      </c>
      <c r="D161" s="408" t="s">
        <v>48</v>
      </c>
      <c r="E161" s="408" t="s">
        <v>49</v>
      </c>
      <c r="F161" s="409">
        <v>0</v>
      </c>
      <c r="G161" s="408" t="s">
        <v>35</v>
      </c>
      <c r="H161" s="408">
        <v>1</v>
      </c>
      <c r="I161" s="408"/>
      <c r="J161" s="408">
        <v>6.69</v>
      </c>
      <c r="K161" s="410">
        <f t="shared" si="6"/>
        <v>6.69</v>
      </c>
      <c r="L161" s="411" t="s">
        <v>36</v>
      </c>
      <c r="M161" s="412"/>
    </row>
    <row r="162" spans="1:13" s="400" customFormat="1" ht="12.6" hidden="1" thickBot="1">
      <c r="A162" s="407" t="s">
        <v>456</v>
      </c>
      <c r="B162" s="408" t="s">
        <v>457</v>
      </c>
      <c r="C162" s="408" t="s">
        <v>429</v>
      </c>
      <c r="D162" s="408" t="s">
        <v>48</v>
      </c>
      <c r="E162" s="408" t="s">
        <v>49</v>
      </c>
      <c r="F162" s="409">
        <v>0</v>
      </c>
      <c r="G162" s="408" t="s">
        <v>35</v>
      </c>
      <c r="H162" s="408">
        <v>1</v>
      </c>
      <c r="I162" s="408"/>
      <c r="J162" s="408">
        <v>6.69</v>
      </c>
      <c r="K162" s="410">
        <f t="shared" si="6"/>
        <v>6.69</v>
      </c>
      <c r="L162" s="411" t="s">
        <v>36</v>
      </c>
      <c r="M162" s="412"/>
    </row>
    <row r="163" spans="1:13" s="400" customFormat="1" hidden="1">
      <c r="A163" s="394" t="s">
        <v>458</v>
      </c>
      <c r="B163" s="395" t="s">
        <v>459</v>
      </c>
      <c r="C163" s="395" t="s">
        <v>432</v>
      </c>
      <c r="D163" s="395" t="s">
        <v>460</v>
      </c>
      <c r="E163" s="395" t="s">
        <v>49</v>
      </c>
      <c r="F163" s="414">
        <v>0</v>
      </c>
      <c r="G163" s="397" t="s">
        <v>436</v>
      </c>
      <c r="H163" s="397">
        <v>1</v>
      </c>
      <c r="I163" s="397"/>
      <c r="J163" s="397">
        <v>7.99</v>
      </c>
      <c r="K163" s="415">
        <f t="shared" si="6"/>
        <v>7.99</v>
      </c>
      <c r="L163" s="398" t="s">
        <v>437</v>
      </c>
      <c r="M163" s="399"/>
    </row>
    <row r="164" spans="1:13" s="400" customFormat="1" hidden="1">
      <c r="A164" s="416"/>
      <c r="B164" s="417"/>
      <c r="C164" s="417"/>
      <c r="D164" s="417"/>
      <c r="E164" s="417"/>
      <c r="F164" s="403">
        <v>1300</v>
      </c>
      <c r="G164" s="418" t="s">
        <v>436</v>
      </c>
      <c r="H164" s="418">
        <v>1</v>
      </c>
      <c r="I164" s="418"/>
      <c r="J164" s="418">
        <v>7.99</v>
      </c>
      <c r="K164" s="419">
        <f t="shared" si="6"/>
        <v>7.99</v>
      </c>
      <c r="L164" s="420" t="s">
        <v>437</v>
      </c>
      <c r="M164" s="421"/>
    </row>
    <row r="165" spans="1:13" s="400" customFormat="1" hidden="1">
      <c r="A165" s="416"/>
      <c r="B165" s="417"/>
      <c r="C165" s="417"/>
      <c r="D165" s="417"/>
      <c r="E165" s="417"/>
      <c r="F165" s="403">
        <v>5000</v>
      </c>
      <c r="G165" s="418" t="s">
        <v>436</v>
      </c>
      <c r="H165" s="418">
        <v>1</v>
      </c>
      <c r="I165" s="418"/>
      <c r="J165" s="418">
        <v>7.9</v>
      </c>
      <c r="K165" s="419">
        <f t="shared" si="6"/>
        <v>7.9</v>
      </c>
      <c r="L165" s="420" t="s">
        <v>437</v>
      </c>
      <c r="M165" s="421"/>
    </row>
    <row r="166" spans="1:13" s="400" customFormat="1" hidden="1">
      <c r="A166" s="416"/>
      <c r="B166" s="417"/>
      <c r="C166" s="417"/>
      <c r="D166" s="417"/>
      <c r="E166" s="417"/>
      <c r="F166" s="403">
        <v>10000</v>
      </c>
      <c r="G166" s="418" t="s">
        <v>436</v>
      </c>
      <c r="H166" s="418">
        <v>1</v>
      </c>
      <c r="I166" s="418"/>
      <c r="J166" s="418">
        <v>7.84</v>
      </c>
      <c r="K166" s="419">
        <f t="shared" si="6"/>
        <v>7.84</v>
      </c>
      <c r="L166" s="420" t="s">
        <v>437</v>
      </c>
      <c r="M166" s="421"/>
    </row>
    <row r="167" spans="1:13" s="400" customFormat="1" ht="12.6" hidden="1" thickBot="1">
      <c r="A167" s="401"/>
      <c r="B167" s="402"/>
      <c r="C167" s="402"/>
      <c r="D167" s="402"/>
      <c r="E167" s="402"/>
      <c r="F167" s="403">
        <v>100000</v>
      </c>
      <c r="G167" s="418" t="s">
        <v>436</v>
      </c>
      <c r="H167" s="404">
        <v>1</v>
      </c>
      <c r="I167" s="404"/>
      <c r="J167" s="404">
        <v>7.71</v>
      </c>
      <c r="K167" s="422">
        <f t="shared" si="6"/>
        <v>7.71</v>
      </c>
      <c r="L167" s="420" t="s">
        <v>437</v>
      </c>
      <c r="M167" s="406"/>
    </row>
    <row r="168" spans="1:13" s="400" customFormat="1" hidden="1">
      <c r="A168" s="394" t="s">
        <v>458</v>
      </c>
      <c r="B168" s="395" t="s">
        <v>459</v>
      </c>
      <c r="C168" s="395" t="s">
        <v>432</v>
      </c>
      <c r="D168" s="395" t="s">
        <v>461</v>
      </c>
      <c r="E168" s="395" t="s">
        <v>199</v>
      </c>
      <c r="F168" s="414">
        <v>0</v>
      </c>
      <c r="G168" s="397" t="s">
        <v>436</v>
      </c>
      <c r="H168" s="397">
        <v>1</v>
      </c>
      <c r="I168" s="397"/>
      <c r="J168" s="397">
        <v>8.6300000000000008</v>
      </c>
      <c r="K168" s="415">
        <f t="shared" ref="K168:K180" si="7">J168/H168</f>
        <v>8.6300000000000008</v>
      </c>
      <c r="L168" s="398" t="s">
        <v>437</v>
      </c>
      <c r="M168" s="399"/>
    </row>
    <row r="169" spans="1:13" s="400" customFormat="1" hidden="1">
      <c r="A169" s="416"/>
      <c r="B169" s="417"/>
      <c r="C169" s="417"/>
      <c r="D169" s="417"/>
      <c r="E169" s="417"/>
      <c r="F169" s="403">
        <v>5000</v>
      </c>
      <c r="G169" s="418" t="s">
        <v>436</v>
      </c>
      <c r="H169" s="418">
        <v>1</v>
      </c>
      <c r="I169" s="418"/>
      <c r="J169" s="418">
        <v>8.6300000000000008</v>
      </c>
      <c r="K169" s="419">
        <f t="shared" si="7"/>
        <v>8.6300000000000008</v>
      </c>
      <c r="L169" s="420" t="s">
        <v>437</v>
      </c>
      <c r="M169" s="421"/>
    </row>
    <row r="170" spans="1:13" s="400" customFormat="1" hidden="1">
      <c r="A170" s="416"/>
      <c r="B170" s="417"/>
      <c r="C170" s="417"/>
      <c r="D170" s="417"/>
      <c r="E170" s="417"/>
      <c r="F170" s="403">
        <v>10000</v>
      </c>
      <c r="G170" s="418" t="s">
        <v>436</v>
      </c>
      <c r="H170" s="418">
        <v>1</v>
      </c>
      <c r="I170" s="418"/>
      <c r="J170" s="418">
        <v>8.56</v>
      </c>
      <c r="K170" s="419">
        <f t="shared" si="7"/>
        <v>8.56</v>
      </c>
      <c r="L170" s="420" t="s">
        <v>437</v>
      </c>
      <c r="M170" s="421"/>
    </row>
    <row r="171" spans="1:13" s="400" customFormat="1" hidden="1">
      <c r="A171" s="416"/>
      <c r="B171" s="417"/>
      <c r="C171" s="417"/>
      <c r="D171" s="417"/>
      <c r="E171" s="417"/>
      <c r="F171" s="403">
        <v>30000</v>
      </c>
      <c r="G171" s="418" t="s">
        <v>436</v>
      </c>
      <c r="H171" s="418">
        <v>1</v>
      </c>
      <c r="I171" s="418"/>
      <c r="J171" s="418">
        <v>8.5</v>
      </c>
      <c r="K171" s="419">
        <f t="shared" si="7"/>
        <v>8.5</v>
      </c>
      <c r="L171" s="420" t="s">
        <v>437</v>
      </c>
      <c r="M171" s="421"/>
    </row>
    <row r="172" spans="1:13" s="400" customFormat="1" hidden="1">
      <c r="A172" s="416"/>
      <c r="B172" s="417"/>
      <c r="C172" s="417"/>
      <c r="D172" s="417"/>
      <c r="E172" s="417"/>
      <c r="F172" s="403">
        <v>50000</v>
      </c>
      <c r="G172" s="418" t="s">
        <v>436</v>
      </c>
      <c r="H172" s="418">
        <v>1</v>
      </c>
      <c r="I172" s="418"/>
      <c r="J172" s="418">
        <v>8.4600000000000009</v>
      </c>
      <c r="K172" s="419">
        <f t="shared" si="7"/>
        <v>8.4600000000000009</v>
      </c>
      <c r="L172" s="420" t="s">
        <v>437</v>
      </c>
      <c r="M172" s="421"/>
    </row>
    <row r="173" spans="1:13" s="400" customFormat="1" ht="12.6" hidden="1" thickBot="1">
      <c r="A173" s="401"/>
      <c r="B173" s="402"/>
      <c r="C173" s="402"/>
      <c r="D173" s="402"/>
      <c r="E173" s="402"/>
      <c r="F173" s="403">
        <v>100000</v>
      </c>
      <c r="G173" s="418" t="s">
        <v>436</v>
      </c>
      <c r="H173" s="404">
        <v>1</v>
      </c>
      <c r="I173" s="404"/>
      <c r="J173" s="404">
        <v>8.42</v>
      </c>
      <c r="K173" s="422">
        <f t="shared" si="7"/>
        <v>8.42</v>
      </c>
      <c r="L173" s="420" t="s">
        <v>437</v>
      </c>
      <c r="M173" s="406"/>
    </row>
    <row r="174" spans="1:13" s="400" customFormat="1" hidden="1">
      <c r="A174" s="394" t="s">
        <v>198</v>
      </c>
      <c r="B174" s="395" t="s">
        <v>200</v>
      </c>
      <c r="C174" s="395" t="s">
        <v>435</v>
      </c>
      <c r="D174" s="395" t="s">
        <v>460</v>
      </c>
      <c r="E174" s="395" t="s">
        <v>49</v>
      </c>
      <c r="F174" s="414">
        <v>0</v>
      </c>
      <c r="G174" s="397" t="s">
        <v>436</v>
      </c>
      <c r="H174" s="397">
        <v>1</v>
      </c>
      <c r="I174" s="397"/>
      <c r="J174" s="397">
        <v>7.99</v>
      </c>
      <c r="K174" s="415">
        <f t="shared" si="7"/>
        <v>7.99</v>
      </c>
      <c r="L174" s="398" t="s">
        <v>437</v>
      </c>
      <c r="M174" s="399"/>
    </row>
    <row r="175" spans="1:13" s="400" customFormat="1" hidden="1">
      <c r="A175" s="416"/>
      <c r="B175" s="417"/>
      <c r="C175" s="417"/>
      <c r="D175" s="417"/>
      <c r="E175" s="417"/>
      <c r="F175" s="403">
        <v>1300</v>
      </c>
      <c r="G175" s="418" t="s">
        <v>436</v>
      </c>
      <c r="H175" s="418">
        <v>1</v>
      </c>
      <c r="I175" s="418"/>
      <c r="J175" s="418">
        <v>7.99</v>
      </c>
      <c r="K175" s="419">
        <f t="shared" si="7"/>
        <v>7.99</v>
      </c>
      <c r="L175" s="420" t="s">
        <v>437</v>
      </c>
      <c r="M175" s="421"/>
    </row>
    <row r="176" spans="1:13" s="400" customFormat="1" hidden="1">
      <c r="A176" s="416"/>
      <c r="B176" s="417"/>
      <c r="C176" s="417"/>
      <c r="D176" s="417"/>
      <c r="E176" s="417"/>
      <c r="F176" s="403">
        <v>5000</v>
      </c>
      <c r="G176" s="418" t="s">
        <v>436</v>
      </c>
      <c r="H176" s="418">
        <v>1</v>
      </c>
      <c r="I176" s="418"/>
      <c r="J176" s="418">
        <v>7.9</v>
      </c>
      <c r="K176" s="419">
        <f t="shared" si="7"/>
        <v>7.9</v>
      </c>
      <c r="L176" s="420" t="s">
        <v>437</v>
      </c>
      <c r="M176" s="421"/>
    </row>
    <row r="177" spans="1:13" s="400" customFormat="1" hidden="1">
      <c r="A177" s="416"/>
      <c r="B177" s="417"/>
      <c r="C177" s="417"/>
      <c r="D177" s="417"/>
      <c r="E177" s="417"/>
      <c r="F177" s="403">
        <v>10000</v>
      </c>
      <c r="G177" s="418" t="s">
        <v>436</v>
      </c>
      <c r="H177" s="418">
        <v>1</v>
      </c>
      <c r="I177" s="418"/>
      <c r="J177" s="418">
        <v>7.84</v>
      </c>
      <c r="K177" s="419">
        <f t="shared" si="7"/>
        <v>7.84</v>
      </c>
      <c r="L177" s="420" t="s">
        <v>437</v>
      </c>
      <c r="M177" s="421"/>
    </row>
    <row r="178" spans="1:13" s="400" customFormat="1" hidden="1">
      <c r="A178" s="416"/>
      <c r="B178" s="417"/>
      <c r="C178" s="417"/>
      <c r="D178" s="417"/>
      <c r="E178" s="417"/>
      <c r="F178" s="403">
        <v>300000</v>
      </c>
      <c r="G178" s="418" t="s">
        <v>436</v>
      </c>
      <c r="H178" s="418">
        <v>1</v>
      </c>
      <c r="I178" s="418"/>
      <c r="J178" s="418">
        <v>7.78</v>
      </c>
      <c r="K178" s="419">
        <f t="shared" si="7"/>
        <v>7.78</v>
      </c>
      <c r="L178" s="420" t="s">
        <v>437</v>
      </c>
      <c r="M178" s="421"/>
    </row>
    <row r="179" spans="1:13" s="400" customFormat="1" hidden="1">
      <c r="A179" s="416"/>
      <c r="B179" s="417"/>
      <c r="C179" s="417"/>
      <c r="D179" s="417"/>
      <c r="E179" s="417"/>
      <c r="F179" s="403">
        <v>500000</v>
      </c>
      <c r="G179" s="418" t="s">
        <v>436</v>
      </c>
      <c r="H179" s="418">
        <v>1</v>
      </c>
      <c r="I179" s="418"/>
      <c r="J179" s="418">
        <v>7.75</v>
      </c>
      <c r="K179" s="419">
        <f t="shared" si="7"/>
        <v>7.75</v>
      </c>
      <c r="L179" s="420" t="s">
        <v>437</v>
      </c>
      <c r="M179" s="421"/>
    </row>
    <row r="180" spans="1:13" s="400" customFormat="1" ht="12.6" hidden="1" thickBot="1">
      <c r="A180" s="401"/>
      <c r="B180" s="402"/>
      <c r="C180" s="402"/>
      <c r="D180" s="402"/>
      <c r="E180" s="402"/>
      <c r="F180" s="403">
        <v>1000000</v>
      </c>
      <c r="G180" s="418" t="s">
        <v>436</v>
      </c>
      <c r="H180" s="404">
        <v>1</v>
      </c>
      <c r="I180" s="404"/>
      <c r="J180" s="404">
        <v>7.71</v>
      </c>
      <c r="K180" s="422">
        <f t="shared" si="7"/>
        <v>7.71</v>
      </c>
      <c r="L180" s="420" t="s">
        <v>437</v>
      </c>
      <c r="M180" s="406"/>
    </row>
    <row r="181" spans="1:13" s="400" customFormat="1" hidden="1">
      <c r="A181" s="394" t="s">
        <v>198</v>
      </c>
      <c r="B181" s="395" t="s">
        <v>200</v>
      </c>
      <c r="C181" s="395" t="s">
        <v>435</v>
      </c>
      <c r="D181" s="395" t="s">
        <v>461</v>
      </c>
      <c r="E181" s="395" t="s">
        <v>199</v>
      </c>
      <c r="F181" s="414">
        <v>0</v>
      </c>
      <c r="G181" s="397" t="s">
        <v>436</v>
      </c>
      <c r="H181" s="397">
        <v>1</v>
      </c>
      <c r="I181" s="397"/>
      <c r="J181" s="397">
        <v>8.6300000000000008</v>
      </c>
      <c r="K181" s="415">
        <f t="shared" ref="K181:K193" si="8">J181/H181</f>
        <v>8.6300000000000008</v>
      </c>
      <c r="L181" s="398" t="s">
        <v>437</v>
      </c>
      <c r="M181" s="399"/>
    </row>
    <row r="182" spans="1:13" s="400" customFormat="1" hidden="1">
      <c r="A182" s="416"/>
      <c r="B182" s="417"/>
      <c r="C182" s="417"/>
      <c r="D182" s="417"/>
      <c r="E182" s="417"/>
      <c r="F182" s="403">
        <v>5000</v>
      </c>
      <c r="G182" s="418" t="s">
        <v>436</v>
      </c>
      <c r="H182" s="418">
        <v>1</v>
      </c>
      <c r="I182" s="418"/>
      <c r="J182" s="418">
        <v>8.6300000000000008</v>
      </c>
      <c r="K182" s="419">
        <f t="shared" si="8"/>
        <v>8.6300000000000008</v>
      </c>
      <c r="L182" s="420" t="s">
        <v>437</v>
      </c>
      <c r="M182" s="421"/>
    </row>
    <row r="183" spans="1:13" s="400" customFormat="1" hidden="1">
      <c r="A183" s="416"/>
      <c r="B183" s="417"/>
      <c r="C183" s="417"/>
      <c r="D183" s="417"/>
      <c r="E183" s="417"/>
      <c r="F183" s="403">
        <v>10000</v>
      </c>
      <c r="G183" s="418" t="s">
        <v>436</v>
      </c>
      <c r="H183" s="418">
        <v>1</v>
      </c>
      <c r="I183" s="418"/>
      <c r="J183" s="418">
        <v>8.56</v>
      </c>
      <c r="K183" s="419">
        <f t="shared" si="8"/>
        <v>8.56</v>
      </c>
      <c r="L183" s="420" t="s">
        <v>437</v>
      </c>
      <c r="M183" s="421"/>
    </row>
    <row r="184" spans="1:13" s="400" customFormat="1" hidden="1">
      <c r="A184" s="416"/>
      <c r="B184" s="417"/>
      <c r="C184" s="417"/>
      <c r="D184" s="417"/>
      <c r="E184" s="417"/>
      <c r="F184" s="403">
        <v>30000</v>
      </c>
      <c r="G184" s="418" t="s">
        <v>436</v>
      </c>
      <c r="H184" s="418">
        <v>1</v>
      </c>
      <c r="I184" s="418"/>
      <c r="J184" s="418">
        <v>8.5</v>
      </c>
      <c r="K184" s="419">
        <f t="shared" si="8"/>
        <v>8.5</v>
      </c>
      <c r="L184" s="420" t="s">
        <v>437</v>
      </c>
      <c r="M184" s="421"/>
    </row>
    <row r="185" spans="1:13" s="400" customFormat="1" hidden="1">
      <c r="A185" s="416"/>
      <c r="B185" s="417"/>
      <c r="C185" s="417"/>
      <c r="D185" s="417"/>
      <c r="E185" s="417"/>
      <c r="F185" s="403">
        <v>50000</v>
      </c>
      <c r="G185" s="418" t="s">
        <v>436</v>
      </c>
      <c r="H185" s="418">
        <v>1</v>
      </c>
      <c r="I185" s="418"/>
      <c r="J185" s="418">
        <v>8.4600000000000009</v>
      </c>
      <c r="K185" s="419">
        <f t="shared" si="8"/>
        <v>8.4600000000000009</v>
      </c>
      <c r="L185" s="420" t="s">
        <v>437</v>
      </c>
      <c r="M185" s="421"/>
    </row>
    <row r="186" spans="1:13" s="400" customFormat="1" ht="12.6" hidden="1" thickBot="1">
      <c r="A186" s="401"/>
      <c r="B186" s="402"/>
      <c r="C186" s="402"/>
      <c r="D186" s="402"/>
      <c r="E186" s="402"/>
      <c r="F186" s="403">
        <v>100000</v>
      </c>
      <c r="G186" s="418" t="s">
        <v>436</v>
      </c>
      <c r="H186" s="404">
        <v>1</v>
      </c>
      <c r="I186" s="404"/>
      <c r="J186" s="404">
        <v>8.42</v>
      </c>
      <c r="K186" s="422">
        <f t="shared" si="8"/>
        <v>8.42</v>
      </c>
      <c r="L186" s="420" t="s">
        <v>437</v>
      </c>
      <c r="M186" s="406"/>
    </row>
    <row r="187" spans="1:13" s="400" customFormat="1" hidden="1">
      <c r="A187" s="394" t="s">
        <v>225</v>
      </c>
      <c r="B187" s="395" t="s">
        <v>228</v>
      </c>
      <c r="C187" s="395" t="s">
        <v>438</v>
      </c>
      <c r="D187" s="395" t="s">
        <v>460</v>
      </c>
      <c r="E187" s="395" t="s">
        <v>49</v>
      </c>
      <c r="F187" s="414">
        <v>0</v>
      </c>
      <c r="G187" s="397" t="s">
        <v>436</v>
      </c>
      <c r="H187" s="397">
        <v>1</v>
      </c>
      <c r="I187" s="397"/>
      <c r="J187" s="397">
        <v>8.2200000000000006</v>
      </c>
      <c r="K187" s="415">
        <f t="shared" si="8"/>
        <v>8.2200000000000006</v>
      </c>
      <c r="L187" s="398" t="s">
        <v>437</v>
      </c>
      <c r="M187" s="399"/>
    </row>
    <row r="188" spans="1:13" s="400" customFormat="1" hidden="1">
      <c r="A188" s="416"/>
      <c r="B188" s="417"/>
      <c r="C188" s="417"/>
      <c r="D188" s="417"/>
      <c r="E188" s="417"/>
      <c r="F188" s="403">
        <v>1300</v>
      </c>
      <c r="G188" s="418" t="s">
        <v>436</v>
      </c>
      <c r="H188" s="418">
        <v>1</v>
      </c>
      <c r="I188" s="418"/>
      <c r="J188" s="418">
        <v>8.2200000000000006</v>
      </c>
      <c r="K188" s="419">
        <f t="shared" si="8"/>
        <v>8.2200000000000006</v>
      </c>
      <c r="L188" s="420" t="s">
        <v>437</v>
      </c>
      <c r="M188" s="421"/>
    </row>
    <row r="189" spans="1:13" s="400" customFormat="1" hidden="1">
      <c r="A189" s="416"/>
      <c r="B189" s="417"/>
      <c r="C189" s="417"/>
      <c r="D189" s="417"/>
      <c r="E189" s="417"/>
      <c r="F189" s="403">
        <v>5000</v>
      </c>
      <c r="G189" s="418" t="s">
        <v>436</v>
      </c>
      <c r="H189" s="418">
        <v>1</v>
      </c>
      <c r="I189" s="418"/>
      <c r="J189" s="418">
        <v>7.9</v>
      </c>
      <c r="K189" s="419">
        <f t="shared" si="8"/>
        <v>7.9</v>
      </c>
      <c r="L189" s="420" t="s">
        <v>437</v>
      </c>
      <c r="M189" s="421"/>
    </row>
    <row r="190" spans="1:13" s="400" customFormat="1" hidden="1">
      <c r="A190" s="416"/>
      <c r="B190" s="417"/>
      <c r="C190" s="417"/>
      <c r="D190" s="417"/>
      <c r="E190" s="417"/>
      <c r="F190" s="403">
        <v>10000</v>
      </c>
      <c r="G190" s="418" t="s">
        <v>436</v>
      </c>
      <c r="H190" s="418">
        <v>1</v>
      </c>
      <c r="I190" s="418"/>
      <c r="J190" s="418">
        <v>7.84</v>
      </c>
      <c r="K190" s="419">
        <f t="shared" si="8"/>
        <v>7.84</v>
      </c>
      <c r="L190" s="420" t="s">
        <v>437</v>
      </c>
      <c r="M190" s="421"/>
    </row>
    <row r="191" spans="1:13" s="400" customFormat="1" hidden="1">
      <c r="A191" s="416"/>
      <c r="B191" s="417"/>
      <c r="C191" s="417"/>
      <c r="D191" s="417"/>
      <c r="E191" s="417"/>
      <c r="F191" s="403">
        <v>300000</v>
      </c>
      <c r="G191" s="418" t="s">
        <v>436</v>
      </c>
      <c r="H191" s="418">
        <v>1</v>
      </c>
      <c r="I191" s="418"/>
      <c r="J191" s="418">
        <v>7.78</v>
      </c>
      <c r="K191" s="419">
        <f t="shared" si="8"/>
        <v>7.78</v>
      </c>
      <c r="L191" s="420" t="s">
        <v>437</v>
      </c>
      <c r="M191" s="421"/>
    </row>
    <row r="192" spans="1:13" s="400" customFormat="1" hidden="1">
      <c r="A192" s="416"/>
      <c r="B192" s="417"/>
      <c r="C192" s="417"/>
      <c r="D192" s="417"/>
      <c r="E192" s="417"/>
      <c r="F192" s="403">
        <v>500000</v>
      </c>
      <c r="G192" s="418" t="s">
        <v>436</v>
      </c>
      <c r="H192" s="418">
        <v>1</v>
      </c>
      <c r="I192" s="418"/>
      <c r="J192" s="418">
        <v>7.75</v>
      </c>
      <c r="K192" s="419">
        <f t="shared" si="8"/>
        <v>7.75</v>
      </c>
      <c r="L192" s="420" t="s">
        <v>437</v>
      </c>
      <c r="M192" s="421"/>
    </row>
    <row r="193" spans="1:13" s="400" customFormat="1" ht="12.6" hidden="1" thickBot="1">
      <c r="A193" s="401"/>
      <c r="B193" s="402"/>
      <c r="C193" s="402"/>
      <c r="D193" s="402"/>
      <c r="E193" s="402"/>
      <c r="F193" s="403">
        <v>1000000</v>
      </c>
      <c r="G193" s="418" t="s">
        <v>436</v>
      </c>
      <c r="H193" s="404">
        <v>1</v>
      </c>
      <c r="I193" s="404"/>
      <c r="J193" s="404">
        <v>7.71</v>
      </c>
      <c r="K193" s="422">
        <f t="shared" si="8"/>
        <v>7.71</v>
      </c>
      <c r="L193" s="420" t="s">
        <v>437</v>
      </c>
      <c r="M193" s="406"/>
    </row>
    <row r="194" spans="1:13" s="400" customFormat="1" ht="12.6" hidden="1" thickBot="1">
      <c r="A194" s="394" t="s">
        <v>226</v>
      </c>
      <c r="B194" s="395" t="s">
        <v>229</v>
      </c>
      <c r="C194" s="395" t="s">
        <v>462</v>
      </c>
      <c r="D194" s="395" t="s">
        <v>460</v>
      </c>
      <c r="E194" s="395" t="s">
        <v>49</v>
      </c>
      <c r="F194" s="414">
        <v>0</v>
      </c>
      <c r="G194" s="397" t="s">
        <v>436</v>
      </c>
      <c r="H194" s="397">
        <v>1</v>
      </c>
      <c r="I194" s="397"/>
      <c r="J194" s="397">
        <v>2.93</v>
      </c>
      <c r="K194" s="415">
        <v>2.93</v>
      </c>
      <c r="L194" s="398" t="s">
        <v>437</v>
      </c>
      <c r="M194" s="399"/>
    </row>
    <row r="195" spans="1:13" s="400" customFormat="1" ht="12.6" hidden="1" thickBot="1">
      <c r="A195" s="394" t="s">
        <v>227</v>
      </c>
      <c r="B195" s="395" t="s">
        <v>200</v>
      </c>
      <c r="C195" s="395" t="s">
        <v>463</v>
      </c>
      <c r="D195" s="395" t="s">
        <v>460</v>
      </c>
      <c r="E195" s="395" t="s">
        <v>49</v>
      </c>
      <c r="F195" s="414">
        <v>0</v>
      </c>
      <c r="G195" s="397" t="s">
        <v>436</v>
      </c>
      <c r="H195" s="397">
        <v>1</v>
      </c>
      <c r="I195" s="397"/>
      <c r="J195" s="397">
        <v>2.93</v>
      </c>
      <c r="K195" s="415">
        <f>J195/H195</f>
        <v>2.93</v>
      </c>
      <c r="L195" s="398" t="s">
        <v>437</v>
      </c>
      <c r="M195" s="399"/>
    </row>
    <row r="196" spans="1:13" s="400" customFormat="1" hidden="1">
      <c r="A196" s="394" t="s">
        <v>531</v>
      </c>
      <c r="B196" s="395" t="s">
        <v>530</v>
      </c>
      <c r="C196" s="395" t="s">
        <v>526</v>
      </c>
      <c r="D196" s="395" t="s">
        <v>122</v>
      </c>
      <c r="E196" s="395" t="s">
        <v>49</v>
      </c>
      <c r="F196" s="414">
        <v>0</v>
      </c>
      <c r="G196" s="397" t="s">
        <v>190</v>
      </c>
      <c r="H196" s="397">
        <v>1</v>
      </c>
      <c r="I196" s="397"/>
      <c r="J196" s="397">
        <v>2.93</v>
      </c>
      <c r="K196" s="397">
        <f t="shared" ref="K196:K197" si="9">J196/H196</f>
        <v>2.93</v>
      </c>
      <c r="L196" s="398" t="s">
        <v>192</v>
      </c>
      <c r="M196" s="399"/>
    </row>
    <row r="197" spans="1:13" s="400" customFormat="1" ht="12.6" hidden="1" thickBot="1">
      <c r="A197" s="401"/>
      <c r="B197" s="402"/>
      <c r="C197" s="402"/>
      <c r="D197" s="402"/>
      <c r="E197" s="402"/>
      <c r="F197" s="403">
        <v>2600</v>
      </c>
      <c r="G197" s="418" t="s">
        <v>190</v>
      </c>
      <c r="H197" s="404">
        <v>1</v>
      </c>
      <c r="I197" s="404"/>
      <c r="J197" s="404">
        <v>2.93</v>
      </c>
      <c r="K197" s="404">
        <f t="shared" si="9"/>
        <v>2.93</v>
      </c>
      <c r="L197" s="420" t="s">
        <v>192</v>
      </c>
      <c r="M197" s="406"/>
    </row>
    <row r="198" spans="1:13" s="400" customFormat="1" hidden="1">
      <c r="A198" s="394" t="s">
        <v>527</v>
      </c>
      <c r="B198" s="395" t="s">
        <v>548</v>
      </c>
      <c r="C198" s="395" t="s">
        <v>547</v>
      </c>
      <c r="D198" s="395" t="s">
        <v>122</v>
      </c>
      <c r="E198" s="395" t="s">
        <v>49</v>
      </c>
      <c r="F198" s="414">
        <v>0</v>
      </c>
      <c r="G198" s="397" t="s">
        <v>190</v>
      </c>
      <c r="H198" s="397">
        <v>1</v>
      </c>
      <c r="I198" s="397"/>
      <c r="J198" s="397">
        <v>2.93</v>
      </c>
      <c r="K198" s="397">
        <f t="shared" ref="K198:K199" si="10">J198/H198</f>
        <v>2.93</v>
      </c>
      <c r="L198" s="398" t="s">
        <v>192</v>
      </c>
      <c r="M198" s="399"/>
    </row>
    <row r="199" spans="1:13" s="400" customFormat="1" ht="12.6" hidden="1" thickBot="1">
      <c r="A199" s="401"/>
      <c r="B199" s="402"/>
      <c r="C199" s="402"/>
      <c r="D199" s="402"/>
      <c r="E199" s="402"/>
      <c r="F199" s="403">
        <v>2600</v>
      </c>
      <c r="G199" s="418" t="s">
        <v>190</v>
      </c>
      <c r="H199" s="404">
        <v>1</v>
      </c>
      <c r="I199" s="404"/>
      <c r="J199" s="404">
        <v>2.93</v>
      </c>
      <c r="K199" s="404">
        <f t="shared" si="10"/>
        <v>2.93</v>
      </c>
      <c r="L199" s="420" t="s">
        <v>192</v>
      </c>
      <c r="M199" s="406"/>
    </row>
    <row r="200" spans="1:13" s="400" customFormat="1" hidden="1">
      <c r="A200" s="394" t="s">
        <v>528</v>
      </c>
      <c r="B200" s="395" t="s">
        <v>529</v>
      </c>
      <c r="C200" s="395" t="s">
        <v>525</v>
      </c>
      <c r="D200" s="395" t="s">
        <v>122</v>
      </c>
      <c r="E200" s="395" t="s">
        <v>49</v>
      </c>
      <c r="F200" s="414">
        <v>0</v>
      </c>
      <c r="G200" s="397" t="s">
        <v>190</v>
      </c>
      <c r="H200" s="397">
        <v>1</v>
      </c>
      <c r="I200" s="397"/>
      <c r="J200" s="397">
        <v>2.93</v>
      </c>
      <c r="K200" s="397">
        <f t="shared" ref="K200:K201" si="11">J200/H200</f>
        <v>2.93</v>
      </c>
      <c r="L200" s="398" t="s">
        <v>192</v>
      </c>
      <c r="M200" s="399"/>
    </row>
    <row r="201" spans="1:13" s="400" customFormat="1" ht="12.6" hidden="1" thickBot="1">
      <c r="A201" s="401"/>
      <c r="B201" s="402"/>
      <c r="C201" s="402"/>
      <c r="D201" s="402"/>
      <c r="E201" s="402"/>
      <c r="F201" s="403">
        <v>2600</v>
      </c>
      <c r="G201" s="418" t="s">
        <v>190</v>
      </c>
      <c r="H201" s="404">
        <v>1</v>
      </c>
      <c r="I201" s="404"/>
      <c r="J201" s="404">
        <v>2.93</v>
      </c>
      <c r="K201" s="404">
        <f t="shared" si="11"/>
        <v>2.93</v>
      </c>
      <c r="L201" s="420" t="s">
        <v>192</v>
      </c>
      <c r="M201" s="406"/>
    </row>
    <row r="202" spans="1:13" s="72" customFormat="1" ht="12.6" hidden="1" thickBot="1">
      <c r="A202" s="96" t="s">
        <v>61</v>
      </c>
      <c r="B202" s="97" t="s">
        <v>62</v>
      </c>
      <c r="C202" s="97" t="s">
        <v>464</v>
      </c>
      <c r="D202" s="97" t="s">
        <v>33</v>
      </c>
      <c r="E202" s="97" t="s">
        <v>34</v>
      </c>
      <c r="F202" s="98">
        <v>0</v>
      </c>
      <c r="G202" s="97" t="s">
        <v>35</v>
      </c>
      <c r="H202" s="97">
        <v>1</v>
      </c>
      <c r="I202" s="97"/>
      <c r="J202" s="97">
        <v>0.08</v>
      </c>
      <c r="K202" s="325">
        <f t="shared" si="6"/>
        <v>0.08</v>
      </c>
      <c r="L202" s="99" t="s">
        <v>36</v>
      </c>
      <c r="M202" s="100"/>
    </row>
    <row r="203" spans="1:13" s="400" customFormat="1" hidden="1">
      <c r="A203" s="466" t="s">
        <v>465</v>
      </c>
      <c r="B203" s="397" t="s">
        <v>63</v>
      </c>
      <c r="C203" s="397" t="s">
        <v>464</v>
      </c>
      <c r="D203" s="397" t="s">
        <v>64</v>
      </c>
      <c r="E203" s="397" t="s">
        <v>65</v>
      </c>
      <c r="F203" s="414">
        <v>0</v>
      </c>
      <c r="G203" s="397" t="s">
        <v>35</v>
      </c>
      <c r="H203" s="397">
        <v>100</v>
      </c>
      <c r="I203" s="397"/>
      <c r="J203" s="397">
        <v>2.0007000000000001</v>
      </c>
      <c r="K203" s="415">
        <f t="shared" si="6"/>
        <v>2.0007E-2</v>
      </c>
      <c r="L203" s="398" t="s">
        <v>66</v>
      </c>
      <c r="M203" s="491" t="s">
        <v>466</v>
      </c>
    </row>
    <row r="204" spans="1:13" s="400" customFormat="1" hidden="1">
      <c r="A204" s="468"/>
      <c r="B204" s="469"/>
      <c r="C204" s="469"/>
      <c r="D204" s="469" t="s">
        <v>67</v>
      </c>
      <c r="E204" s="469" t="s">
        <v>68</v>
      </c>
      <c r="F204" s="470">
        <v>0</v>
      </c>
      <c r="G204" s="469" t="s">
        <v>35</v>
      </c>
      <c r="H204" s="469">
        <v>100</v>
      </c>
      <c r="I204" s="469"/>
      <c r="J204" s="492">
        <v>2.0007000000000001</v>
      </c>
      <c r="K204" s="492">
        <f t="shared" si="6"/>
        <v>2.0007E-2</v>
      </c>
      <c r="L204" s="472" t="s">
        <v>66</v>
      </c>
      <c r="M204" s="493" t="s">
        <v>145</v>
      </c>
    </row>
    <row r="205" spans="1:13" s="400" customFormat="1" hidden="1">
      <c r="A205" s="474"/>
      <c r="B205" s="475"/>
      <c r="C205" s="475"/>
      <c r="D205" s="475" t="s">
        <v>67</v>
      </c>
      <c r="E205" s="475" t="s">
        <v>68</v>
      </c>
      <c r="F205" s="476">
        <v>100000</v>
      </c>
      <c r="G205" s="475" t="s">
        <v>35</v>
      </c>
      <c r="H205" s="475">
        <v>100</v>
      </c>
      <c r="I205" s="475"/>
      <c r="J205" s="492">
        <v>2.0007000000000001</v>
      </c>
      <c r="K205" s="492">
        <f t="shared" ref="K205" si="12">J205/H205</f>
        <v>2.0007E-2</v>
      </c>
      <c r="L205" s="478" t="s">
        <v>66</v>
      </c>
      <c r="M205" s="473" t="s">
        <v>145</v>
      </c>
    </row>
    <row r="206" spans="1:13" s="400" customFormat="1" ht="12.6" hidden="1" thickBot="1">
      <c r="A206" s="479"/>
      <c r="B206" s="480"/>
      <c r="C206" s="480"/>
      <c r="D206" s="480" t="s">
        <v>67</v>
      </c>
      <c r="E206" s="480" t="s">
        <v>68</v>
      </c>
      <c r="F206" s="481">
        <v>300000</v>
      </c>
      <c r="G206" s="480" t="s">
        <v>35</v>
      </c>
      <c r="H206" s="480">
        <v>100</v>
      </c>
      <c r="I206" s="480"/>
      <c r="J206" s="480">
        <v>0.99450000000000005</v>
      </c>
      <c r="K206" s="482">
        <f t="shared" si="6"/>
        <v>9.9450000000000007E-3</v>
      </c>
      <c r="L206" s="483" t="s">
        <v>66</v>
      </c>
      <c r="M206" s="484" t="s">
        <v>145</v>
      </c>
    </row>
    <row r="207" spans="1:13" s="400" customFormat="1" hidden="1">
      <c r="A207" s="466" t="s">
        <v>70</v>
      </c>
      <c r="B207" s="397" t="s">
        <v>71</v>
      </c>
      <c r="C207" s="397" t="s">
        <v>468</v>
      </c>
      <c r="D207" s="397" t="s">
        <v>64</v>
      </c>
      <c r="E207" s="397" t="s">
        <v>65</v>
      </c>
      <c r="F207" s="414">
        <v>0</v>
      </c>
      <c r="G207" s="397" t="s">
        <v>35</v>
      </c>
      <c r="H207" s="397">
        <v>100</v>
      </c>
      <c r="I207" s="397"/>
      <c r="J207" s="397">
        <f>2.31*1.17</f>
        <v>2.7027000000000001</v>
      </c>
      <c r="K207" s="415">
        <f t="shared" si="6"/>
        <v>2.7027000000000002E-2</v>
      </c>
      <c r="L207" s="398" t="s">
        <v>66</v>
      </c>
      <c r="M207" s="467" t="s">
        <v>145</v>
      </c>
    </row>
    <row r="208" spans="1:13" s="400" customFormat="1" hidden="1">
      <c r="A208" s="468"/>
      <c r="B208" s="469"/>
      <c r="C208" s="469"/>
      <c r="D208" s="469" t="s">
        <v>67</v>
      </c>
      <c r="E208" s="469" t="s">
        <v>68</v>
      </c>
      <c r="F208" s="470">
        <v>0</v>
      </c>
      <c r="G208" s="469" t="s">
        <v>35</v>
      </c>
      <c r="H208" s="469">
        <v>100</v>
      </c>
      <c r="I208" s="469"/>
      <c r="J208" s="469">
        <f>2.44*1.17</f>
        <v>2.8547999999999996</v>
      </c>
      <c r="K208" s="471">
        <f t="shared" si="6"/>
        <v>2.8547999999999997E-2</v>
      </c>
      <c r="L208" s="472" t="s">
        <v>66</v>
      </c>
      <c r="M208" s="473" t="s">
        <v>145</v>
      </c>
    </row>
    <row r="209" spans="1:13" s="400" customFormat="1" hidden="1">
      <c r="A209" s="474"/>
      <c r="B209" s="475"/>
      <c r="C209" s="475"/>
      <c r="D209" s="475" t="s">
        <v>67</v>
      </c>
      <c r="E209" s="475" t="s">
        <v>68</v>
      </c>
      <c r="F209" s="476">
        <v>5000</v>
      </c>
      <c r="G209" s="475" t="s">
        <v>35</v>
      </c>
      <c r="H209" s="475">
        <v>100</v>
      </c>
      <c r="I209" s="475"/>
      <c r="J209" s="475">
        <f>2.44*1.17</f>
        <v>2.8547999999999996</v>
      </c>
      <c r="K209" s="477">
        <f t="shared" si="6"/>
        <v>2.8547999999999997E-2</v>
      </c>
      <c r="L209" s="478" t="s">
        <v>66</v>
      </c>
      <c r="M209" s="473" t="s">
        <v>145</v>
      </c>
    </row>
    <row r="210" spans="1:13" s="400" customFormat="1" hidden="1">
      <c r="A210" s="474"/>
      <c r="B210" s="475"/>
      <c r="C210" s="475"/>
      <c r="D210" s="475" t="s">
        <v>67</v>
      </c>
      <c r="E210" s="475" t="s">
        <v>68</v>
      </c>
      <c r="F210" s="476">
        <v>20000</v>
      </c>
      <c r="G210" s="475" t="s">
        <v>35</v>
      </c>
      <c r="H210" s="475">
        <v>100</v>
      </c>
      <c r="I210" s="475"/>
      <c r="J210" s="475">
        <f>2.26*1.17</f>
        <v>2.6441999999999997</v>
      </c>
      <c r="K210" s="477">
        <f t="shared" si="6"/>
        <v>2.6441999999999997E-2</v>
      </c>
      <c r="L210" s="478" t="s">
        <v>66</v>
      </c>
      <c r="M210" s="473" t="s">
        <v>145</v>
      </c>
    </row>
    <row r="211" spans="1:13" s="400" customFormat="1" hidden="1">
      <c r="A211" s="474"/>
      <c r="B211" s="475"/>
      <c r="C211" s="475"/>
      <c r="D211" s="475" t="s">
        <v>67</v>
      </c>
      <c r="E211" s="475" t="s">
        <v>68</v>
      </c>
      <c r="F211" s="476">
        <v>100000</v>
      </c>
      <c r="G211" s="475" t="s">
        <v>35</v>
      </c>
      <c r="H211" s="475">
        <v>100</v>
      </c>
      <c r="I211" s="475"/>
      <c r="J211" s="475">
        <f>2.18*1.17</f>
        <v>2.5506000000000002</v>
      </c>
      <c r="K211" s="477">
        <f t="shared" si="6"/>
        <v>2.5506000000000001E-2</v>
      </c>
      <c r="L211" s="478" t="s">
        <v>66</v>
      </c>
      <c r="M211" s="473" t="s">
        <v>145</v>
      </c>
    </row>
    <row r="212" spans="1:13" s="400" customFormat="1" ht="12.6" hidden="1" thickBot="1">
      <c r="A212" s="479"/>
      <c r="B212" s="480"/>
      <c r="C212" s="480"/>
      <c r="D212" s="480" t="s">
        <v>67</v>
      </c>
      <c r="E212" s="480" t="s">
        <v>68</v>
      </c>
      <c r="F212" s="481">
        <v>300000</v>
      </c>
      <c r="G212" s="480" t="s">
        <v>35</v>
      </c>
      <c r="H212" s="480">
        <v>100</v>
      </c>
      <c r="I212" s="480"/>
      <c r="J212" s="480">
        <f>2.14*1.17</f>
        <v>2.5038</v>
      </c>
      <c r="K212" s="482">
        <f t="shared" si="6"/>
        <v>2.5038000000000001E-2</v>
      </c>
      <c r="L212" s="483" t="s">
        <v>66</v>
      </c>
      <c r="M212" s="484" t="s">
        <v>145</v>
      </c>
    </row>
    <row r="213" spans="1:13" s="400" customFormat="1" hidden="1">
      <c r="A213" s="466" t="s">
        <v>72</v>
      </c>
      <c r="B213" s="397" t="s">
        <v>73</v>
      </c>
      <c r="C213" s="397" t="s">
        <v>468</v>
      </c>
      <c r="D213" s="397" t="s">
        <v>64</v>
      </c>
      <c r="E213" s="397" t="s">
        <v>65</v>
      </c>
      <c r="F213" s="414">
        <v>0</v>
      </c>
      <c r="G213" s="397" t="s">
        <v>35</v>
      </c>
      <c r="H213" s="397">
        <v>100</v>
      </c>
      <c r="I213" s="397"/>
      <c r="J213" s="397">
        <f>4.7*1.17</f>
        <v>5.4989999999999997</v>
      </c>
      <c r="K213" s="415">
        <f t="shared" si="6"/>
        <v>5.4989999999999997E-2</v>
      </c>
      <c r="L213" s="398" t="s">
        <v>66</v>
      </c>
      <c r="M213" s="467" t="s">
        <v>145</v>
      </c>
    </row>
    <row r="214" spans="1:13" s="400" customFormat="1" hidden="1">
      <c r="A214" s="468"/>
      <c r="B214" s="469"/>
      <c r="C214" s="469"/>
      <c r="D214" s="469" t="s">
        <v>67</v>
      </c>
      <c r="E214" s="469" t="s">
        <v>68</v>
      </c>
      <c r="F214" s="470">
        <v>0</v>
      </c>
      <c r="G214" s="469" t="s">
        <v>35</v>
      </c>
      <c r="H214" s="469">
        <v>100</v>
      </c>
      <c r="I214" s="469"/>
      <c r="J214" s="469">
        <f>5.13*1.17</f>
        <v>6.0020999999999995</v>
      </c>
      <c r="K214" s="471">
        <f t="shared" si="6"/>
        <v>6.0020999999999998E-2</v>
      </c>
      <c r="L214" s="472" t="s">
        <v>66</v>
      </c>
      <c r="M214" s="473" t="s">
        <v>145</v>
      </c>
    </row>
    <row r="215" spans="1:13" s="400" customFormat="1" hidden="1">
      <c r="A215" s="474"/>
      <c r="B215" s="475"/>
      <c r="C215" s="475"/>
      <c r="D215" s="475" t="s">
        <v>67</v>
      </c>
      <c r="E215" s="475" t="s">
        <v>68</v>
      </c>
      <c r="F215" s="476">
        <v>5000</v>
      </c>
      <c r="G215" s="475" t="s">
        <v>35</v>
      </c>
      <c r="H215" s="475">
        <v>100</v>
      </c>
      <c r="I215" s="475"/>
      <c r="J215" s="475">
        <f>5.13*1.17</f>
        <v>6.0020999999999995</v>
      </c>
      <c r="K215" s="477">
        <f t="shared" si="6"/>
        <v>6.0020999999999998E-2</v>
      </c>
      <c r="L215" s="478" t="s">
        <v>66</v>
      </c>
      <c r="M215" s="473" t="s">
        <v>145</v>
      </c>
    </row>
    <row r="216" spans="1:13" s="400" customFormat="1" hidden="1">
      <c r="A216" s="474"/>
      <c r="B216" s="475"/>
      <c r="C216" s="475"/>
      <c r="D216" s="475" t="s">
        <v>67</v>
      </c>
      <c r="E216" s="475" t="s">
        <v>68</v>
      </c>
      <c r="F216" s="476">
        <v>20000</v>
      </c>
      <c r="G216" s="475" t="s">
        <v>35</v>
      </c>
      <c r="H216" s="475">
        <v>100</v>
      </c>
      <c r="I216" s="475"/>
      <c r="J216" s="475">
        <f>4.96*1.17</f>
        <v>5.8031999999999995</v>
      </c>
      <c r="K216" s="477">
        <f t="shared" si="6"/>
        <v>5.8031999999999993E-2</v>
      </c>
      <c r="L216" s="478" t="s">
        <v>66</v>
      </c>
      <c r="M216" s="473" t="s">
        <v>145</v>
      </c>
    </row>
    <row r="217" spans="1:13" s="400" customFormat="1" hidden="1">
      <c r="A217" s="474"/>
      <c r="B217" s="475"/>
      <c r="C217" s="475"/>
      <c r="D217" s="475" t="s">
        <v>67</v>
      </c>
      <c r="E217" s="475" t="s">
        <v>68</v>
      </c>
      <c r="F217" s="476">
        <v>100000</v>
      </c>
      <c r="G217" s="475" t="s">
        <v>35</v>
      </c>
      <c r="H217" s="475">
        <v>100</v>
      </c>
      <c r="I217" s="475"/>
      <c r="J217" s="475">
        <f>4.7*1.17</f>
        <v>5.4989999999999997</v>
      </c>
      <c r="K217" s="477">
        <f t="shared" si="6"/>
        <v>5.4989999999999997E-2</v>
      </c>
      <c r="L217" s="478" t="s">
        <v>66</v>
      </c>
      <c r="M217" s="473" t="s">
        <v>145</v>
      </c>
    </row>
    <row r="218" spans="1:13" s="400" customFormat="1" ht="12.6" hidden="1" thickBot="1">
      <c r="A218" s="479"/>
      <c r="B218" s="480"/>
      <c r="C218" s="480"/>
      <c r="D218" s="480" t="s">
        <v>67</v>
      </c>
      <c r="E218" s="480" t="s">
        <v>68</v>
      </c>
      <c r="F218" s="481">
        <v>300000</v>
      </c>
      <c r="G218" s="480" t="s">
        <v>35</v>
      </c>
      <c r="H218" s="480">
        <v>100</v>
      </c>
      <c r="I218" s="480"/>
      <c r="J218" s="480">
        <f>4.27*1.17</f>
        <v>4.9958999999999989</v>
      </c>
      <c r="K218" s="482">
        <f t="shared" si="6"/>
        <v>4.995899999999999E-2</v>
      </c>
      <c r="L218" s="483" t="s">
        <v>66</v>
      </c>
      <c r="M218" s="484" t="s">
        <v>145</v>
      </c>
    </row>
    <row r="219" spans="1:13" s="400" customFormat="1" hidden="1">
      <c r="A219" s="466" t="s">
        <v>467</v>
      </c>
      <c r="B219" s="397" t="s">
        <v>69</v>
      </c>
      <c r="C219" s="397" t="s">
        <v>468</v>
      </c>
      <c r="D219" s="397" t="s">
        <v>469</v>
      </c>
      <c r="E219" s="397" t="s">
        <v>65</v>
      </c>
      <c r="F219" s="414">
        <v>0</v>
      </c>
      <c r="G219" s="397" t="s">
        <v>35</v>
      </c>
      <c r="H219" s="397">
        <v>100</v>
      </c>
      <c r="I219" s="397"/>
      <c r="J219" s="397">
        <f>0.51*1.17</f>
        <v>0.59670000000000001</v>
      </c>
      <c r="K219" s="415">
        <f t="shared" ref="K219:K224" si="13">J219/H219</f>
        <v>5.9670000000000001E-3</v>
      </c>
      <c r="L219" s="398" t="s">
        <v>66</v>
      </c>
      <c r="M219" s="473" t="s">
        <v>145</v>
      </c>
    </row>
    <row r="220" spans="1:13" s="400" customFormat="1" hidden="1">
      <c r="A220" s="468"/>
      <c r="B220" s="469"/>
      <c r="C220" s="469"/>
      <c r="D220" s="469" t="s">
        <v>67</v>
      </c>
      <c r="E220" s="469" t="s">
        <v>68</v>
      </c>
      <c r="F220" s="470">
        <v>0</v>
      </c>
      <c r="G220" s="469" t="s">
        <v>35</v>
      </c>
      <c r="H220" s="469">
        <v>100</v>
      </c>
      <c r="I220" s="469"/>
      <c r="J220" s="469">
        <f>0.56*1.17</f>
        <v>0.6552</v>
      </c>
      <c r="K220" s="471">
        <f t="shared" si="13"/>
        <v>6.5519999999999997E-3</v>
      </c>
      <c r="L220" s="472" t="s">
        <v>66</v>
      </c>
      <c r="M220" s="473" t="s">
        <v>145</v>
      </c>
    </row>
    <row r="221" spans="1:13" s="400" customFormat="1" hidden="1">
      <c r="A221" s="474"/>
      <c r="B221" s="475"/>
      <c r="C221" s="475"/>
      <c r="D221" s="475" t="s">
        <v>67</v>
      </c>
      <c r="E221" s="475" t="s">
        <v>68</v>
      </c>
      <c r="F221" s="476">
        <v>5000</v>
      </c>
      <c r="G221" s="475" t="s">
        <v>35</v>
      </c>
      <c r="H221" s="475">
        <v>100</v>
      </c>
      <c r="I221" s="475"/>
      <c r="J221" s="475">
        <f>0.56*1.17</f>
        <v>0.6552</v>
      </c>
      <c r="K221" s="477">
        <f t="shared" si="13"/>
        <v>6.5519999999999997E-3</v>
      </c>
      <c r="L221" s="478" t="s">
        <v>66</v>
      </c>
      <c r="M221" s="473" t="s">
        <v>145</v>
      </c>
    </row>
    <row r="222" spans="1:13" s="400" customFormat="1" hidden="1">
      <c r="A222" s="474"/>
      <c r="B222" s="475"/>
      <c r="C222" s="475"/>
      <c r="D222" s="475" t="s">
        <v>67</v>
      </c>
      <c r="E222" s="475" t="s">
        <v>68</v>
      </c>
      <c r="F222" s="476">
        <v>20000</v>
      </c>
      <c r="G222" s="475" t="s">
        <v>35</v>
      </c>
      <c r="H222" s="475">
        <v>100</v>
      </c>
      <c r="I222" s="475"/>
      <c r="J222" s="475">
        <f>0.51*1.17</f>
        <v>0.59670000000000001</v>
      </c>
      <c r="K222" s="477">
        <f t="shared" si="13"/>
        <v>5.9670000000000001E-3</v>
      </c>
      <c r="L222" s="478" t="s">
        <v>66</v>
      </c>
      <c r="M222" s="473" t="s">
        <v>145</v>
      </c>
    </row>
    <row r="223" spans="1:13" s="400" customFormat="1" hidden="1">
      <c r="A223" s="474"/>
      <c r="B223" s="475"/>
      <c r="C223" s="475"/>
      <c r="D223" s="475" t="s">
        <v>67</v>
      </c>
      <c r="E223" s="475" t="s">
        <v>68</v>
      </c>
      <c r="F223" s="476">
        <v>100000</v>
      </c>
      <c r="G223" s="475" t="s">
        <v>35</v>
      </c>
      <c r="H223" s="475">
        <v>100</v>
      </c>
      <c r="I223" s="475"/>
      <c r="J223" s="475">
        <f>0.47*1.17</f>
        <v>0.54989999999999994</v>
      </c>
      <c r="K223" s="477">
        <f t="shared" si="13"/>
        <v>5.4989999999999995E-3</v>
      </c>
      <c r="L223" s="478" t="s">
        <v>66</v>
      </c>
      <c r="M223" s="473" t="s">
        <v>145</v>
      </c>
    </row>
    <row r="224" spans="1:13" s="400" customFormat="1" ht="12.6" hidden="1" thickBot="1">
      <c r="A224" s="479"/>
      <c r="B224" s="480"/>
      <c r="C224" s="480"/>
      <c r="D224" s="480" t="s">
        <v>67</v>
      </c>
      <c r="E224" s="480" t="s">
        <v>68</v>
      </c>
      <c r="F224" s="481">
        <v>300000</v>
      </c>
      <c r="G224" s="480" t="s">
        <v>35</v>
      </c>
      <c r="H224" s="480">
        <v>100</v>
      </c>
      <c r="I224" s="480"/>
      <c r="J224" s="480">
        <f>0.44*1.17</f>
        <v>0.51479999999999992</v>
      </c>
      <c r="K224" s="482">
        <f t="shared" si="13"/>
        <v>5.1479999999999989E-3</v>
      </c>
      <c r="L224" s="483" t="s">
        <v>66</v>
      </c>
      <c r="M224" s="484" t="s">
        <v>145</v>
      </c>
    </row>
    <row r="225" spans="1:13" s="400" customFormat="1">
      <c r="A225" s="466" t="s">
        <v>74</v>
      </c>
      <c r="B225" s="397" t="s">
        <v>75</v>
      </c>
      <c r="C225" s="397" t="s">
        <v>468</v>
      </c>
      <c r="D225" s="397" t="s">
        <v>64</v>
      </c>
      <c r="E225" s="397" t="s">
        <v>65</v>
      </c>
      <c r="F225" s="414">
        <v>0</v>
      </c>
      <c r="G225" s="397" t="s">
        <v>35</v>
      </c>
      <c r="H225" s="397">
        <v>100</v>
      </c>
      <c r="I225" s="397"/>
      <c r="J225" s="397">
        <f>13.68*1.17</f>
        <v>16.005599999999998</v>
      </c>
      <c r="K225" s="415">
        <f t="shared" si="6"/>
        <v>0.16005599999999998</v>
      </c>
      <c r="L225" s="398" t="s">
        <v>66</v>
      </c>
      <c r="M225" s="467" t="s">
        <v>145</v>
      </c>
    </row>
    <row r="226" spans="1:13" s="400" customFormat="1">
      <c r="A226" s="468"/>
      <c r="B226" s="469"/>
      <c r="C226" s="469"/>
      <c r="D226" s="469" t="s">
        <v>67</v>
      </c>
      <c r="E226" s="469" t="s">
        <v>68</v>
      </c>
      <c r="F226" s="470">
        <v>0</v>
      </c>
      <c r="G226" s="469" t="s">
        <v>35</v>
      </c>
      <c r="H226" s="469">
        <v>100</v>
      </c>
      <c r="I226" s="469"/>
      <c r="J226" s="469">
        <f>13.68*1.17</f>
        <v>16.005599999999998</v>
      </c>
      <c r="K226" s="471">
        <f t="shared" si="6"/>
        <v>0.16005599999999998</v>
      </c>
      <c r="L226" s="472" t="s">
        <v>66</v>
      </c>
      <c r="M226" s="473" t="s">
        <v>145</v>
      </c>
    </row>
    <row r="227" spans="1:13" s="400" customFormat="1">
      <c r="A227" s="474"/>
      <c r="B227" s="475"/>
      <c r="C227" s="475"/>
      <c r="D227" s="475" t="s">
        <v>67</v>
      </c>
      <c r="E227" s="475" t="s">
        <v>68</v>
      </c>
      <c r="F227" s="476">
        <v>5000</v>
      </c>
      <c r="G227" s="475" t="s">
        <v>35</v>
      </c>
      <c r="H227" s="475">
        <v>100</v>
      </c>
      <c r="I227" s="475"/>
      <c r="J227" s="475">
        <f>13.68*1.17</f>
        <v>16.005599999999998</v>
      </c>
      <c r="K227" s="477">
        <f t="shared" si="6"/>
        <v>0.16005599999999998</v>
      </c>
      <c r="L227" s="478" t="s">
        <v>66</v>
      </c>
      <c r="M227" s="473" t="s">
        <v>145</v>
      </c>
    </row>
    <row r="228" spans="1:13" s="400" customFormat="1">
      <c r="A228" s="474"/>
      <c r="B228" s="475"/>
      <c r="C228" s="475"/>
      <c r="D228" s="475" t="s">
        <v>67</v>
      </c>
      <c r="E228" s="475" t="s">
        <v>68</v>
      </c>
      <c r="F228" s="476">
        <v>20000</v>
      </c>
      <c r="G228" s="475" t="s">
        <v>35</v>
      </c>
      <c r="H228" s="475">
        <v>100</v>
      </c>
      <c r="I228" s="475"/>
      <c r="J228" s="475">
        <f>13.68*1.17</f>
        <v>16.005599999999998</v>
      </c>
      <c r="K228" s="477">
        <f t="shared" si="6"/>
        <v>0.16005599999999998</v>
      </c>
      <c r="L228" s="478" t="s">
        <v>66</v>
      </c>
      <c r="M228" s="473" t="s">
        <v>145</v>
      </c>
    </row>
    <row r="229" spans="1:13" s="400" customFormat="1">
      <c r="A229" s="474"/>
      <c r="B229" s="475"/>
      <c r="C229" s="475"/>
      <c r="D229" s="475" t="s">
        <v>67</v>
      </c>
      <c r="E229" s="475" t="s">
        <v>68</v>
      </c>
      <c r="F229" s="476">
        <v>100000</v>
      </c>
      <c r="G229" s="475" t="s">
        <v>35</v>
      </c>
      <c r="H229" s="475">
        <v>100</v>
      </c>
      <c r="I229" s="475"/>
      <c r="J229" s="475">
        <f>12.82*1.17</f>
        <v>14.9994</v>
      </c>
      <c r="K229" s="477">
        <f t="shared" si="6"/>
        <v>0.14999399999999999</v>
      </c>
      <c r="L229" s="478" t="s">
        <v>66</v>
      </c>
      <c r="M229" s="473" t="s">
        <v>145</v>
      </c>
    </row>
    <row r="230" spans="1:13" s="400" customFormat="1" ht="12.6" thickBot="1">
      <c r="A230" s="479"/>
      <c r="B230" s="480"/>
      <c r="C230" s="480"/>
      <c r="D230" s="480" t="s">
        <v>67</v>
      </c>
      <c r="E230" s="480" t="s">
        <v>68</v>
      </c>
      <c r="F230" s="481">
        <v>300000</v>
      </c>
      <c r="G230" s="480" t="s">
        <v>35</v>
      </c>
      <c r="H230" s="480">
        <v>100</v>
      </c>
      <c r="I230" s="480"/>
      <c r="J230" s="480">
        <f>12.39*1.17</f>
        <v>14.4963</v>
      </c>
      <c r="K230" s="482">
        <f t="shared" si="6"/>
        <v>0.14496300000000001</v>
      </c>
      <c r="L230" s="483" t="s">
        <v>66</v>
      </c>
      <c r="M230" s="484" t="s">
        <v>145</v>
      </c>
    </row>
    <row r="231" spans="1:13" s="400" customFormat="1">
      <c r="A231" s="466" t="s">
        <v>472</v>
      </c>
      <c r="B231" s="397" t="s">
        <v>201</v>
      </c>
      <c r="C231" s="397" t="s">
        <v>470</v>
      </c>
      <c r="D231" s="397" t="s">
        <v>67</v>
      </c>
      <c r="E231" s="397" t="s">
        <v>68</v>
      </c>
      <c r="F231" s="414">
        <v>0</v>
      </c>
      <c r="G231" s="397" t="s">
        <v>35</v>
      </c>
      <c r="H231" s="397">
        <v>100</v>
      </c>
      <c r="I231" s="397"/>
      <c r="J231" s="397">
        <f>17.52*1.17</f>
        <v>20.498399999999997</v>
      </c>
      <c r="K231" s="415">
        <f>J231/H231</f>
        <v>0.20498399999999997</v>
      </c>
      <c r="L231" s="398" t="s">
        <v>66</v>
      </c>
      <c r="M231" s="467" t="s">
        <v>466</v>
      </c>
    </row>
    <row r="232" spans="1:13" s="400" customFormat="1">
      <c r="A232" s="485"/>
      <c r="B232" s="418"/>
      <c r="C232" s="418"/>
      <c r="D232" s="418" t="s">
        <v>67</v>
      </c>
      <c r="E232" s="418" t="s">
        <v>68</v>
      </c>
      <c r="F232" s="396">
        <v>5000</v>
      </c>
      <c r="G232" s="418" t="s">
        <v>473</v>
      </c>
      <c r="H232" s="418">
        <v>100</v>
      </c>
      <c r="I232" s="418"/>
      <c r="J232" s="418">
        <f>+J231</f>
        <v>20.498399999999997</v>
      </c>
      <c r="K232" s="419">
        <f>J232/H232</f>
        <v>0.20498399999999997</v>
      </c>
      <c r="L232" s="420" t="s">
        <v>66</v>
      </c>
      <c r="M232" s="467" t="s">
        <v>145</v>
      </c>
    </row>
    <row r="233" spans="1:13" s="400" customFormat="1">
      <c r="A233" s="486"/>
      <c r="B233" s="404"/>
      <c r="C233" s="404"/>
      <c r="D233" s="404" t="s">
        <v>67</v>
      </c>
      <c r="E233" s="404" t="s">
        <v>68</v>
      </c>
      <c r="F233" s="403">
        <v>30000</v>
      </c>
      <c r="G233" s="404" t="s">
        <v>35</v>
      </c>
      <c r="H233" s="404">
        <v>100</v>
      </c>
      <c r="I233" s="404"/>
      <c r="J233" s="404">
        <f>16.41*1.17</f>
        <v>19.1997</v>
      </c>
      <c r="K233" s="422">
        <f>J233/H233</f>
        <v>0.191997</v>
      </c>
      <c r="L233" s="405" t="s">
        <v>66</v>
      </c>
      <c r="M233" s="473" t="s">
        <v>145</v>
      </c>
    </row>
    <row r="234" spans="1:13" s="400" customFormat="1" ht="12.6" thickBot="1">
      <c r="A234" s="487"/>
      <c r="B234" s="488"/>
      <c r="C234" s="488"/>
      <c r="D234" s="488" t="s">
        <v>67</v>
      </c>
      <c r="E234" s="488" t="s">
        <v>68</v>
      </c>
      <c r="F234" s="465">
        <v>300000</v>
      </c>
      <c r="G234" s="488" t="s">
        <v>35</v>
      </c>
      <c r="H234" s="488">
        <v>100</v>
      </c>
      <c r="I234" s="488"/>
      <c r="J234" s="488">
        <f>15.38*1.17</f>
        <v>17.994599999999998</v>
      </c>
      <c r="K234" s="489">
        <f>J234/H234</f>
        <v>0.17994599999999999</v>
      </c>
      <c r="L234" s="490" t="s">
        <v>66</v>
      </c>
      <c r="M234" s="484" t="s">
        <v>145</v>
      </c>
    </row>
    <row r="235" spans="1:13" s="400" customFormat="1">
      <c r="A235" s="466" t="s">
        <v>472</v>
      </c>
      <c r="B235" s="397" t="s">
        <v>201</v>
      </c>
      <c r="C235" s="397" t="s">
        <v>470</v>
      </c>
      <c r="D235" s="397" t="s">
        <v>469</v>
      </c>
      <c r="E235" s="397" t="s">
        <v>202</v>
      </c>
      <c r="F235" s="414">
        <v>0</v>
      </c>
      <c r="G235" s="397" t="s">
        <v>35</v>
      </c>
      <c r="H235" s="397">
        <v>100</v>
      </c>
      <c r="I235" s="397"/>
      <c r="J235" s="397">
        <f>14.5*1.17</f>
        <v>16.965</v>
      </c>
      <c r="K235" s="415">
        <f t="shared" ref="K235:K242" si="14">J235/H235</f>
        <v>0.16965</v>
      </c>
      <c r="L235" s="398" t="s">
        <v>66</v>
      </c>
      <c r="M235" s="467" t="s">
        <v>145</v>
      </c>
    </row>
    <row r="236" spans="1:13" s="400" customFormat="1">
      <c r="A236" s="485"/>
      <c r="B236" s="418"/>
      <c r="C236" s="418"/>
      <c r="D236" s="404" t="s">
        <v>469</v>
      </c>
      <c r="E236" s="404" t="s">
        <v>202</v>
      </c>
      <c r="F236" s="396">
        <v>5000</v>
      </c>
      <c r="G236" s="418" t="s">
        <v>473</v>
      </c>
      <c r="H236" s="418">
        <v>100</v>
      </c>
      <c r="I236" s="418"/>
      <c r="J236" s="418">
        <f>+J235</f>
        <v>16.965</v>
      </c>
      <c r="K236" s="419">
        <f t="shared" si="14"/>
        <v>0.16965</v>
      </c>
      <c r="L236" s="420" t="s">
        <v>66</v>
      </c>
      <c r="M236" s="467" t="s">
        <v>145</v>
      </c>
    </row>
    <row r="237" spans="1:13" s="400" customFormat="1">
      <c r="A237" s="486"/>
      <c r="B237" s="404"/>
      <c r="C237" s="404"/>
      <c r="D237" s="404" t="s">
        <v>469</v>
      </c>
      <c r="E237" s="404" t="s">
        <v>202</v>
      </c>
      <c r="F237" s="403">
        <v>10000</v>
      </c>
      <c r="G237" s="404" t="s">
        <v>35</v>
      </c>
      <c r="H237" s="404">
        <v>100</v>
      </c>
      <c r="I237" s="404"/>
      <c r="J237" s="404">
        <f>14*1.17</f>
        <v>16.38</v>
      </c>
      <c r="K237" s="422">
        <f t="shared" si="14"/>
        <v>0.1638</v>
      </c>
      <c r="L237" s="405" t="s">
        <v>66</v>
      </c>
      <c r="M237" s="473" t="s">
        <v>145</v>
      </c>
    </row>
    <row r="238" spans="1:13" s="400" customFormat="1">
      <c r="A238" s="486"/>
      <c r="B238" s="404"/>
      <c r="C238" s="404"/>
      <c r="D238" s="404" t="s">
        <v>469</v>
      </c>
      <c r="E238" s="404" t="s">
        <v>202</v>
      </c>
      <c r="F238" s="403">
        <v>30000</v>
      </c>
      <c r="G238" s="404" t="s">
        <v>35</v>
      </c>
      <c r="H238" s="404">
        <v>100</v>
      </c>
      <c r="I238" s="404"/>
      <c r="J238" s="404">
        <f>13.5*1.17</f>
        <v>15.794999999999998</v>
      </c>
      <c r="K238" s="422">
        <f t="shared" si="14"/>
        <v>0.15794999999999998</v>
      </c>
      <c r="L238" s="405" t="s">
        <v>66</v>
      </c>
      <c r="M238" s="473" t="s">
        <v>145</v>
      </c>
    </row>
    <row r="239" spans="1:13" s="400" customFormat="1">
      <c r="A239" s="486"/>
      <c r="B239" s="404"/>
      <c r="C239" s="404"/>
      <c r="D239" s="404" t="s">
        <v>469</v>
      </c>
      <c r="E239" s="404" t="s">
        <v>202</v>
      </c>
      <c r="F239" s="403">
        <v>50000</v>
      </c>
      <c r="G239" s="404" t="s">
        <v>35</v>
      </c>
      <c r="H239" s="404">
        <v>100</v>
      </c>
      <c r="I239" s="404"/>
      <c r="J239" s="404">
        <f>13*1.17</f>
        <v>15.209999999999999</v>
      </c>
      <c r="K239" s="422">
        <f t="shared" si="14"/>
        <v>0.15209999999999999</v>
      </c>
      <c r="L239" s="405" t="s">
        <v>66</v>
      </c>
      <c r="M239" s="473" t="s">
        <v>145</v>
      </c>
    </row>
    <row r="240" spans="1:13" s="400" customFormat="1">
      <c r="A240" s="486"/>
      <c r="B240" s="404"/>
      <c r="C240" s="404"/>
      <c r="D240" s="404" t="s">
        <v>469</v>
      </c>
      <c r="E240" s="404" t="s">
        <v>202</v>
      </c>
      <c r="F240" s="403">
        <v>100000</v>
      </c>
      <c r="G240" s="404" t="s">
        <v>35</v>
      </c>
      <c r="H240" s="404">
        <v>100</v>
      </c>
      <c r="I240" s="404"/>
      <c r="J240" s="404">
        <f>12.5*1.17</f>
        <v>14.625</v>
      </c>
      <c r="K240" s="422">
        <f t="shared" si="14"/>
        <v>0.14624999999999999</v>
      </c>
      <c r="L240" s="405" t="s">
        <v>66</v>
      </c>
      <c r="M240" s="473" t="s">
        <v>145</v>
      </c>
    </row>
    <row r="241" spans="1:13" s="400" customFormat="1">
      <c r="A241" s="486"/>
      <c r="B241" s="404"/>
      <c r="C241" s="404"/>
      <c r="D241" s="404" t="s">
        <v>469</v>
      </c>
      <c r="E241" s="404" t="s">
        <v>202</v>
      </c>
      <c r="F241" s="403">
        <v>300000</v>
      </c>
      <c r="G241" s="404" t="s">
        <v>35</v>
      </c>
      <c r="H241" s="404">
        <v>100</v>
      </c>
      <c r="I241" s="404"/>
      <c r="J241" s="404">
        <f>11.5*1.17</f>
        <v>13.454999999999998</v>
      </c>
      <c r="K241" s="422">
        <f t="shared" si="14"/>
        <v>0.13454999999999998</v>
      </c>
      <c r="L241" s="405" t="s">
        <v>66</v>
      </c>
      <c r="M241" s="473" t="s">
        <v>145</v>
      </c>
    </row>
    <row r="242" spans="1:13" s="400" customFormat="1" ht="12.6" thickBot="1">
      <c r="A242" s="487"/>
      <c r="B242" s="488"/>
      <c r="C242" s="488"/>
      <c r="D242" s="488" t="s">
        <v>469</v>
      </c>
      <c r="E242" s="488" t="s">
        <v>202</v>
      </c>
      <c r="F242" s="465">
        <v>500000</v>
      </c>
      <c r="G242" s="488" t="s">
        <v>35</v>
      </c>
      <c r="H242" s="488">
        <v>100</v>
      </c>
      <c r="I242" s="488"/>
      <c r="J242" s="488">
        <f>11*1.17</f>
        <v>12.87</v>
      </c>
      <c r="K242" s="489">
        <f t="shared" si="14"/>
        <v>0.12869999999999998</v>
      </c>
      <c r="L242" s="490" t="s">
        <v>66</v>
      </c>
      <c r="M242" s="484" t="s">
        <v>145</v>
      </c>
    </row>
    <row r="243" spans="1:13" s="263" customFormat="1" ht="12.6" hidden="1" thickBot="1">
      <c r="A243" s="277" t="s">
        <v>533</v>
      </c>
      <c r="B243" s="260" t="s">
        <v>395</v>
      </c>
      <c r="C243" s="260" t="s">
        <v>534</v>
      </c>
      <c r="D243" s="260" t="s">
        <v>67</v>
      </c>
      <c r="E243" s="260" t="s">
        <v>68</v>
      </c>
      <c r="F243" s="259">
        <v>0</v>
      </c>
      <c r="G243" s="260" t="s">
        <v>35</v>
      </c>
      <c r="H243" s="260">
        <v>100</v>
      </c>
      <c r="I243" s="260"/>
      <c r="J243" s="260">
        <f>12.33*1.17</f>
        <v>14.4261</v>
      </c>
      <c r="K243" s="324">
        <f>J243/H243</f>
        <v>0.144261</v>
      </c>
      <c r="L243" s="261" t="s">
        <v>66</v>
      </c>
      <c r="M243" s="278" t="s">
        <v>532</v>
      </c>
    </row>
    <row r="244" spans="1:13" s="72" customFormat="1" hidden="1">
      <c r="A244" s="67" t="s">
        <v>76</v>
      </c>
      <c r="B244" s="68" t="s">
        <v>77</v>
      </c>
      <c r="C244" s="68" t="s">
        <v>471</v>
      </c>
      <c r="D244" s="68" t="s">
        <v>64</v>
      </c>
      <c r="E244" s="68" t="s">
        <v>65</v>
      </c>
      <c r="F244" s="69">
        <v>1</v>
      </c>
      <c r="G244" s="68" t="s">
        <v>35</v>
      </c>
      <c r="H244" s="68">
        <v>100</v>
      </c>
      <c r="I244" s="68"/>
      <c r="J244" s="68">
        <f>14.7*1.17</f>
        <v>17.198999999999998</v>
      </c>
      <c r="K244" s="320">
        <f t="shared" si="6"/>
        <v>0.17198999999999998</v>
      </c>
      <c r="L244" s="70" t="s">
        <v>66</v>
      </c>
      <c r="M244" s="111" t="s">
        <v>145</v>
      </c>
    </row>
    <row r="245" spans="1:13" s="72" customFormat="1" hidden="1">
      <c r="A245" s="73"/>
      <c r="B245" s="74"/>
      <c r="C245" s="74"/>
      <c r="D245" s="74" t="s">
        <v>64</v>
      </c>
      <c r="E245" s="74" t="s">
        <v>65</v>
      </c>
      <c r="F245" s="75">
        <v>10000</v>
      </c>
      <c r="G245" s="74" t="s">
        <v>35</v>
      </c>
      <c r="H245" s="74">
        <v>100</v>
      </c>
      <c r="I245" s="74"/>
      <c r="J245" s="74">
        <f>14.7*1.17</f>
        <v>17.198999999999998</v>
      </c>
      <c r="K245" s="321">
        <f t="shared" si="6"/>
        <v>0.17198999999999998</v>
      </c>
      <c r="L245" s="77" t="s">
        <v>66</v>
      </c>
      <c r="M245" s="105" t="s">
        <v>145</v>
      </c>
    </row>
    <row r="246" spans="1:13" s="72" customFormat="1" hidden="1">
      <c r="A246" s="73"/>
      <c r="B246" s="74"/>
      <c r="C246" s="74"/>
      <c r="D246" s="74" t="s">
        <v>64</v>
      </c>
      <c r="E246" s="74" t="s">
        <v>65</v>
      </c>
      <c r="F246" s="75">
        <v>30000</v>
      </c>
      <c r="G246" s="74" t="s">
        <v>35</v>
      </c>
      <c r="H246" s="74">
        <v>100</v>
      </c>
      <c r="I246" s="74"/>
      <c r="J246" s="74">
        <f>14.53*1.17</f>
        <v>17.0001</v>
      </c>
      <c r="K246" s="321">
        <f t="shared" si="6"/>
        <v>0.17000099999999999</v>
      </c>
      <c r="L246" s="77" t="s">
        <v>66</v>
      </c>
      <c r="M246" s="105" t="s">
        <v>145</v>
      </c>
    </row>
    <row r="247" spans="1:13" s="72" customFormat="1" hidden="1">
      <c r="A247" s="73"/>
      <c r="B247" s="74"/>
      <c r="C247" s="74"/>
      <c r="D247" s="74" t="s">
        <v>64</v>
      </c>
      <c r="E247" s="74" t="s">
        <v>65</v>
      </c>
      <c r="F247" s="75">
        <v>50000</v>
      </c>
      <c r="G247" s="74" t="s">
        <v>35</v>
      </c>
      <c r="H247" s="74">
        <v>100</v>
      </c>
      <c r="I247" s="74"/>
      <c r="J247" s="74">
        <f>14.36*1.17</f>
        <v>16.801199999999998</v>
      </c>
      <c r="K247" s="321">
        <f t="shared" si="6"/>
        <v>0.16801199999999997</v>
      </c>
      <c r="L247" s="77" t="s">
        <v>66</v>
      </c>
      <c r="M247" s="105" t="s">
        <v>145</v>
      </c>
    </row>
    <row r="248" spans="1:13" s="72" customFormat="1" hidden="1">
      <c r="A248" s="73"/>
      <c r="B248" s="74"/>
      <c r="C248" s="74"/>
      <c r="D248" s="74" t="s">
        <v>64</v>
      </c>
      <c r="E248" s="74" t="s">
        <v>65</v>
      </c>
      <c r="F248" s="75">
        <v>100000</v>
      </c>
      <c r="G248" s="74" t="s">
        <v>35</v>
      </c>
      <c r="H248" s="74">
        <v>100</v>
      </c>
      <c r="I248" s="74"/>
      <c r="J248" s="74">
        <f>14.1*1.17</f>
        <v>16.497</v>
      </c>
      <c r="K248" s="321">
        <f t="shared" si="6"/>
        <v>0.16497000000000001</v>
      </c>
      <c r="L248" s="77" t="s">
        <v>66</v>
      </c>
      <c r="M248" s="105" t="s">
        <v>145</v>
      </c>
    </row>
    <row r="249" spans="1:13" s="72" customFormat="1" hidden="1">
      <c r="A249" s="73"/>
      <c r="B249" s="74"/>
      <c r="C249" s="74"/>
      <c r="D249" s="74" t="s">
        <v>64</v>
      </c>
      <c r="E249" s="74" t="s">
        <v>65</v>
      </c>
      <c r="F249" s="75">
        <v>300000</v>
      </c>
      <c r="G249" s="74" t="s">
        <v>35</v>
      </c>
      <c r="H249" s="74">
        <v>100</v>
      </c>
      <c r="I249" s="74"/>
      <c r="J249" s="74">
        <f>13.68*1.17</f>
        <v>16.005599999999998</v>
      </c>
      <c r="K249" s="321">
        <f t="shared" si="6"/>
        <v>0.16005599999999998</v>
      </c>
      <c r="L249" s="77" t="s">
        <v>66</v>
      </c>
      <c r="M249" s="105" t="s">
        <v>145</v>
      </c>
    </row>
    <row r="250" spans="1:13" s="72" customFormat="1" ht="12.6" hidden="1" thickBot="1">
      <c r="A250" s="112"/>
      <c r="B250" s="113"/>
      <c r="C250" s="113"/>
      <c r="D250" s="113" t="s">
        <v>64</v>
      </c>
      <c r="E250" s="113" t="s">
        <v>65</v>
      </c>
      <c r="F250" s="114">
        <v>500000</v>
      </c>
      <c r="G250" s="113" t="s">
        <v>35</v>
      </c>
      <c r="H250" s="113">
        <v>100</v>
      </c>
      <c r="I250" s="113"/>
      <c r="J250" s="113">
        <f>11.11*1.17</f>
        <v>12.998699999999998</v>
      </c>
      <c r="K250" s="328">
        <f t="shared" si="6"/>
        <v>0.12998699999999996</v>
      </c>
      <c r="L250" s="115" t="s">
        <v>66</v>
      </c>
      <c r="M250" s="116" t="s">
        <v>466</v>
      </c>
    </row>
    <row r="251" spans="1:13" s="72" customFormat="1" ht="12.6" hidden="1" thickTop="1">
      <c r="A251" s="117" t="s">
        <v>76</v>
      </c>
      <c r="B251" s="118" t="s">
        <v>77</v>
      </c>
      <c r="C251" s="118" t="s">
        <v>471</v>
      </c>
      <c r="D251" s="118" t="s">
        <v>67</v>
      </c>
      <c r="E251" s="118" t="s">
        <v>68</v>
      </c>
      <c r="F251" s="119">
        <v>0</v>
      </c>
      <c r="G251" s="118" t="s">
        <v>35</v>
      </c>
      <c r="H251" s="118">
        <v>100</v>
      </c>
      <c r="I251" s="118"/>
      <c r="J251" s="118">
        <f>14.53*1.17</f>
        <v>17.0001</v>
      </c>
      <c r="K251" s="329">
        <f t="shared" si="6"/>
        <v>0.17000099999999999</v>
      </c>
      <c r="L251" s="120" t="s">
        <v>66</v>
      </c>
      <c r="M251" s="111" t="s">
        <v>145</v>
      </c>
    </row>
    <row r="252" spans="1:13" s="72" customFormat="1" hidden="1">
      <c r="A252" s="101"/>
      <c r="B252" s="102"/>
      <c r="C252" s="102"/>
      <c r="D252" s="102" t="s">
        <v>67</v>
      </c>
      <c r="E252" s="102" t="s">
        <v>68</v>
      </c>
      <c r="F252" s="103">
        <v>10000</v>
      </c>
      <c r="G252" s="102" t="s">
        <v>35</v>
      </c>
      <c r="H252" s="102">
        <v>100</v>
      </c>
      <c r="I252" s="102"/>
      <c r="J252" s="102">
        <f>14.53*1.17</f>
        <v>17.0001</v>
      </c>
      <c r="K252" s="326">
        <f t="shared" si="6"/>
        <v>0.17000099999999999</v>
      </c>
      <c r="L252" s="104" t="s">
        <v>66</v>
      </c>
      <c r="M252" s="105" t="s">
        <v>145</v>
      </c>
    </row>
    <row r="253" spans="1:13" s="72" customFormat="1" hidden="1">
      <c r="A253" s="101"/>
      <c r="B253" s="102"/>
      <c r="C253" s="102"/>
      <c r="D253" s="102" t="s">
        <v>67</v>
      </c>
      <c r="E253" s="102" t="s">
        <v>68</v>
      </c>
      <c r="F253" s="103">
        <v>30000</v>
      </c>
      <c r="G253" s="102" t="s">
        <v>35</v>
      </c>
      <c r="H253" s="102">
        <v>100</v>
      </c>
      <c r="I253" s="102"/>
      <c r="J253" s="102">
        <f>14.36*1.17</f>
        <v>16.801199999999998</v>
      </c>
      <c r="K253" s="326">
        <f t="shared" si="6"/>
        <v>0.16801199999999997</v>
      </c>
      <c r="L253" s="104" t="s">
        <v>66</v>
      </c>
      <c r="M253" s="105" t="s">
        <v>145</v>
      </c>
    </row>
    <row r="254" spans="1:13" s="72" customFormat="1" hidden="1">
      <c r="A254" s="101"/>
      <c r="B254" s="102"/>
      <c r="C254" s="102"/>
      <c r="D254" s="102" t="s">
        <v>67</v>
      </c>
      <c r="E254" s="102" t="s">
        <v>68</v>
      </c>
      <c r="F254" s="103">
        <v>100000</v>
      </c>
      <c r="G254" s="102" t="s">
        <v>35</v>
      </c>
      <c r="H254" s="102">
        <v>100</v>
      </c>
      <c r="I254" s="102"/>
      <c r="J254" s="102">
        <f>13.85*1.17</f>
        <v>16.204499999999999</v>
      </c>
      <c r="K254" s="326">
        <f t="shared" si="6"/>
        <v>0.16204499999999999</v>
      </c>
      <c r="L254" s="104" t="s">
        <v>66</v>
      </c>
      <c r="M254" s="105" t="s">
        <v>145</v>
      </c>
    </row>
    <row r="255" spans="1:13" s="72" customFormat="1" hidden="1">
      <c r="A255" s="101"/>
      <c r="B255" s="102"/>
      <c r="C255" s="102"/>
      <c r="D255" s="102" t="s">
        <v>67</v>
      </c>
      <c r="E255" s="102" t="s">
        <v>68</v>
      </c>
      <c r="F255" s="103">
        <v>300000</v>
      </c>
      <c r="G255" s="102" t="s">
        <v>35</v>
      </c>
      <c r="H255" s="102">
        <v>100</v>
      </c>
      <c r="I255" s="102"/>
      <c r="J255" s="102">
        <f>13.5*1.17</f>
        <v>15.794999999999998</v>
      </c>
      <c r="K255" s="326">
        <f t="shared" si="6"/>
        <v>0.15794999999999998</v>
      </c>
      <c r="L255" s="104" t="s">
        <v>66</v>
      </c>
      <c r="M255" s="105" t="s">
        <v>145</v>
      </c>
    </row>
    <row r="256" spans="1:13" s="72" customFormat="1" ht="12.6" hidden="1" thickBot="1">
      <c r="A256" s="106"/>
      <c r="B256" s="107"/>
      <c r="C256" s="107"/>
      <c r="D256" s="107" t="s">
        <v>67</v>
      </c>
      <c r="E256" s="107" t="s">
        <v>68</v>
      </c>
      <c r="F256" s="108">
        <v>500000</v>
      </c>
      <c r="G256" s="107" t="s">
        <v>35</v>
      </c>
      <c r="H256" s="107">
        <v>100</v>
      </c>
      <c r="I256" s="107"/>
      <c r="J256" s="107">
        <f>10.94*1.17</f>
        <v>12.799799999999999</v>
      </c>
      <c r="K256" s="327">
        <f t="shared" si="6"/>
        <v>0.127998</v>
      </c>
      <c r="L256" s="109" t="s">
        <v>66</v>
      </c>
      <c r="M256" s="110" t="s">
        <v>145</v>
      </c>
    </row>
    <row r="257" spans="1:13" s="72" customFormat="1" hidden="1">
      <c r="A257" s="67" t="s">
        <v>78</v>
      </c>
      <c r="B257" s="68" t="s">
        <v>79</v>
      </c>
      <c r="C257" s="68" t="s">
        <v>470</v>
      </c>
      <c r="D257" s="68" t="s">
        <v>67</v>
      </c>
      <c r="E257" s="68" t="s">
        <v>68</v>
      </c>
      <c r="F257" s="69">
        <v>0</v>
      </c>
      <c r="G257" s="68" t="s">
        <v>35</v>
      </c>
      <c r="H257" s="68">
        <v>100</v>
      </c>
      <c r="I257" s="68"/>
      <c r="J257" s="68">
        <f>14.53*1.17</f>
        <v>17.0001</v>
      </c>
      <c r="K257" s="320">
        <f t="shared" si="6"/>
        <v>0.17000099999999999</v>
      </c>
      <c r="L257" s="70" t="s">
        <v>66</v>
      </c>
      <c r="M257" s="111" t="s">
        <v>145</v>
      </c>
    </row>
    <row r="258" spans="1:13" s="72" customFormat="1" hidden="1">
      <c r="A258" s="73"/>
      <c r="B258" s="74"/>
      <c r="C258" s="74"/>
      <c r="D258" s="74" t="s">
        <v>67</v>
      </c>
      <c r="E258" s="74" t="s">
        <v>68</v>
      </c>
      <c r="F258" s="75">
        <v>10000</v>
      </c>
      <c r="G258" s="74" t="s">
        <v>35</v>
      </c>
      <c r="H258" s="74">
        <v>100</v>
      </c>
      <c r="I258" s="74"/>
      <c r="J258" s="74">
        <f>14.53*1.17</f>
        <v>17.0001</v>
      </c>
      <c r="K258" s="321">
        <f t="shared" si="6"/>
        <v>0.17000099999999999</v>
      </c>
      <c r="L258" s="77" t="s">
        <v>66</v>
      </c>
      <c r="M258" s="105" t="s">
        <v>145</v>
      </c>
    </row>
    <row r="259" spans="1:13" s="72" customFormat="1" hidden="1">
      <c r="A259" s="73"/>
      <c r="B259" s="74"/>
      <c r="C259" s="74"/>
      <c r="D259" s="74" t="s">
        <v>67</v>
      </c>
      <c r="E259" s="74" t="s">
        <v>68</v>
      </c>
      <c r="F259" s="75">
        <v>30000</v>
      </c>
      <c r="G259" s="74" t="s">
        <v>35</v>
      </c>
      <c r="H259" s="74">
        <v>100</v>
      </c>
      <c r="I259" s="74"/>
      <c r="J259" s="74">
        <f>14.36*1.17</f>
        <v>16.801199999999998</v>
      </c>
      <c r="K259" s="321">
        <f t="shared" si="6"/>
        <v>0.16801199999999997</v>
      </c>
      <c r="L259" s="77" t="s">
        <v>66</v>
      </c>
      <c r="M259" s="105" t="s">
        <v>145</v>
      </c>
    </row>
    <row r="260" spans="1:13" s="72" customFormat="1" hidden="1">
      <c r="A260" s="73"/>
      <c r="B260" s="74"/>
      <c r="C260" s="74"/>
      <c r="D260" s="74" t="s">
        <v>67</v>
      </c>
      <c r="E260" s="74" t="s">
        <v>68</v>
      </c>
      <c r="F260" s="75">
        <v>100000</v>
      </c>
      <c r="G260" s="74" t="s">
        <v>35</v>
      </c>
      <c r="H260" s="74">
        <v>100</v>
      </c>
      <c r="I260" s="74"/>
      <c r="J260" s="74">
        <f>13.85*1.17</f>
        <v>16.204499999999999</v>
      </c>
      <c r="K260" s="321">
        <f t="shared" si="6"/>
        <v>0.16204499999999999</v>
      </c>
      <c r="L260" s="77" t="s">
        <v>66</v>
      </c>
      <c r="M260" s="105" t="s">
        <v>145</v>
      </c>
    </row>
    <row r="261" spans="1:13" s="72" customFormat="1" hidden="1">
      <c r="A261" s="73"/>
      <c r="B261" s="74"/>
      <c r="C261" s="74"/>
      <c r="D261" s="74" t="s">
        <v>67</v>
      </c>
      <c r="E261" s="74" t="s">
        <v>68</v>
      </c>
      <c r="F261" s="75">
        <v>300000</v>
      </c>
      <c r="G261" s="74" t="s">
        <v>35</v>
      </c>
      <c r="H261" s="74">
        <v>100</v>
      </c>
      <c r="I261" s="74"/>
      <c r="J261" s="74">
        <f>13.5*1.17</f>
        <v>15.794999999999998</v>
      </c>
      <c r="K261" s="321">
        <f t="shared" si="6"/>
        <v>0.15794999999999998</v>
      </c>
      <c r="L261" s="77" t="s">
        <v>66</v>
      </c>
      <c r="M261" s="105" t="s">
        <v>145</v>
      </c>
    </row>
    <row r="262" spans="1:13" s="72" customFormat="1" ht="12.6" hidden="1" thickBot="1">
      <c r="A262" s="79"/>
      <c r="B262" s="80"/>
      <c r="C262" s="80"/>
      <c r="D262" s="80" t="s">
        <v>67</v>
      </c>
      <c r="E262" s="80" t="s">
        <v>68</v>
      </c>
      <c r="F262" s="81">
        <v>500000</v>
      </c>
      <c r="G262" s="80" t="s">
        <v>35</v>
      </c>
      <c r="H262" s="80">
        <v>100</v>
      </c>
      <c r="I262" s="80"/>
      <c r="J262" s="80">
        <f>10.94*1.17</f>
        <v>12.799799999999999</v>
      </c>
      <c r="K262" s="322">
        <f t="shared" si="6"/>
        <v>0.127998</v>
      </c>
      <c r="L262" s="83" t="s">
        <v>66</v>
      </c>
      <c r="M262" s="110" t="s">
        <v>145</v>
      </c>
    </row>
    <row r="263" spans="1:13" s="72" customFormat="1" hidden="1">
      <c r="A263" s="67" t="s">
        <v>474</v>
      </c>
      <c r="B263" s="68" t="s">
        <v>475</v>
      </c>
      <c r="C263" s="68" t="s">
        <v>476</v>
      </c>
      <c r="D263" s="68" t="s">
        <v>67</v>
      </c>
      <c r="E263" s="68" t="s">
        <v>68</v>
      </c>
      <c r="F263" s="69">
        <v>0</v>
      </c>
      <c r="G263" s="68" t="s">
        <v>35</v>
      </c>
      <c r="H263" s="260">
        <v>100</v>
      </c>
      <c r="I263" s="260"/>
      <c r="J263" s="260">
        <f>23.93*1.17</f>
        <v>27.998099999999997</v>
      </c>
      <c r="K263" s="320">
        <f t="shared" si="6"/>
        <v>0.27998099999999998</v>
      </c>
      <c r="L263" s="70" t="s">
        <v>66</v>
      </c>
      <c r="M263" s="111" t="s">
        <v>145</v>
      </c>
    </row>
    <row r="264" spans="1:13" s="72" customFormat="1" hidden="1">
      <c r="A264" s="121"/>
      <c r="B264" s="93"/>
      <c r="C264" s="93"/>
      <c r="D264" s="74" t="s">
        <v>67</v>
      </c>
      <c r="E264" s="74" t="s">
        <v>68</v>
      </c>
      <c r="F264" s="75">
        <v>5000</v>
      </c>
      <c r="G264" s="74" t="s">
        <v>35</v>
      </c>
      <c r="H264" s="274">
        <v>100</v>
      </c>
      <c r="I264" s="274"/>
      <c r="J264" s="274">
        <f>23.93*1.17</f>
        <v>27.998099999999997</v>
      </c>
      <c r="K264" s="323">
        <f t="shared" si="6"/>
        <v>0.27998099999999998</v>
      </c>
      <c r="L264" s="77" t="s">
        <v>66</v>
      </c>
      <c r="M264" s="105" t="s">
        <v>145</v>
      </c>
    </row>
    <row r="265" spans="1:13" s="72" customFormat="1" hidden="1">
      <c r="A265" s="73"/>
      <c r="B265" s="74"/>
      <c r="C265" s="74"/>
      <c r="D265" s="74" t="s">
        <v>67</v>
      </c>
      <c r="E265" s="74" t="s">
        <v>68</v>
      </c>
      <c r="F265" s="75">
        <v>10000</v>
      </c>
      <c r="G265" s="74" t="s">
        <v>35</v>
      </c>
      <c r="H265" s="267">
        <v>100</v>
      </c>
      <c r="I265" s="267"/>
      <c r="J265" s="267">
        <f>21.37*1.17</f>
        <v>25.0029</v>
      </c>
      <c r="K265" s="321">
        <f t="shared" si="6"/>
        <v>0.250029</v>
      </c>
      <c r="L265" s="77" t="s">
        <v>66</v>
      </c>
      <c r="M265" s="105" t="s">
        <v>145</v>
      </c>
    </row>
    <row r="266" spans="1:13" s="72" customFormat="1" hidden="1">
      <c r="A266" s="73"/>
      <c r="B266" s="74"/>
      <c r="C266" s="74"/>
      <c r="D266" s="74" t="s">
        <v>67</v>
      </c>
      <c r="E266" s="74" t="s">
        <v>68</v>
      </c>
      <c r="F266" s="75">
        <v>30000</v>
      </c>
      <c r="G266" s="74" t="s">
        <v>35</v>
      </c>
      <c r="H266" s="267">
        <v>100</v>
      </c>
      <c r="I266" s="267"/>
      <c r="J266" s="267">
        <f>20.94*1.17</f>
        <v>24.4998</v>
      </c>
      <c r="K266" s="321">
        <f t="shared" si="6"/>
        <v>0.24499799999999999</v>
      </c>
      <c r="L266" s="77" t="s">
        <v>66</v>
      </c>
      <c r="M266" s="105" t="s">
        <v>145</v>
      </c>
    </row>
    <row r="267" spans="1:13" s="72" customFormat="1" hidden="1">
      <c r="A267" s="73"/>
      <c r="B267" s="74"/>
      <c r="C267" s="74"/>
      <c r="D267" s="74" t="s">
        <v>67</v>
      </c>
      <c r="E267" s="74" t="s">
        <v>68</v>
      </c>
      <c r="F267" s="75">
        <v>50000</v>
      </c>
      <c r="G267" s="74" t="s">
        <v>35</v>
      </c>
      <c r="H267" s="267">
        <v>101</v>
      </c>
      <c r="I267" s="267"/>
      <c r="J267" s="267">
        <f>19.66*1.17</f>
        <v>23.002199999999998</v>
      </c>
      <c r="K267" s="321">
        <f t="shared" si="6"/>
        <v>0.22774455445544553</v>
      </c>
      <c r="L267" s="77" t="s">
        <v>66</v>
      </c>
      <c r="M267" s="105" t="s">
        <v>145</v>
      </c>
    </row>
    <row r="268" spans="1:13" s="72" customFormat="1" hidden="1">
      <c r="A268" s="73"/>
      <c r="B268" s="74"/>
      <c r="C268" s="74"/>
      <c r="D268" s="74" t="s">
        <v>67</v>
      </c>
      <c r="E268" s="74" t="s">
        <v>68</v>
      </c>
      <c r="F268" s="75">
        <v>100000</v>
      </c>
      <c r="G268" s="74" t="s">
        <v>35</v>
      </c>
      <c r="H268" s="267">
        <v>100</v>
      </c>
      <c r="I268" s="267"/>
      <c r="J268" s="267">
        <f>17.09*1.17</f>
        <v>19.9953</v>
      </c>
      <c r="K268" s="321">
        <f t="shared" ref="K268:K282" si="15">J268/H268</f>
        <v>0.19995299999999999</v>
      </c>
      <c r="L268" s="77" t="s">
        <v>66</v>
      </c>
      <c r="M268" s="105" t="s">
        <v>145</v>
      </c>
    </row>
    <row r="269" spans="1:13" s="72" customFormat="1" ht="12.6" hidden="1" thickBot="1">
      <c r="A269" s="79"/>
      <c r="B269" s="80"/>
      <c r="C269" s="80"/>
      <c r="D269" s="80" t="s">
        <v>67</v>
      </c>
      <c r="E269" s="80" t="s">
        <v>68</v>
      </c>
      <c r="F269" s="81">
        <v>200000</v>
      </c>
      <c r="G269" s="80" t="s">
        <v>35</v>
      </c>
      <c r="H269" s="279">
        <v>100</v>
      </c>
      <c r="I269" s="279"/>
      <c r="J269" s="279">
        <f>16.24*1.17</f>
        <v>19.000799999999998</v>
      </c>
      <c r="K269" s="322">
        <f t="shared" si="15"/>
        <v>0.19000799999999998</v>
      </c>
      <c r="L269" s="83" t="s">
        <v>66</v>
      </c>
      <c r="M269" s="122" t="s">
        <v>466</v>
      </c>
    </row>
    <row r="270" spans="1:13" s="72" customFormat="1" ht="12.6" hidden="1" thickBot="1">
      <c r="A270" s="91" t="s">
        <v>80</v>
      </c>
      <c r="B270" s="92" t="s">
        <v>81</v>
      </c>
      <c r="C270" s="92" t="s">
        <v>468</v>
      </c>
      <c r="D270" s="92" t="s">
        <v>33</v>
      </c>
      <c r="E270" s="92" t="s">
        <v>34</v>
      </c>
      <c r="F270" s="123">
        <v>0</v>
      </c>
      <c r="G270" s="92" t="s">
        <v>35</v>
      </c>
      <c r="H270" s="272">
        <v>1</v>
      </c>
      <c r="I270" s="272"/>
      <c r="J270" s="272">
        <v>0.27</v>
      </c>
      <c r="K270" s="330">
        <f t="shared" si="15"/>
        <v>0.27</v>
      </c>
      <c r="L270" s="124" t="s">
        <v>36</v>
      </c>
      <c r="M270" s="125"/>
    </row>
    <row r="271" spans="1:13" s="72" customFormat="1" hidden="1">
      <c r="A271" s="67" t="s">
        <v>82</v>
      </c>
      <c r="B271" s="68" t="s">
        <v>83</v>
      </c>
      <c r="C271" s="68" t="s">
        <v>477</v>
      </c>
      <c r="D271" s="68" t="s">
        <v>33</v>
      </c>
      <c r="E271" s="68" t="s">
        <v>34</v>
      </c>
      <c r="F271" s="69">
        <v>0</v>
      </c>
      <c r="G271" s="68" t="s">
        <v>35</v>
      </c>
      <c r="H271" s="260">
        <v>1</v>
      </c>
      <c r="I271" s="260"/>
      <c r="J271" s="260">
        <v>0.48</v>
      </c>
      <c r="K271" s="320">
        <f t="shared" si="15"/>
        <v>0.48</v>
      </c>
      <c r="L271" s="70" t="s">
        <v>36</v>
      </c>
      <c r="M271" s="71"/>
    </row>
    <row r="272" spans="1:13" s="72" customFormat="1" hidden="1">
      <c r="A272" s="73" t="s">
        <v>82</v>
      </c>
      <c r="B272" s="74" t="s">
        <v>83</v>
      </c>
      <c r="C272" s="74" t="s">
        <v>477</v>
      </c>
      <c r="D272" s="74" t="s">
        <v>33</v>
      </c>
      <c r="E272" s="74" t="s">
        <v>34</v>
      </c>
      <c r="F272" s="75">
        <v>10000</v>
      </c>
      <c r="G272" s="74" t="s">
        <v>35</v>
      </c>
      <c r="H272" s="267">
        <v>1</v>
      </c>
      <c r="I272" s="267"/>
      <c r="J272" s="267">
        <v>0.48</v>
      </c>
      <c r="K272" s="321">
        <f t="shared" si="15"/>
        <v>0.48</v>
      </c>
      <c r="L272" s="77" t="s">
        <v>36</v>
      </c>
      <c r="M272" s="78"/>
    </row>
    <row r="273" spans="1:13" s="72" customFormat="1" hidden="1">
      <c r="A273" s="73" t="s">
        <v>82</v>
      </c>
      <c r="B273" s="74" t="s">
        <v>83</v>
      </c>
      <c r="C273" s="74" t="s">
        <v>477</v>
      </c>
      <c r="D273" s="74" t="s">
        <v>33</v>
      </c>
      <c r="E273" s="74" t="s">
        <v>34</v>
      </c>
      <c r="F273" s="75">
        <v>20000</v>
      </c>
      <c r="G273" s="74" t="s">
        <v>35</v>
      </c>
      <c r="H273" s="267">
        <v>1</v>
      </c>
      <c r="I273" s="267"/>
      <c r="J273" s="267">
        <v>0.36</v>
      </c>
      <c r="K273" s="321">
        <f t="shared" si="15"/>
        <v>0.36</v>
      </c>
      <c r="L273" s="77" t="s">
        <v>36</v>
      </c>
      <c r="M273" s="78"/>
    </row>
    <row r="274" spans="1:13" s="72" customFormat="1" hidden="1">
      <c r="A274" s="73" t="s">
        <v>82</v>
      </c>
      <c r="B274" s="74" t="s">
        <v>83</v>
      </c>
      <c r="C274" s="74" t="s">
        <v>477</v>
      </c>
      <c r="D274" s="74" t="s">
        <v>33</v>
      </c>
      <c r="E274" s="74" t="s">
        <v>34</v>
      </c>
      <c r="F274" s="75">
        <v>50000</v>
      </c>
      <c r="G274" s="74" t="s">
        <v>35</v>
      </c>
      <c r="H274" s="267">
        <v>1</v>
      </c>
      <c r="I274" s="267"/>
      <c r="J274" s="267">
        <v>0.34</v>
      </c>
      <c r="K274" s="321">
        <f t="shared" si="15"/>
        <v>0.34</v>
      </c>
      <c r="L274" s="77" t="s">
        <v>36</v>
      </c>
      <c r="M274" s="78"/>
    </row>
    <row r="275" spans="1:13" s="72" customFormat="1" hidden="1">
      <c r="A275" s="73" t="s">
        <v>82</v>
      </c>
      <c r="B275" s="74" t="s">
        <v>83</v>
      </c>
      <c r="C275" s="74" t="s">
        <v>477</v>
      </c>
      <c r="D275" s="74" t="s">
        <v>33</v>
      </c>
      <c r="E275" s="74" t="s">
        <v>34</v>
      </c>
      <c r="F275" s="75">
        <v>100000</v>
      </c>
      <c r="G275" s="74" t="s">
        <v>35</v>
      </c>
      <c r="H275" s="267">
        <v>1</v>
      </c>
      <c r="I275" s="267"/>
      <c r="J275" s="267">
        <v>0.32</v>
      </c>
      <c r="K275" s="321">
        <f t="shared" si="15"/>
        <v>0.32</v>
      </c>
      <c r="L275" s="77" t="s">
        <v>36</v>
      </c>
      <c r="M275" s="78"/>
    </row>
    <row r="276" spans="1:13" s="72" customFormat="1" ht="12.6" hidden="1" thickBot="1">
      <c r="A276" s="79" t="s">
        <v>82</v>
      </c>
      <c r="B276" s="80" t="s">
        <v>83</v>
      </c>
      <c r="C276" s="80" t="s">
        <v>477</v>
      </c>
      <c r="D276" s="80" t="s">
        <v>33</v>
      </c>
      <c r="E276" s="80" t="s">
        <v>34</v>
      </c>
      <c r="F276" s="81">
        <v>300000</v>
      </c>
      <c r="G276" s="80" t="s">
        <v>35</v>
      </c>
      <c r="H276" s="279">
        <v>1</v>
      </c>
      <c r="I276" s="279"/>
      <c r="J276" s="279">
        <v>0.3</v>
      </c>
      <c r="K276" s="322">
        <f t="shared" si="15"/>
        <v>0.3</v>
      </c>
      <c r="L276" s="83" t="s">
        <v>36</v>
      </c>
      <c r="M276" s="84"/>
    </row>
    <row r="277" spans="1:13" s="72" customFormat="1" hidden="1">
      <c r="A277" s="67" t="s">
        <v>84</v>
      </c>
      <c r="B277" s="68" t="s">
        <v>85</v>
      </c>
      <c r="C277" s="68" t="s">
        <v>478</v>
      </c>
      <c r="D277" s="68" t="s">
        <v>33</v>
      </c>
      <c r="E277" s="68" t="s">
        <v>34</v>
      </c>
      <c r="F277" s="69">
        <v>0</v>
      </c>
      <c r="G277" s="68" t="s">
        <v>35</v>
      </c>
      <c r="H277" s="260">
        <v>1</v>
      </c>
      <c r="I277" s="260"/>
      <c r="J277" s="260">
        <v>0.48</v>
      </c>
      <c r="K277" s="320">
        <f t="shared" si="15"/>
        <v>0.48</v>
      </c>
      <c r="L277" s="70" t="s">
        <v>36</v>
      </c>
      <c r="M277" s="71"/>
    </row>
    <row r="278" spans="1:13" s="72" customFormat="1" hidden="1">
      <c r="A278" s="73" t="s">
        <v>84</v>
      </c>
      <c r="B278" s="74" t="s">
        <v>85</v>
      </c>
      <c r="C278" s="74" t="s">
        <v>478</v>
      </c>
      <c r="D278" s="74" t="s">
        <v>33</v>
      </c>
      <c r="E278" s="74" t="s">
        <v>34</v>
      </c>
      <c r="F278" s="75">
        <v>10000</v>
      </c>
      <c r="G278" s="74" t="s">
        <v>35</v>
      </c>
      <c r="H278" s="267">
        <v>1</v>
      </c>
      <c r="I278" s="267"/>
      <c r="J278" s="267">
        <v>0.48</v>
      </c>
      <c r="K278" s="321">
        <f t="shared" si="15"/>
        <v>0.48</v>
      </c>
      <c r="L278" s="77" t="s">
        <v>36</v>
      </c>
      <c r="M278" s="78"/>
    </row>
    <row r="279" spans="1:13" s="72" customFormat="1" hidden="1">
      <c r="A279" s="73" t="s">
        <v>84</v>
      </c>
      <c r="B279" s="74" t="s">
        <v>85</v>
      </c>
      <c r="C279" s="74" t="s">
        <v>478</v>
      </c>
      <c r="D279" s="74" t="s">
        <v>33</v>
      </c>
      <c r="E279" s="74" t="s">
        <v>34</v>
      </c>
      <c r="F279" s="75">
        <v>20000</v>
      </c>
      <c r="G279" s="74" t="s">
        <v>35</v>
      </c>
      <c r="H279" s="267">
        <v>1</v>
      </c>
      <c r="I279" s="267"/>
      <c r="J279" s="267">
        <v>0.36</v>
      </c>
      <c r="K279" s="321">
        <f t="shared" si="15"/>
        <v>0.36</v>
      </c>
      <c r="L279" s="77" t="s">
        <v>36</v>
      </c>
      <c r="M279" s="78"/>
    </row>
    <row r="280" spans="1:13" s="72" customFormat="1" hidden="1">
      <c r="A280" s="73" t="s">
        <v>84</v>
      </c>
      <c r="B280" s="74" t="s">
        <v>85</v>
      </c>
      <c r="C280" s="74" t="s">
        <v>478</v>
      </c>
      <c r="D280" s="74" t="s">
        <v>33</v>
      </c>
      <c r="E280" s="74" t="s">
        <v>34</v>
      </c>
      <c r="F280" s="75">
        <v>50000</v>
      </c>
      <c r="G280" s="74" t="s">
        <v>35</v>
      </c>
      <c r="H280" s="267">
        <v>1</v>
      </c>
      <c r="I280" s="267"/>
      <c r="J280" s="267">
        <v>0.34</v>
      </c>
      <c r="K280" s="321">
        <f t="shared" si="15"/>
        <v>0.34</v>
      </c>
      <c r="L280" s="77" t="s">
        <v>36</v>
      </c>
      <c r="M280" s="78"/>
    </row>
    <row r="281" spans="1:13" s="72" customFormat="1" hidden="1">
      <c r="A281" s="73" t="s">
        <v>84</v>
      </c>
      <c r="B281" s="74" t="s">
        <v>85</v>
      </c>
      <c r="C281" s="74" t="s">
        <v>478</v>
      </c>
      <c r="D281" s="74" t="s">
        <v>33</v>
      </c>
      <c r="E281" s="74" t="s">
        <v>34</v>
      </c>
      <c r="F281" s="75">
        <v>100000</v>
      </c>
      <c r="G281" s="74" t="s">
        <v>35</v>
      </c>
      <c r="H281" s="267">
        <v>1</v>
      </c>
      <c r="I281" s="267"/>
      <c r="J281" s="267">
        <v>0.32</v>
      </c>
      <c r="K281" s="321">
        <f t="shared" si="15"/>
        <v>0.32</v>
      </c>
      <c r="L281" s="77" t="s">
        <v>36</v>
      </c>
      <c r="M281" s="78"/>
    </row>
    <row r="282" spans="1:13" s="72" customFormat="1" ht="12.6" hidden="1" thickBot="1">
      <c r="A282" s="79" t="s">
        <v>84</v>
      </c>
      <c r="B282" s="80" t="s">
        <v>85</v>
      </c>
      <c r="C282" s="80" t="s">
        <v>478</v>
      </c>
      <c r="D282" s="80" t="s">
        <v>33</v>
      </c>
      <c r="E282" s="80" t="s">
        <v>34</v>
      </c>
      <c r="F282" s="81">
        <v>300000</v>
      </c>
      <c r="G282" s="80" t="s">
        <v>35</v>
      </c>
      <c r="H282" s="279">
        <v>1</v>
      </c>
      <c r="I282" s="279"/>
      <c r="J282" s="279">
        <v>0.3</v>
      </c>
      <c r="K282" s="322">
        <f t="shared" si="15"/>
        <v>0.3</v>
      </c>
      <c r="L282" s="83" t="s">
        <v>36</v>
      </c>
      <c r="M282" s="84"/>
    </row>
    <row r="283" spans="1:13" s="400" customFormat="1">
      <c r="A283" s="466" t="s">
        <v>203</v>
      </c>
      <c r="B283" s="397" t="s">
        <v>204</v>
      </c>
      <c r="C283" s="397" t="s">
        <v>479</v>
      </c>
      <c r="D283" s="397" t="s">
        <v>33</v>
      </c>
      <c r="E283" s="397" t="s">
        <v>34</v>
      </c>
      <c r="F283" s="414">
        <v>0</v>
      </c>
      <c r="G283" s="397" t="s">
        <v>35</v>
      </c>
      <c r="H283" s="397">
        <v>1</v>
      </c>
      <c r="I283" s="397"/>
      <c r="J283" s="397">
        <v>0.34</v>
      </c>
      <c r="K283" s="415">
        <f>J283/H283</f>
        <v>0.34</v>
      </c>
      <c r="L283" s="398" t="s">
        <v>36</v>
      </c>
      <c r="M283" s="399"/>
    </row>
    <row r="284" spans="1:13" s="400" customFormat="1" ht="12.6" thickBot="1">
      <c r="A284" s="487"/>
      <c r="B284" s="488"/>
      <c r="C284" s="488"/>
      <c r="D284" s="488" t="s">
        <v>33</v>
      </c>
      <c r="E284" s="488" t="s">
        <v>34</v>
      </c>
      <c r="F284" s="465">
        <v>100000</v>
      </c>
      <c r="G284" s="488" t="s">
        <v>35</v>
      </c>
      <c r="H284" s="488">
        <v>1</v>
      </c>
      <c r="I284" s="488"/>
      <c r="J284" s="488">
        <v>0.34</v>
      </c>
      <c r="K284" s="489">
        <f>J284/H284</f>
        <v>0.34</v>
      </c>
      <c r="L284" s="490" t="s">
        <v>36</v>
      </c>
      <c r="M284" s="494"/>
    </row>
    <row r="285" spans="1:13" s="400" customFormat="1" hidden="1">
      <c r="A285" s="466" t="s">
        <v>480</v>
      </c>
      <c r="B285" s="397" t="s">
        <v>481</v>
      </c>
      <c r="C285" s="397" t="s">
        <v>482</v>
      </c>
      <c r="D285" s="397" t="s">
        <v>33</v>
      </c>
      <c r="E285" s="397" t="s">
        <v>34</v>
      </c>
      <c r="F285" s="414">
        <v>0</v>
      </c>
      <c r="G285" s="397" t="s">
        <v>35</v>
      </c>
      <c r="H285" s="397">
        <v>1</v>
      </c>
      <c r="I285" s="397"/>
      <c r="J285" s="397">
        <v>0.48</v>
      </c>
      <c r="K285" s="415">
        <f t="shared" ref="K285:K319" si="16">J285/H285</f>
        <v>0.48</v>
      </c>
      <c r="L285" s="398" t="s">
        <v>36</v>
      </c>
      <c r="M285" s="399"/>
    </row>
    <row r="286" spans="1:13" s="400" customFormat="1" hidden="1">
      <c r="A286" s="486"/>
      <c r="B286" s="404"/>
      <c r="C286" s="404"/>
      <c r="D286" s="404" t="s">
        <v>33</v>
      </c>
      <c r="E286" s="404" t="s">
        <v>34</v>
      </c>
      <c r="F286" s="403">
        <v>10000</v>
      </c>
      <c r="G286" s="404" t="s">
        <v>35</v>
      </c>
      <c r="H286" s="404">
        <v>1</v>
      </c>
      <c r="I286" s="404"/>
      <c r="J286" s="404">
        <v>0.48</v>
      </c>
      <c r="K286" s="422">
        <f t="shared" si="16"/>
        <v>0.48</v>
      </c>
      <c r="L286" s="405" t="s">
        <v>36</v>
      </c>
      <c r="M286" s="406"/>
    </row>
    <row r="287" spans="1:13" s="400" customFormat="1" hidden="1">
      <c r="A287" s="486"/>
      <c r="B287" s="404"/>
      <c r="C287" s="404"/>
      <c r="D287" s="404" t="s">
        <v>33</v>
      </c>
      <c r="E287" s="404" t="s">
        <v>34</v>
      </c>
      <c r="F287" s="403">
        <v>20000</v>
      </c>
      <c r="G287" s="404" t="s">
        <v>35</v>
      </c>
      <c r="H287" s="404">
        <v>1</v>
      </c>
      <c r="I287" s="404"/>
      <c r="J287" s="404">
        <v>0.36</v>
      </c>
      <c r="K287" s="422">
        <f t="shared" si="16"/>
        <v>0.36</v>
      </c>
      <c r="L287" s="405" t="s">
        <v>36</v>
      </c>
      <c r="M287" s="406"/>
    </row>
    <row r="288" spans="1:13" s="400" customFormat="1" hidden="1">
      <c r="A288" s="486"/>
      <c r="B288" s="404"/>
      <c r="C288" s="404"/>
      <c r="D288" s="404" t="s">
        <v>33</v>
      </c>
      <c r="E288" s="404" t="s">
        <v>34</v>
      </c>
      <c r="F288" s="403">
        <v>50000</v>
      </c>
      <c r="G288" s="404" t="s">
        <v>35</v>
      </c>
      <c r="H288" s="404">
        <v>1</v>
      </c>
      <c r="I288" s="404"/>
      <c r="J288" s="404">
        <v>0.34</v>
      </c>
      <c r="K288" s="422">
        <f t="shared" si="16"/>
        <v>0.34</v>
      </c>
      <c r="L288" s="405" t="s">
        <v>36</v>
      </c>
      <c r="M288" s="406"/>
    </row>
    <row r="289" spans="1:13" s="400" customFormat="1" hidden="1">
      <c r="A289" s="486"/>
      <c r="B289" s="404"/>
      <c r="C289" s="404"/>
      <c r="D289" s="404" t="s">
        <v>33</v>
      </c>
      <c r="E289" s="404" t="s">
        <v>34</v>
      </c>
      <c r="F289" s="403">
        <v>100000</v>
      </c>
      <c r="G289" s="404" t="s">
        <v>35</v>
      </c>
      <c r="H289" s="404">
        <v>1</v>
      </c>
      <c r="I289" s="404"/>
      <c r="J289" s="404">
        <v>0.32</v>
      </c>
      <c r="K289" s="422">
        <f t="shared" si="16"/>
        <v>0.32</v>
      </c>
      <c r="L289" s="405" t="s">
        <v>36</v>
      </c>
      <c r="M289" s="406"/>
    </row>
    <row r="290" spans="1:13" s="400" customFormat="1" ht="12.6" hidden="1" thickBot="1">
      <c r="A290" s="487"/>
      <c r="B290" s="488"/>
      <c r="C290" s="488"/>
      <c r="D290" s="488" t="s">
        <v>33</v>
      </c>
      <c r="E290" s="488" t="s">
        <v>34</v>
      </c>
      <c r="F290" s="465">
        <v>300000</v>
      </c>
      <c r="G290" s="488" t="s">
        <v>35</v>
      </c>
      <c r="H290" s="488">
        <v>1</v>
      </c>
      <c r="I290" s="488"/>
      <c r="J290" s="488">
        <v>0.3</v>
      </c>
      <c r="K290" s="489">
        <f t="shared" si="16"/>
        <v>0.3</v>
      </c>
      <c r="L290" s="490" t="s">
        <v>36</v>
      </c>
      <c r="M290" s="494"/>
    </row>
    <row r="291" spans="1:13" s="400" customFormat="1" hidden="1">
      <c r="A291" s="466" t="s">
        <v>483</v>
      </c>
      <c r="B291" s="397" t="s">
        <v>484</v>
      </c>
      <c r="C291" s="397" t="s">
        <v>485</v>
      </c>
      <c r="D291" s="397" t="s">
        <v>33</v>
      </c>
      <c r="E291" s="397" t="s">
        <v>34</v>
      </c>
      <c r="F291" s="414">
        <v>0</v>
      </c>
      <c r="G291" s="397" t="s">
        <v>35</v>
      </c>
      <c r="H291" s="397">
        <v>1</v>
      </c>
      <c r="I291" s="397"/>
      <c r="J291" s="397">
        <v>0.48</v>
      </c>
      <c r="K291" s="415">
        <f t="shared" si="16"/>
        <v>0.48</v>
      </c>
      <c r="L291" s="398" t="s">
        <v>36</v>
      </c>
      <c r="M291" s="399"/>
    </row>
    <row r="292" spans="1:13" s="400" customFormat="1" hidden="1">
      <c r="A292" s="486"/>
      <c r="B292" s="404"/>
      <c r="C292" s="404"/>
      <c r="D292" s="404" t="s">
        <v>33</v>
      </c>
      <c r="E292" s="404" t="s">
        <v>34</v>
      </c>
      <c r="F292" s="403">
        <v>10000</v>
      </c>
      <c r="G292" s="404" t="s">
        <v>35</v>
      </c>
      <c r="H292" s="404">
        <v>1</v>
      </c>
      <c r="I292" s="404"/>
      <c r="J292" s="404">
        <v>0.48</v>
      </c>
      <c r="K292" s="422">
        <f t="shared" si="16"/>
        <v>0.48</v>
      </c>
      <c r="L292" s="405" t="s">
        <v>36</v>
      </c>
      <c r="M292" s="406"/>
    </row>
    <row r="293" spans="1:13" s="400" customFormat="1" hidden="1">
      <c r="A293" s="486"/>
      <c r="B293" s="404"/>
      <c r="C293" s="404"/>
      <c r="D293" s="404" t="s">
        <v>33</v>
      </c>
      <c r="E293" s="404" t="s">
        <v>34</v>
      </c>
      <c r="F293" s="403">
        <v>20000</v>
      </c>
      <c r="G293" s="404" t="s">
        <v>35</v>
      </c>
      <c r="H293" s="404">
        <v>1</v>
      </c>
      <c r="I293" s="404"/>
      <c r="J293" s="404">
        <v>0.36</v>
      </c>
      <c r="K293" s="422">
        <f t="shared" si="16"/>
        <v>0.36</v>
      </c>
      <c r="L293" s="405" t="s">
        <v>36</v>
      </c>
      <c r="M293" s="406"/>
    </row>
    <row r="294" spans="1:13" s="400" customFormat="1" hidden="1">
      <c r="A294" s="486"/>
      <c r="B294" s="404"/>
      <c r="C294" s="404"/>
      <c r="D294" s="404" t="s">
        <v>33</v>
      </c>
      <c r="E294" s="404" t="s">
        <v>34</v>
      </c>
      <c r="F294" s="403">
        <v>50000</v>
      </c>
      <c r="G294" s="404" t="s">
        <v>35</v>
      </c>
      <c r="H294" s="404">
        <v>1</v>
      </c>
      <c r="I294" s="404"/>
      <c r="J294" s="404">
        <v>0.34</v>
      </c>
      <c r="K294" s="422">
        <f t="shared" si="16"/>
        <v>0.34</v>
      </c>
      <c r="L294" s="405" t="s">
        <v>36</v>
      </c>
      <c r="M294" s="406"/>
    </row>
    <row r="295" spans="1:13" s="400" customFormat="1" hidden="1">
      <c r="A295" s="486"/>
      <c r="B295" s="404"/>
      <c r="C295" s="404"/>
      <c r="D295" s="404" t="s">
        <v>33</v>
      </c>
      <c r="E295" s="404" t="s">
        <v>34</v>
      </c>
      <c r="F295" s="403">
        <v>100000</v>
      </c>
      <c r="G295" s="404" t="s">
        <v>35</v>
      </c>
      <c r="H295" s="404">
        <v>1</v>
      </c>
      <c r="I295" s="404"/>
      <c r="J295" s="404">
        <v>0.32</v>
      </c>
      <c r="K295" s="422">
        <f t="shared" si="16"/>
        <v>0.32</v>
      </c>
      <c r="L295" s="405" t="s">
        <v>36</v>
      </c>
      <c r="M295" s="406"/>
    </row>
    <row r="296" spans="1:13" s="400" customFormat="1" ht="12.6" hidden="1" thickBot="1">
      <c r="A296" s="487"/>
      <c r="B296" s="488"/>
      <c r="C296" s="488"/>
      <c r="D296" s="488" t="s">
        <v>33</v>
      </c>
      <c r="E296" s="488" t="s">
        <v>34</v>
      </c>
      <c r="F296" s="465">
        <v>300000</v>
      </c>
      <c r="G296" s="488" t="s">
        <v>35</v>
      </c>
      <c r="H296" s="488">
        <v>1</v>
      </c>
      <c r="I296" s="488"/>
      <c r="J296" s="488">
        <v>0.3</v>
      </c>
      <c r="K296" s="489">
        <f t="shared" si="16"/>
        <v>0.3</v>
      </c>
      <c r="L296" s="490" t="s">
        <v>36</v>
      </c>
      <c r="M296" s="494"/>
    </row>
    <row r="297" spans="1:13" s="400" customFormat="1" ht="12.6" hidden="1" thickBot="1">
      <c r="A297" s="407" t="s">
        <v>86</v>
      </c>
      <c r="B297" s="408" t="s">
        <v>87</v>
      </c>
      <c r="C297" s="408" t="s">
        <v>464</v>
      </c>
      <c r="D297" s="408" t="s">
        <v>88</v>
      </c>
      <c r="E297" s="408" t="s">
        <v>89</v>
      </c>
      <c r="F297" s="409">
        <v>0</v>
      </c>
      <c r="G297" s="408" t="s">
        <v>35</v>
      </c>
      <c r="H297" s="408">
        <v>1</v>
      </c>
      <c r="I297" s="408"/>
      <c r="J297" s="408">
        <v>0.57999999999999996</v>
      </c>
      <c r="K297" s="410">
        <f t="shared" si="16"/>
        <v>0.57999999999999996</v>
      </c>
      <c r="L297" s="411" t="s">
        <v>36</v>
      </c>
      <c r="M297" s="412"/>
    </row>
    <row r="298" spans="1:13" s="400" customFormat="1" ht="12.6" hidden="1" thickBot="1">
      <c r="A298" s="407" t="s">
        <v>86</v>
      </c>
      <c r="B298" s="408" t="s">
        <v>87</v>
      </c>
      <c r="C298" s="408" t="s">
        <v>464</v>
      </c>
      <c r="D298" s="408" t="s">
        <v>486</v>
      </c>
      <c r="E298" s="408" t="s">
        <v>205</v>
      </c>
      <c r="F298" s="409">
        <v>0</v>
      </c>
      <c r="G298" s="408" t="s">
        <v>35</v>
      </c>
      <c r="H298" s="408">
        <v>1</v>
      </c>
      <c r="I298" s="408"/>
      <c r="J298" s="408">
        <v>0.55000000000000004</v>
      </c>
      <c r="K298" s="410">
        <f t="shared" si="16"/>
        <v>0.55000000000000004</v>
      </c>
      <c r="L298" s="411" t="s">
        <v>36</v>
      </c>
      <c r="M298" s="412"/>
    </row>
    <row r="299" spans="1:13" s="400" customFormat="1" ht="12.6" hidden="1" thickBot="1">
      <c r="A299" s="407" t="s">
        <v>90</v>
      </c>
      <c r="B299" s="408" t="s">
        <v>91</v>
      </c>
      <c r="C299" s="408" t="s">
        <v>464</v>
      </c>
      <c r="D299" s="408" t="s">
        <v>92</v>
      </c>
      <c r="E299" s="408" t="s">
        <v>93</v>
      </c>
      <c r="F299" s="409">
        <v>0</v>
      </c>
      <c r="G299" s="408" t="s">
        <v>35</v>
      </c>
      <c r="H299" s="408">
        <v>100</v>
      </c>
      <c r="I299" s="408"/>
      <c r="J299" s="408">
        <f>27.35*1.17</f>
        <v>31.999500000000001</v>
      </c>
      <c r="K299" s="410">
        <f t="shared" si="16"/>
        <v>0.31999500000000003</v>
      </c>
      <c r="L299" s="411" t="s">
        <v>66</v>
      </c>
      <c r="M299" s="483" t="s">
        <v>145</v>
      </c>
    </row>
    <row r="300" spans="1:13" s="400" customFormat="1" ht="12.6" hidden="1" thickBot="1">
      <c r="A300" s="407" t="s">
        <v>487</v>
      </c>
      <c r="B300" s="408" t="s">
        <v>94</v>
      </c>
      <c r="C300" s="408" t="s">
        <v>468</v>
      </c>
      <c r="D300" s="408" t="s">
        <v>95</v>
      </c>
      <c r="E300" s="408" t="s">
        <v>96</v>
      </c>
      <c r="F300" s="409">
        <v>0</v>
      </c>
      <c r="G300" s="408" t="s">
        <v>35</v>
      </c>
      <c r="H300" s="408">
        <v>100</v>
      </c>
      <c r="I300" s="408"/>
      <c r="J300" s="408">
        <f>56.41*1.17</f>
        <v>65.99969999999999</v>
      </c>
      <c r="K300" s="410">
        <f t="shared" si="16"/>
        <v>0.65999699999999994</v>
      </c>
      <c r="L300" s="411" t="s">
        <v>66</v>
      </c>
      <c r="M300" s="495" t="s">
        <v>145</v>
      </c>
    </row>
    <row r="301" spans="1:13" s="400" customFormat="1" ht="12.6" hidden="1" thickBot="1">
      <c r="A301" s="407" t="s">
        <v>97</v>
      </c>
      <c r="B301" s="408" t="s">
        <v>98</v>
      </c>
      <c r="C301" s="408" t="s">
        <v>468</v>
      </c>
      <c r="D301" s="408" t="s">
        <v>99</v>
      </c>
      <c r="E301" s="408" t="s">
        <v>100</v>
      </c>
      <c r="F301" s="409">
        <v>0</v>
      </c>
      <c r="G301" s="408" t="s">
        <v>35</v>
      </c>
      <c r="H301" s="496">
        <v>10</v>
      </c>
      <c r="I301" s="496"/>
      <c r="J301" s="408">
        <v>1.85</v>
      </c>
      <c r="K301" s="410">
        <f t="shared" si="16"/>
        <v>0.185</v>
      </c>
      <c r="L301" s="411" t="s">
        <v>36</v>
      </c>
      <c r="M301" s="497"/>
    </row>
    <row r="302" spans="1:13" s="400" customFormat="1" ht="12.6" hidden="1" thickBot="1">
      <c r="A302" s="466" t="s">
        <v>206</v>
      </c>
      <c r="B302" s="397" t="s">
        <v>98</v>
      </c>
      <c r="C302" s="408" t="s">
        <v>464</v>
      </c>
      <c r="D302" s="408" t="s">
        <v>99</v>
      </c>
      <c r="E302" s="408" t="s">
        <v>100</v>
      </c>
      <c r="F302" s="409">
        <v>0</v>
      </c>
      <c r="G302" s="408" t="s">
        <v>35</v>
      </c>
      <c r="H302" s="496">
        <v>10</v>
      </c>
      <c r="I302" s="496"/>
      <c r="J302" s="408">
        <v>1.53</v>
      </c>
      <c r="K302" s="410">
        <f t="shared" si="16"/>
        <v>0.153</v>
      </c>
      <c r="L302" s="411" t="s">
        <v>36</v>
      </c>
      <c r="M302" s="497"/>
    </row>
    <row r="303" spans="1:13" s="400" customFormat="1" ht="12.6" thickBot="1">
      <c r="A303" s="466" t="s">
        <v>206</v>
      </c>
      <c r="B303" s="397" t="s">
        <v>98</v>
      </c>
      <c r="C303" s="408" t="s">
        <v>121</v>
      </c>
      <c r="D303" s="408" t="s">
        <v>488</v>
      </c>
      <c r="E303" s="408" t="s">
        <v>246</v>
      </c>
      <c r="F303" s="409">
        <v>0</v>
      </c>
      <c r="G303" s="408" t="s">
        <v>35</v>
      </c>
      <c r="H303" s="496">
        <v>100</v>
      </c>
      <c r="I303" s="496"/>
      <c r="J303" s="408">
        <f>11.97*1.17</f>
        <v>14.004899999999999</v>
      </c>
      <c r="K303" s="408">
        <f>J303/H303</f>
        <v>0.14004899999999998</v>
      </c>
      <c r="L303" s="411" t="s">
        <v>120</v>
      </c>
      <c r="M303" s="483" t="s">
        <v>145</v>
      </c>
    </row>
    <row r="304" spans="1:13" s="400" customFormat="1" ht="12.6" thickBot="1">
      <c r="A304" s="407" t="s">
        <v>101</v>
      </c>
      <c r="B304" s="408" t="s">
        <v>102</v>
      </c>
      <c r="C304" s="408" t="s">
        <v>464</v>
      </c>
      <c r="D304" s="408" t="s">
        <v>95</v>
      </c>
      <c r="E304" s="408" t="s">
        <v>96</v>
      </c>
      <c r="F304" s="409">
        <v>0</v>
      </c>
      <c r="G304" s="408" t="s">
        <v>35</v>
      </c>
      <c r="H304" s="408">
        <v>100</v>
      </c>
      <c r="I304" s="408"/>
      <c r="J304" s="408">
        <f>4.59*1.17</f>
        <v>5.3702999999999994</v>
      </c>
      <c r="K304" s="410">
        <f t="shared" si="16"/>
        <v>5.3702999999999994E-2</v>
      </c>
      <c r="L304" s="411" t="s">
        <v>66</v>
      </c>
      <c r="M304" s="483" t="s">
        <v>145</v>
      </c>
    </row>
    <row r="305" spans="1:13" s="400" customFormat="1" ht="12.6" thickBot="1">
      <c r="A305" s="407" t="s">
        <v>489</v>
      </c>
      <c r="B305" s="408" t="s">
        <v>222</v>
      </c>
      <c r="C305" s="408" t="s">
        <v>468</v>
      </c>
      <c r="D305" s="408" t="s">
        <v>95</v>
      </c>
      <c r="E305" s="408" t="s">
        <v>96</v>
      </c>
      <c r="F305" s="408">
        <v>0</v>
      </c>
      <c r="G305" s="408">
        <v>0</v>
      </c>
      <c r="H305" s="408">
        <v>100</v>
      </c>
      <c r="I305" s="408"/>
      <c r="J305" s="408">
        <v>51.994799999999998</v>
      </c>
      <c r="K305" s="410">
        <f>J305/H305</f>
        <v>0.51994799999999997</v>
      </c>
      <c r="L305" s="411" t="s">
        <v>66</v>
      </c>
      <c r="M305" s="483" t="s">
        <v>145</v>
      </c>
    </row>
    <row r="306" spans="1:13" s="361" customFormat="1">
      <c r="A306" s="355" t="s">
        <v>103</v>
      </c>
      <c r="B306" s="356" t="s">
        <v>104</v>
      </c>
      <c r="C306" s="356" t="s">
        <v>468</v>
      </c>
      <c r="D306" s="356" t="s">
        <v>105</v>
      </c>
      <c r="E306" s="356" t="s">
        <v>106</v>
      </c>
      <c r="F306" s="357">
        <v>0</v>
      </c>
      <c r="G306" s="356" t="s">
        <v>35</v>
      </c>
      <c r="H306" s="356">
        <v>100</v>
      </c>
      <c r="I306" s="356"/>
      <c r="J306" s="356">
        <v>57.6</v>
      </c>
      <c r="K306" s="358">
        <f t="shared" si="16"/>
        <v>0.57600000000000007</v>
      </c>
      <c r="L306" s="359" t="s">
        <v>36</v>
      </c>
      <c r="M306" s="360"/>
    </row>
    <row r="307" spans="1:13" s="361" customFormat="1" ht="12.6" thickBot="1">
      <c r="A307" s="362"/>
      <c r="B307" s="363"/>
      <c r="C307" s="363"/>
      <c r="D307" s="363" t="s">
        <v>107</v>
      </c>
      <c r="E307" s="363" t="s">
        <v>108</v>
      </c>
      <c r="F307" s="364">
        <v>0</v>
      </c>
      <c r="G307" s="363" t="s">
        <v>35</v>
      </c>
      <c r="H307" s="363">
        <v>1</v>
      </c>
      <c r="I307" s="363"/>
      <c r="J307" s="363">
        <v>0.54</v>
      </c>
      <c r="K307" s="365">
        <f t="shared" si="16"/>
        <v>0.54</v>
      </c>
      <c r="L307" s="366" t="s">
        <v>36</v>
      </c>
      <c r="M307" s="367"/>
    </row>
    <row r="308" spans="1:13" s="400" customFormat="1">
      <c r="A308" s="498" t="s">
        <v>109</v>
      </c>
      <c r="B308" s="499" t="s">
        <v>110</v>
      </c>
      <c r="C308" s="499" t="s">
        <v>464</v>
      </c>
      <c r="D308" s="499" t="s">
        <v>107</v>
      </c>
      <c r="E308" s="499" t="s">
        <v>108</v>
      </c>
      <c r="F308" s="500">
        <v>0</v>
      </c>
      <c r="G308" s="499" t="s">
        <v>35</v>
      </c>
      <c r="H308" s="499">
        <v>10</v>
      </c>
      <c r="I308" s="499"/>
      <c r="J308" s="499">
        <v>0.96</v>
      </c>
      <c r="K308" s="501">
        <f t="shared" si="16"/>
        <v>9.6000000000000002E-2</v>
      </c>
      <c r="L308" s="502" t="s">
        <v>36</v>
      </c>
      <c r="M308" s="503"/>
    </row>
    <row r="309" spans="1:13" s="400" customFormat="1" ht="12.6" thickBot="1">
      <c r="A309" s="504"/>
      <c r="B309" s="505"/>
      <c r="C309" s="505"/>
      <c r="D309" s="505" t="s">
        <v>105</v>
      </c>
      <c r="E309" s="505" t="s">
        <v>106</v>
      </c>
      <c r="F309" s="506">
        <v>0</v>
      </c>
      <c r="G309" s="505" t="s">
        <v>35</v>
      </c>
      <c r="H309" s="505">
        <v>100</v>
      </c>
      <c r="I309" s="505"/>
      <c r="J309" s="505">
        <v>6.8</v>
      </c>
      <c r="K309" s="507">
        <f t="shared" si="16"/>
        <v>6.8000000000000005E-2</v>
      </c>
      <c r="L309" s="508" t="s">
        <v>36</v>
      </c>
      <c r="M309" s="509"/>
    </row>
    <row r="310" spans="1:13" s="400" customFormat="1">
      <c r="A310" s="466" t="s">
        <v>207</v>
      </c>
      <c r="B310" s="397" t="s">
        <v>208</v>
      </c>
      <c r="C310" s="397" t="s">
        <v>464</v>
      </c>
      <c r="D310" s="397" t="s">
        <v>105</v>
      </c>
      <c r="E310" s="397" t="s">
        <v>106</v>
      </c>
      <c r="F310" s="414">
        <v>0</v>
      </c>
      <c r="G310" s="397" t="s">
        <v>35</v>
      </c>
      <c r="H310" s="397">
        <v>1</v>
      </c>
      <c r="I310" s="397"/>
      <c r="J310" s="397">
        <v>0.1426</v>
      </c>
      <c r="K310" s="415">
        <f t="shared" si="16"/>
        <v>0.1426</v>
      </c>
      <c r="L310" s="398" t="s">
        <v>36</v>
      </c>
      <c r="M310" s="399"/>
    </row>
    <row r="311" spans="1:13" s="400" customFormat="1">
      <c r="A311" s="486"/>
      <c r="B311" s="404"/>
      <c r="C311" s="404"/>
      <c r="D311" s="404" t="s">
        <v>490</v>
      </c>
      <c r="E311" s="404" t="s">
        <v>491</v>
      </c>
      <c r="F311" s="403">
        <v>5000</v>
      </c>
      <c r="G311" s="404" t="s">
        <v>35</v>
      </c>
      <c r="H311" s="404">
        <v>1</v>
      </c>
      <c r="I311" s="404"/>
      <c r="J311" s="404">
        <v>0.1426</v>
      </c>
      <c r="K311" s="422">
        <f t="shared" si="16"/>
        <v>0.1426</v>
      </c>
      <c r="L311" s="405" t="s">
        <v>36</v>
      </c>
      <c r="M311" s="406"/>
    </row>
    <row r="312" spans="1:13" s="400" customFormat="1">
      <c r="A312" s="486"/>
      <c r="B312" s="404"/>
      <c r="C312" s="404"/>
      <c r="D312" s="404" t="s">
        <v>490</v>
      </c>
      <c r="E312" s="404" t="s">
        <v>491</v>
      </c>
      <c r="F312" s="403">
        <v>10000</v>
      </c>
      <c r="G312" s="404" t="s">
        <v>35</v>
      </c>
      <c r="H312" s="404">
        <v>1</v>
      </c>
      <c r="I312" s="404"/>
      <c r="J312" s="404">
        <v>0.12620000000000001</v>
      </c>
      <c r="K312" s="422">
        <f t="shared" si="16"/>
        <v>0.12620000000000001</v>
      </c>
      <c r="L312" s="405" t="s">
        <v>36</v>
      </c>
      <c r="M312" s="406"/>
    </row>
    <row r="313" spans="1:13" s="400" customFormat="1">
      <c r="A313" s="486"/>
      <c r="B313" s="404"/>
      <c r="C313" s="404"/>
      <c r="D313" s="404" t="s">
        <v>490</v>
      </c>
      <c r="E313" s="404" t="s">
        <v>491</v>
      </c>
      <c r="F313" s="403">
        <v>30000</v>
      </c>
      <c r="G313" s="404" t="s">
        <v>35</v>
      </c>
      <c r="H313" s="404">
        <v>1</v>
      </c>
      <c r="I313" s="404"/>
      <c r="J313" s="404">
        <v>0.11650000000000001</v>
      </c>
      <c r="K313" s="422">
        <f t="shared" si="16"/>
        <v>0.11650000000000001</v>
      </c>
      <c r="L313" s="405" t="s">
        <v>36</v>
      </c>
      <c r="M313" s="406"/>
    </row>
    <row r="314" spans="1:13" s="400" customFormat="1">
      <c r="A314" s="486"/>
      <c r="B314" s="404"/>
      <c r="C314" s="404"/>
      <c r="D314" s="404" t="s">
        <v>490</v>
      </c>
      <c r="E314" s="404" t="s">
        <v>491</v>
      </c>
      <c r="F314" s="403">
        <v>50000</v>
      </c>
      <c r="G314" s="404" t="s">
        <v>35</v>
      </c>
      <c r="H314" s="404">
        <v>1</v>
      </c>
      <c r="I314" s="404"/>
      <c r="J314" s="404">
        <v>0.1129</v>
      </c>
      <c r="K314" s="422">
        <f t="shared" si="16"/>
        <v>0.1129</v>
      </c>
      <c r="L314" s="405" t="s">
        <v>36</v>
      </c>
      <c r="M314" s="406"/>
    </row>
    <row r="315" spans="1:13" s="400" customFormat="1">
      <c r="A315" s="486"/>
      <c r="B315" s="404"/>
      <c r="C315" s="404"/>
      <c r="D315" s="404" t="s">
        <v>105</v>
      </c>
      <c r="E315" s="404" t="s">
        <v>106</v>
      </c>
      <c r="F315" s="403">
        <v>100000</v>
      </c>
      <c r="G315" s="404" t="s">
        <v>35</v>
      </c>
      <c r="H315" s="404">
        <v>1</v>
      </c>
      <c r="I315" s="404"/>
      <c r="J315" s="404">
        <v>0.10340000000000001</v>
      </c>
      <c r="K315" s="422">
        <f t="shared" si="16"/>
        <v>0.10340000000000001</v>
      </c>
      <c r="L315" s="405" t="s">
        <v>36</v>
      </c>
      <c r="M315" s="406"/>
    </row>
    <row r="316" spans="1:13" s="400" customFormat="1" ht="12.6" thickBot="1">
      <c r="A316" s="401"/>
      <c r="B316" s="402"/>
      <c r="C316" s="402"/>
      <c r="D316" s="402" t="s">
        <v>105</v>
      </c>
      <c r="E316" s="402" t="s">
        <v>106</v>
      </c>
      <c r="F316" s="510">
        <v>200000</v>
      </c>
      <c r="G316" s="402" t="s">
        <v>35</v>
      </c>
      <c r="H316" s="402">
        <v>1</v>
      </c>
      <c r="I316" s="402"/>
      <c r="J316" s="402">
        <v>0.1021</v>
      </c>
      <c r="K316" s="511">
        <f t="shared" si="16"/>
        <v>0.1021</v>
      </c>
      <c r="L316" s="495" t="s">
        <v>36</v>
      </c>
      <c r="M316" s="497"/>
    </row>
    <row r="317" spans="1:13" s="400" customFormat="1" ht="12.6" thickBot="1">
      <c r="A317" s="407" t="s">
        <v>396</v>
      </c>
      <c r="B317" s="408" t="s">
        <v>397</v>
      </c>
      <c r="C317" s="408" t="s">
        <v>121</v>
      </c>
      <c r="D317" s="408" t="s">
        <v>105</v>
      </c>
      <c r="E317" s="408" t="s">
        <v>106</v>
      </c>
      <c r="F317" s="409">
        <v>0</v>
      </c>
      <c r="G317" s="408" t="s">
        <v>35</v>
      </c>
      <c r="H317" s="408">
        <v>100</v>
      </c>
      <c r="I317" s="408"/>
      <c r="J317" s="408">
        <v>49.6</v>
      </c>
      <c r="K317" s="408">
        <f>J317/H317</f>
        <v>0.496</v>
      </c>
      <c r="L317" s="411" t="s">
        <v>36</v>
      </c>
      <c r="M317" s="412"/>
    </row>
    <row r="318" spans="1:13" s="400" customFormat="1" ht="12.6" thickBot="1">
      <c r="A318" s="401" t="s">
        <v>492</v>
      </c>
      <c r="B318" s="402" t="s">
        <v>111</v>
      </c>
      <c r="C318" s="402" t="s">
        <v>464</v>
      </c>
      <c r="D318" s="402" t="s">
        <v>48</v>
      </c>
      <c r="E318" s="402" t="s">
        <v>49</v>
      </c>
      <c r="F318" s="510">
        <v>0</v>
      </c>
      <c r="G318" s="402" t="s">
        <v>35</v>
      </c>
      <c r="H318" s="402">
        <v>100</v>
      </c>
      <c r="I318" s="402"/>
      <c r="J318" s="402">
        <v>61</v>
      </c>
      <c r="K318" s="511">
        <f t="shared" si="16"/>
        <v>0.61</v>
      </c>
      <c r="L318" s="495" t="s">
        <v>36</v>
      </c>
      <c r="M318" s="497"/>
    </row>
    <row r="319" spans="1:13" s="400" customFormat="1" ht="12.6" thickBot="1">
      <c r="A319" s="407" t="s">
        <v>112</v>
      </c>
      <c r="B319" s="408" t="s">
        <v>113</v>
      </c>
      <c r="C319" s="408" t="s">
        <v>464</v>
      </c>
      <c r="D319" s="408" t="s">
        <v>48</v>
      </c>
      <c r="E319" s="408" t="s">
        <v>49</v>
      </c>
      <c r="F319" s="409">
        <v>0</v>
      </c>
      <c r="G319" s="408" t="s">
        <v>35</v>
      </c>
      <c r="H319" s="408">
        <v>100</v>
      </c>
      <c r="I319" s="408"/>
      <c r="J319" s="408">
        <v>74</v>
      </c>
      <c r="K319" s="410">
        <f t="shared" si="16"/>
        <v>0.74</v>
      </c>
      <c r="L319" s="411" t="s">
        <v>36</v>
      </c>
      <c r="M319" s="412"/>
    </row>
    <row r="320" spans="1:13" s="400" customFormat="1">
      <c r="A320" s="466" t="s">
        <v>209</v>
      </c>
      <c r="B320" s="397" t="s">
        <v>210</v>
      </c>
      <c r="C320" s="397" t="s">
        <v>493</v>
      </c>
      <c r="D320" s="397" t="s">
        <v>460</v>
      </c>
      <c r="E320" s="397" t="s">
        <v>49</v>
      </c>
      <c r="F320" s="414">
        <v>0</v>
      </c>
      <c r="G320" s="397" t="s">
        <v>35</v>
      </c>
      <c r="H320" s="397">
        <v>1</v>
      </c>
      <c r="I320" s="397"/>
      <c r="J320" s="397">
        <v>0.49</v>
      </c>
      <c r="K320" s="415">
        <f t="shared" ref="K320:K325" si="17">J320/H320</f>
        <v>0.49</v>
      </c>
      <c r="L320" s="398" t="s">
        <v>36</v>
      </c>
      <c r="M320" s="399"/>
    </row>
    <row r="321" spans="1:13" s="400" customFormat="1">
      <c r="A321" s="486"/>
      <c r="B321" s="404"/>
      <c r="C321" s="404"/>
      <c r="D321" s="404" t="s">
        <v>460</v>
      </c>
      <c r="E321" s="404" t="s">
        <v>49</v>
      </c>
      <c r="F321" s="403">
        <v>5000</v>
      </c>
      <c r="G321" s="404" t="s">
        <v>35</v>
      </c>
      <c r="H321" s="404">
        <v>1</v>
      </c>
      <c r="I321" s="404"/>
      <c r="J321" s="404">
        <v>0.49</v>
      </c>
      <c r="K321" s="422">
        <f t="shared" si="17"/>
        <v>0.49</v>
      </c>
      <c r="L321" s="405" t="s">
        <v>36</v>
      </c>
      <c r="M321" s="406"/>
    </row>
    <row r="322" spans="1:13" s="400" customFormat="1">
      <c r="A322" s="486"/>
      <c r="B322" s="404"/>
      <c r="C322" s="404"/>
      <c r="D322" s="404" t="s">
        <v>460</v>
      </c>
      <c r="E322" s="404" t="s">
        <v>49</v>
      </c>
      <c r="F322" s="403">
        <v>10000</v>
      </c>
      <c r="G322" s="404" t="s">
        <v>35</v>
      </c>
      <c r="H322" s="404">
        <v>1</v>
      </c>
      <c r="I322" s="404"/>
      <c r="J322" s="404">
        <v>0.48</v>
      </c>
      <c r="K322" s="422">
        <f t="shared" si="17"/>
        <v>0.48</v>
      </c>
      <c r="L322" s="405" t="s">
        <v>36</v>
      </c>
      <c r="M322" s="406"/>
    </row>
    <row r="323" spans="1:13" s="400" customFormat="1">
      <c r="A323" s="486"/>
      <c r="B323" s="404"/>
      <c r="C323" s="404"/>
      <c r="D323" s="404" t="s">
        <v>460</v>
      </c>
      <c r="E323" s="404" t="s">
        <v>49</v>
      </c>
      <c r="F323" s="403">
        <v>300000</v>
      </c>
      <c r="G323" s="404" t="s">
        <v>35</v>
      </c>
      <c r="H323" s="404">
        <v>1</v>
      </c>
      <c r="I323" s="404"/>
      <c r="J323" s="404">
        <v>0.47</v>
      </c>
      <c r="K323" s="422">
        <f t="shared" si="17"/>
        <v>0.47</v>
      </c>
      <c r="L323" s="405" t="s">
        <v>36</v>
      </c>
      <c r="M323" s="406"/>
    </row>
    <row r="324" spans="1:13" s="400" customFormat="1">
      <c r="A324" s="486"/>
      <c r="B324" s="404"/>
      <c r="C324" s="404"/>
      <c r="D324" s="404" t="s">
        <v>460</v>
      </c>
      <c r="E324" s="404" t="s">
        <v>49</v>
      </c>
      <c r="F324" s="403">
        <v>500000</v>
      </c>
      <c r="G324" s="404" t="s">
        <v>35</v>
      </c>
      <c r="H324" s="404">
        <v>1</v>
      </c>
      <c r="I324" s="404"/>
      <c r="J324" s="404">
        <v>0.46</v>
      </c>
      <c r="K324" s="422">
        <f t="shared" si="17"/>
        <v>0.46</v>
      </c>
      <c r="L324" s="405" t="s">
        <v>36</v>
      </c>
      <c r="M324" s="406"/>
    </row>
    <row r="325" spans="1:13" s="400" customFormat="1" ht="12.6" thickBot="1">
      <c r="A325" s="401"/>
      <c r="B325" s="402"/>
      <c r="C325" s="402"/>
      <c r="D325" s="404" t="s">
        <v>460</v>
      </c>
      <c r="E325" s="488" t="s">
        <v>49</v>
      </c>
      <c r="F325" s="510">
        <v>1000000</v>
      </c>
      <c r="G325" s="402" t="s">
        <v>35</v>
      </c>
      <c r="H325" s="402">
        <v>1</v>
      </c>
      <c r="I325" s="402"/>
      <c r="J325" s="402">
        <v>0.45</v>
      </c>
      <c r="K325" s="511">
        <f t="shared" si="17"/>
        <v>0.45</v>
      </c>
      <c r="L325" s="495" t="s">
        <v>36</v>
      </c>
      <c r="M325" s="497"/>
    </row>
    <row r="326" spans="1:13" s="400" customFormat="1">
      <c r="A326" s="466" t="s">
        <v>209</v>
      </c>
      <c r="B326" s="397" t="s">
        <v>210</v>
      </c>
      <c r="C326" s="397" t="s">
        <v>493</v>
      </c>
      <c r="D326" s="397" t="s">
        <v>461</v>
      </c>
      <c r="E326" s="397" t="s">
        <v>199</v>
      </c>
      <c r="F326" s="414">
        <v>0</v>
      </c>
      <c r="G326" s="397" t="s">
        <v>35</v>
      </c>
      <c r="H326" s="397">
        <v>1</v>
      </c>
      <c r="I326" s="397"/>
      <c r="J326" s="397">
        <v>0.55000000000000004</v>
      </c>
      <c r="K326" s="415">
        <f t="shared" ref="K326:K337" si="18">J326/H326</f>
        <v>0.55000000000000004</v>
      </c>
      <c r="L326" s="398" t="s">
        <v>36</v>
      </c>
      <c r="M326" s="399"/>
    </row>
    <row r="327" spans="1:13" s="400" customFormat="1">
      <c r="A327" s="486"/>
      <c r="B327" s="404"/>
      <c r="C327" s="404"/>
      <c r="D327" s="404" t="s">
        <v>461</v>
      </c>
      <c r="E327" s="404" t="s">
        <v>199</v>
      </c>
      <c r="F327" s="403">
        <v>5000</v>
      </c>
      <c r="G327" s="404" t="s">
        <v>35</v>
      </c>
      <c r="H327" s="404">
        <v>1</v>
      </c>
      <c r="I327" s="404"/>
      <c r="J327" s="404">
        <v>0.55000000000000004</v>
      </c>
      <c r="K327" s="422">
        <f t="shared" si="18"/>
        <v>0.55000000000000004</v>
      </c>
      <c r="L327" s="405" t="s">
        <v>36</v>
      </c>
      <c r="M327" s="406"/>
    </row>
    <row r="328" spans="1:13" s="400" customFormat="1">
      <c r="A328" s="486"/>
      <c r="B328" s="404"/>
      <c r="C328" s="404"/>
      <c r="D328" s="404" t="s">
        <v>461</v>
      </c>
      <c r="E328" s="404" t="s">
        <v>199</v>
      </c>
      <c r="F328" s="403">
        <v>10000</v>
      </c>
      <c r="G328" s="404" t="s">
        <v>35</v>
      </c>
      <c r="H328" s="404">
        <v>1</v>
      </c>
      <c r="I328" s="404"/>
      <c r="J328" s="404">
        <v>0.54</v>
      </c>
      <c r="K328" s="422">
        <f t="shared" si="18"/>
        <v>0.54</v>
      </c>
      <c r="L328" s="405" t="s">
        <v>36</v>
      </c>
      <c r="M328" s="406"/>
    </row>
    <row r="329" spans="1:13" s="400" customFormat="1">
      <c r="A329" s="486"/>
      <c r="B329" s="404"/>
      <c r="C329" s="404"/>
      <c r="D329" s="404" t="s">
        <v>461</v>
      </c>
      <c r="E329" s="404" t="s">
        <v>199</v>
      </c>
      <c r="F329" s="403">
        <v>30000</v>
      </c>
      <c r="G329" s="404" t="s">
        <v>35</v>
      </c>
      <c r="H329" s="404">
        <v>1</v>
      </c>
      <c r="I329" s="404"/>
      <c r="J329" s="404">
        <v>0.53</v>
      </c>
      <c r="K329" s="422">
        <f t="shared" si="18"/>
        <v>0.53</v>
      </c>
      <c r="L329" s="405" t="s">
        <v>36</v>
      </c>
      <c r="M329" s="406"/>
    </row>
    <row r="330" spans="1:13" s="400" customFormat="1">
      <c r="A330" s="486"/>
      <c r="B330" s="404"/>
      <c r="C330" s="404"/>
      <c r="D330" s="404" t="s">
        <v>461</v>
      </c>
      <c r="E330" s="404" t="s">
        <v>199</v>
      </c>
      <c r="F330" s="403">
        <v>50000</v>
      </c>
      <c r="G330" s="404" t="s">
        <v>35</v>
      </c>
      <c r="H330" s="404">
        <v>1</v>
      </c>
      <c r="I330" s="404"/>
      <c r="J330" s="404">
        <v>0.52</v>
      </c>
      <c r="K330" s="422">
        <f t="shared" si="18"/>
        <v>0.52</v>
      </c>
      <c r="L330" s="405" t="s">
        <v>36</v>
      </c>
      <c r="M330" s="406"/>
    </row>
    <row r="331" spans="1:13" s="400" customFormat="1" ht="12.6" thickBot="1">
      <c r="A331" s="401"/>
      <c r="B331" s="402"/>
      <c r="C331" s="402"/>
      <c r="D331" s="404" t="s">
        <v>461</v>
      </c>
      <c r="E331" s="488" t="s">
        <v>199</v>
      </c>
      <c r="F331" s="510">
        <v>100000</v>
      </c>
      <c r="G331" s="402" t="s">
        <v>35</v>
      </c>
      <c r="H331" s="402">
        <v>1</v>
      </c>
      <c r="I331" s="402"/>
      <c r="J331" s="402">
        <v>0.51</v>
      </c>
      <c r="K331" s="511">
        <f t="shared" si="18"/>
        <v>0.51</v>
      </c>
      <c r="L331" s="495" t="s">
        <v>36</v>
      </c>
      <c r="M331" s="497"/>
    </row>
    <row r="332" spans="1:13" s="400" customFormat="1">
      <c r="A332" s="466" t="s">
        <v>494</v>
      </c>
      <c r="B332" s="397" t="s">
        <v>211</v>
      </c>
      <c r="C332" s="397" t="s">
        <v>493</v>
      </c>
      <c r="D332" s="397" t="s">
        <v>460</v>
      </c>
      <c r="E332" s="397" t="s">
        <v>49</v>
      </c>
      <c r="F332" s="414">
        <v>0</v>
      </c>
      <c r="G332" s="397" t="s">
        <v>35</v>
      </c>
      <c r="H332" s="397">
        <v>1</v>
      </c>
      <c r="I332" s="397"/>
      <c r="J332" s="397">
        <v>1.26</v>
      </c>
      <c r="K332" s="415">
        <f t="shared" si="18"/>
        <v>1.26</v>
      </c>
      <c r="L332" s="398" t="s">
        <v>36</v>
      </c>
      <c r="M332" s="399"/>
    </row>
    <row r="333" spans="1:13" s="400" customFormat="1">
      <c r="A333" s="486"/>
      <c r="B333" s="404"/>
      <c r="C333" s="404"/>
      <c r="D333" s="404" t="s">
        <v>460</v>
      </c>
      <c r="E333" s="404" t="s">
        <v>49</v>
      </c>
      <c r="F333" s="403">
        <v>5000</v>
      </c>
      <c r="G333" s="404" t="s">
        <v>35</v>
      </c>
      <c r="H333" s="404">
        <v>1</v>
      </c>
      <c r="I333" s="404"/>
      <c r="J333" s="404">
        <v>1.26</v>
      </c>
      <c r="K333" s="422">
        <f t="shared" si="18"/>
        <v>1.26</v>
      </c>
      <c r="L333" s="405" t="s">
        <v>36</v>
      </c>
      <c r="M333" s="406"/>
    </row>
    <row r="334" spans="1:13" s="400" customFormat="1">
      <c r="A334" s="486"/>
      <c r="B334" s="404"/>
      <c r="C334" s="404"/>
      <c r="D334" s="404" t="s">
        <v>460</v>
      </c>
      <c r="E334" s="404" t="s">
        <v>49</v>
      </c>
      <c r="F334" s="403">
        <v>10000</v>
      </c>
      <c r="G334" s="404" t="s">
        <v>35</v>
      </c>
      <c r="H334" s="404">
        <v>1</v>
      </c>
      <c r="I334" s="404"/>
      <c r="J334" s="404">
        <v>1.23</v>
      </c>
      <c r="K334" s="422">
        <f t="shared" si="18"/>
        <v>1.23</v>
      </c>
      <c r="L334" s="405" t="s">
        <v>36</v>
      </c>
      <c r="M334" s="406"/>
    </row>
    <row r="335" spans="1:13" s="400" customFormat="1">
      <c r="A335" s="486"/>
      <c r="B335" s="404"/>
      <c r="C335" s="404"/>
      <c r="D335" s="404" t="s">
        <v>460</v>
      </c>
      <c r="E335" s="404" t="s">
        <v>49</v>
      </c>
      <c r="F335" s="403">
        <v>300000</v>
      </c>
      <c r="G335" s="404" t="s">
        <v>35</v>
      </c>
      <c r="H335" s="404">
        <v>1</v>
      </c>
      <c r="I335" s="404"/>
      <c r="J335" s="404">
        <v>1.21</v>
      </c>
      <c r="K335" s="422">
        <f t="shared" si="18"/>
        <v>1.21</v>
      </c>
      <c r="L335" s="405" t="s">
        <v>36</v>
      </c>
      <c r="M335" s="406"/>
    </row>
    <row r="336" spans="1:13" s="400" customFormat="1">
      <c r="A336" s="486"/>
      <c r="B336" s="404"/>
      <c r="C336" s="404"/>
      <c r="D336" s="404" t="s">
        <v>460</v>
      </c>
      <c r="E336" s="404" t="s">
        <v>49</v>
      </c>
      <c r="F336" s="403">
        <v>500000</v>
      </c>
      <c r="G336" s="404" t="s">
        <v>35</v>
      </c>
      <c r="H336" s="404">
        <v>1</v>
      </c>
      <c r="I336" s="404"/>
      <c r="J336" s="404">
        <v>1.2</v>
      </c>
      <c r="K336" s="422">
        <f t="shared" si="18"/>
        <v>1.2</v>
      </c>
      <c r="L336" s="405" t="s">
        <v>36</v>
      </c>
      <c r="M336" s="406"/>
    </row>
    <row r="337" spans="1:13" s="400" customFormat="1" ht="12.6" thickBot="1">
      <c r="A337" s="401"/>
      <c r="B337" s="402"/>
      <c r="C337" s="402"/>
      <c r="D337" s="404" t="s">
        <v>460</v>
      </c>
      <c r="E337" s="488" t="s">
        <v>49</v>
      </c>
      <c r="F337" s="510">
        <v>1000000</v>
      </c>
      <c r="G337" s="402" t="s">
        <v>35</v>
      </c>
      <c r="H337" s="402">
        <v>1</v>
      </c>
      <c r="I337" s="402"/>
      <c r="J337" s="402">
        <v>1.19</v>
      </c>
      <c r="K337" s="511">
        <f t="shared" si="18"/>
        <v>1.19</v>
      </c>
      <c r="L337" s="495" t="s">
        <v>36</v>
      </c>
      <c r="M337" s="497"/>
    </row>
    <row r="338" spans="1:13" s="400" customFormat="1">
      <c r="A338" s="466" t="s">
        <v>494</v>
      </c>
      <c r="B338" s="397" t="s">
        <v>211</v>
      </c>
      <c r="C338" s="397" t="s">
        <v>493</v>
      </c>
      <c r="D338" s="397" t="s">
        <v>461</v>
      </c>
      <c r="E338" s="397" t="s">
        <v>199</v>
      </c>
      <c r="F338" s="414">
        <v>0</v>
      </c>
      <c r="G338" s="397" t="s">
        <v>35</v>
      </c>
      <c r="H338" s="397">
        <v>1</v>
      </c>
      <c r="I338" s="397"/>
      <c r="J338" s="397">
        <v>1.4</v>
      </c>
      <c r="K338" s="415">
        <f t="shared" ref="K338:K349" si="19">J338/H338</f>
        <v>1.4</v>
      </c>
      <c r="L338" s="398" t="s">
        <v>36</v>
      </c>
      <c r="M338" s="399"/>
    </row>
    <row r="339" spans="1:13" s="400" customFormat="1">
      <c r="A339" s="486"/>
      <c r="B339" s="404"/>
      <c r="C339" s="404"/>
      <c r="D339" s="404" t="s">
        <v>461</v>
      </c>
      <c r="E339" s="404" t="s">
        <v>199</v>
      </c>
      <c r="F339" s="403">
        <v>5000</v>
      </c>
      <c r="G339" s="404" t="s">
        <v>35</v>
      </c>
      <c r="H339" s="404">
        <v>1</v>
      </c>
      <c r="I339" s="404"/>
      <c r="J339" s="404">
        <v>1.4</v>
      </c>
      <c r="K339" s="422">
        <f t="shared" si="19"/>
        <v>1.4</v>
      </c>
      <c r="L339" s="405" t="s">
        <v>36</v>
      </c>
      <c r="M339" s="406"/>
    </row>
    <row r="340" spans="1:13" s="400" customFormat="1">
      <c r="A340" s="486"/>
      <c r="B340" s="404"/>
      <c r="C340" s="404"/>
      <c r="D340" s="404" t="s">
        <v>461</v>
      </c>
      <c r="E340" s="404" t="s">
        <v>199</v>
      </c>
      <c r="F340" s="403">
        <v>10000</v>
      </c>
      <c r="G340" s="404" t="s">
        <v>35</v>
      </c>
      <c r="H340" s="404">
        <v>1</v>
      </c>
      <c r="I340" s="404"/>
      <c r="J340" s="404">
        <v>1.37</v>
      </c>
      <c r="K340" s="422">
        <f t="shared" si="19"/>
        <v>1.37</v>
      </c>
      <c r="L340" s="405" t="s">
        <v>36</v>
      </c>
      <c r="M340" s="406"/>
    </row>
    <row r="341" spans="1:13" s="400" customFormat="1">
      <c r="A341" s="486"/>
      <c r="B341" s="404"/>
      <c r="C341" s="404"/>
      <c r="D341" s="404" t="s">
        <v>461</v>
      </c>
      <c r="E341" s="404" t="s">
        <v>199</v>
      </c>
      <c r="F341" s="403">
        <v>30000</v>
      </c>
      <c r="G341" s="404" t="s">
        <v>35</v>
      </c>
      <c r="H341" s="404">
        <v>1</v>
      </c>
      <c r="I341" s="404"/>
      <c r="J341" s="404">
        <v>1.35</v>
      </c>
      <c r="K341" s="422">
        <f t="shared" si="19"/>
        <v>1.35</v>
      </c>
      <c r="L341" s="405" t="s">
        <v>36</v>
      </c>
      <c r="M341" s="406"/>
    </row>
    <row r="342" spans="1:13" s="400" customFormat="1">
      <c r="A342" s="486"/>
      <c r="B342" s="404"/>
      <c r="C342" s="404"/>
      <c r="D342" s="404" t="s">
        <v>461</v>
      </c>
      <c r="E342" s="404" t="s">
        <v>199</v>
      </c>
      <c r="F342" s="403">
        <v>50000</v>
      </c>
      <c r="G342" s="404" t="s">
        <v>35</v>
      </c>
      <c r="H342" s="404">
        <v>1</v>
      </c>
      <c r="I342" s="404"/>
      <c r="J342" s="404">
        <v>1.33</v>
      </c>
      <c r="K342" s="422">
        <f t="shared" si="19"/>
        <v>1.33</v>
      </c>
      <c r="L342" s="405" t="s">
        <v>36</v>
      </c>
      <c r="M342" s="406"/>
    </row>
    <row r="343" spans="1:13" s="400" customFormat="1" ht="12.6" thickBot="1">
      <c r="A343" s="401"/>
      <c r="B343" s="402"/>
      <c r="C343" s="402"/>
      <c r="D343" s="404" t="s">
        <v>461</v>
      </c>
      <c r="E343" s="488" t="s">
        <v>199</v>
      </c>
      <c r="F343" s="510">
        <v>100000</v>
      </c>
      <c r="G343" s="402" t="s">
        <v>35</v>
      </c>
      <c r="H343" s="402">
        <v>1</v>
      </c>
      <c r="I343" s="402"/>
      <c r="J343" s="402">
        <v>1.32</v>
      </c>
      <c r="K343" s="511">
        <f t="shared" si="19"/>
        <v>1.32</v>
      </c>
      <c r="L343" s="495" t="s">
        <v>36</v>
      </c>
      <c r="M343" s="497"/>
    </row>
    <row r="344" spans="1:13" s="400" customFormat="1">
      <c r="A344" s="466" t="s">
        <v>495</v>
      </c>
      <c r="B344" s="397" t="s">
        <v>212</v>
      </c>
      <c r="C344" s="397" t="s">
        <v>493</v>
      </c>
      <c r="D344" s="397" t="s">
        <v>460</v>
      </c>
      <c r="E344" s="397" t="s">
        <v>49</v>
      </c>
      <c r="F344" s="414">
        <v>0</v>
      </c>
      <c r="G344" s="397" t="s">
        <v>35</v>
      </c>
      <c r="H344" s="397">
        <v>1</v>
      </c>
      <c r="I344" s="397"/>
      <c r="J344" s="397">
        <v>0.86</v>
      </c>
      <c r="K344" s="415">
        <f t="shared" si="19"/>
        <v>0.86</v>
      </c>
      <c r="L344" s="398" t="s">
        <v>36</v>
      </c>
      <c r="M344" s="399"/>
    </row>
    <row r="345" spans="1:13" s="400" customFormat="1">
      <c r="A345" s="486"/>
      <c r="B345" s="404"/>
      <c r="C345" s="404"/>
      <c r="D345" s="404" t="s">
        <v>460</v>
      </c>
      <c r="E345" s="404" t="s">
        <v>49</v>
      </c>
      <c r="F345" s="403">
        <v>5000</v>
      </c>
      <c r="G345" s="404" t="s">
        <v>35</v>
      </c>
      <c r="H345" s="404">
        <v>1</v>
      </c>
      <c r="I345" s="404"/>
      <c r="J345" s="404">
        <v>0.86</v>
      </c>
      <c r="K345" s="422">
        <f t="shared" si="19"/>
        <v>0.86</v>
      </c>
      <c r="L345" s="405" t="s">
        <v>36</v>
      </c>
      <c r="M345" s="406"/>
    </row>
    <row r="346" spans="1:13" s="400" customFormat="1">
      <c r="A346" s="486"/>
      <c r="B346" s="404"/>
      <c r="C346" s="404"/>
      <c r="D346" s="404" t="s">
        <v>460</v>
      </c>
      <c r="E346" s="404" t="s">
        <v>49</v>
      </c>
      <c r="F346" s="403">
        <v>10000</v>
      </c>
      <c r="G346" s="404" t="s">
        <v>35</v>
      </c>
      <c r="H346" s="404">
        <v>1</v>
      </c>
      <c r="I346" s="404"/>
      <c r="J346" s="404">
        <v>0.84</v>
      </c>
      <c r="K346" s="422">
        <f t="shared" si="19"/>
        <v>0.84</v>
      </c>
      <c r="L346" s="405" t="s">
        <v>36</v>
      </c>
      <c r="M346" s="406"/>
    </row>
    <row r="347" spans="1:13" s="400" customFormat="1">
      <c r="A347" s="486"/>
      <c r="B347" s="404"/>
      <c r="C347" s="404"/>
      <c r="D347" s="404" t="s">
        <v>460</v>
      </c>
      <c r="E347" s="404" t="s">
        <v>49</v>
      </c>
      <c r="F347" s="403">
        <v>300000</v>
      </c>
      <c r="G347" s="404" t="s">
        <v>35</v>
      </c>
      <c r="H347" s="404">
        <v>1</v>
      </c>
      <c r="I347" s="404"/>
      <c r="J347" s="404">
        <v>0.83</v>
      </c>
      <c r="K347" s="422">
        <f t="shared" si="19"/>
        <v>0.83</v>
      </c>
      <c r="L347" s="405" t="s">
        <v>36</v>
      </c>
      <c r="M347" s="406"/>
    </row>
    <row r="348" spans="1:13" s="400" customFormat="1">
      <c r="A348" s="486"/>
      <c r="B348" s="404"/>
      <c r="C348" s="404"/>
      <c r="D348" s="404" t="s">
        <v>460</v>
      </c>
      <c r="E348" s="404" t="s">
        <v>49</v>
      </c>
      <c r="F348" s="403">
        <v>500000</v>
      </c>
      <c r="G348" s="404" t="s">
        <v>35</v>
      </c>
      <c r="H348" s="404">
        <v>1</v>
      </c>
      <c r="I348" s="404"/>
      <c r="J348" s="404">
        <v>0.82</v>
      </c>
      <c r="K348" s="422">
        <f t="shared" si="19"/>
        <v>0.82</v>
      </c>
      <c r="L348" s="405" t="s">
        <v>36</v>
      </c>
      <c r="M348" s="406"/>
    </row>
    <row r="349" spans="1:13" s="400" customFormat="1" ht="12.6" thickBot="1">
      <c r="A349" s="401"/>
      <c r="B349" s="402"/>
      <c r="C349" s="402"/>
      <c r="D349" s="404" t="s">
        <v>460</v>
      </c>
      <c r="E349" s="488" t="s">
        <v>49</v>
      </c>
      <c r="F349" s="510">
        <v>1000000</v>
      </c>
      <c r="G349" s="402" t="s">
        <v>35</v>
      </c>
      <c r="H349" s="402">
        <v>1</v>
      </c>
      <c r="I349" s="402"/>
      <c r="J349" s="402">
        <v>0.81</v>
      </c>
      <c r="K349" s="511">
        <f t="shared" si="19"/>
        <v>0.81</v>
      </c>
      <c r="L349" s="495" t="s">
        <v>36</v>
      </c>
      <c r="M349" s="497"/>
    </row>
    <row r="350" spans="1:13" s="400" customFormat="1">
      <c r="A350" s="466" t="s">
        <v>495</v>
      </c>
      <c r="B350" s="397" t="s">
        <v>212</v>
      </c>
      <c r="C350" s="397" t="s">
        <v>493</v>
      </c>
      <c r="D350" s="397" t="s">
        <v>461</v>
      </c>
      <c r="E350" s="397" t="s">
        <v>199</v>
      </c>
      <c r="F350" s="414">
        <v>0</v>
      </c>
      <c r="G350" s="397" t="s">
        <v>35</v>
      </c>
      <c r="H350" s="397">
        <v>1</v>
      </c>
      <c r="I350" s="397"/>
      <c r="J350" s="397">
        <v>0.95</v>
      </c>
      <c r="K350" s="415">
        <f t="shared" ref="K350:K361" si="20">J350/H350</f>
        <v>0.95</v>
      </c>
      <c r="L350" s="398" t="s">
        <v>36</v>
      </c>
      <c r="M350" s="399"/>
    </row>
    <row r="351" spans="1:13" s="400" customFormat="1">
      <c r="A351" s="486"/>
      <c r="B351" s="404"/>
      <c r="C351" s="404"/>
      <c r="D351" s="404" t="s">
        <v>461</v>
      </c>
      <c r="E351" s="404" t="s">
        <v>199</v>
      </c>
      <c r="F351" s="403">
        <v>5000</v>
      </c>
      <c r="G351" s="404" t="s">
        <v>35</v>
      </c>
      <c r="H351" s="404">
        <v>1</v>
      </c>
      <c r="I351" s="404"/>
      <c r="J351" s="404">
        <v>0.95</v>
      </c>
      <c r="K351" s="422">
        <f t="shared" si="20"/>
        <v>0.95</v>
      </c>
      <c r="L351" s="405" t="s">
        <v>36</v>
      </c>
      <c r="M351" s="406"/>
    </row>
    <row r="352" spans="1:13" s="400" customFormat="1">
      <c r="A352" s="486"/>
      <c r="B352" s="404"/>
      <c r="C352" s="404"/>
      <c r="D352" s="404" t="s">
        <v>461</v>
      </c>
      <c r="E352" s="404" t="s">
        <v>199</v>
      </c>
      <c r="F352" s="403">
        <v>10000</v>
      </c>
      <c r="G352" s="404" t="s">
        <v>35</v>
      </c>
      <c r="H352" s="404">
        <v>1</v>
      </c>
      <c r="I352" s="404"/>
      <c r="J352" s="404">
        <v>0.93</v>
      </c>
      <c r="K352" s="422">
        <f t="shared" si="20"/>
        <v>0.93</v>
      </c>
      <c r="L352" s="405" t="s">
        <v>36</v>
      </c>
      <c r="M352" s="406"/>
    </row>
    <row r="353" spans="1:13" s="400" customFormat="1">
      <c r="A353" s="486"/>
      <c r="B353" s="404"/>
      <c r="C353" s="404"/>
      <c r="D353" s="404" t="s">
        <v>461</v>
      </c>
      <c r="E353" s="404" t="s">
        <v>199</v>
      </c>
      <c r="F353" s="403">
        <v>30000</v>
      </c>
      <c r="G353" s="404" t="s">
        <v>35</v>
      </c>
      <c r="H353" s="404">
        <v>1</v>
      </c>
      <c r="I353" s="404"/>
      <c r="J353" s="404">
        <v>0.92</v>
      </c>
      <c r="K353" s="422">
        <f t="shared" si="20"/>
        <v>0.92</v>
      </c>
      <c r="L353" s="405" t="s">
        <v>36</v>
      </c>
      <c r="M353" s="406"/>
    </row>
    <row r="354" spans="1:13" s="400" customFormat="1">
      <c r="A354" s="486"/>
      <c r="B354" s="404"/>
      <c r="C354" s="404"/>
      <c r="D354" s="404" t="s">
        <v>461</v>
      </c>
      <c r="E354" s="404" t="s">
        <v>199</v>
      </c>
      <c r="F354" s="403">
        <v>50000</v>
      </c>
      <c r="G354" s="404" t="s">
        <v>35</v>
      </c>
      <c r="H354" s="404">
        <v>1</v>
      </c>
      <c r="I354" s="404"/>
      <c r="J354" s="404">
        <v>0.91</v>
      </c>
      <c r="K354" s="422">
        <f t="shared" si="20"/>
        <v>0.91</v>
      </c>
      <c r="L354" s="405" t="s">
        <v>36</v>
      </c>
      <c r="M354" s="406"/>
    </row>
    <row r="355" spans="1:13" s="400" customFormat="1" ht="12.6" thickBot="1">
      <c r="A355" s="401"/>
      <c r="B355" s="402"/>
      <c r="C355" s="402"/>
      <c r="D355" s="404" t="s">
        <v>461</v>
      </c>
      <c r="E355" s="488" t="s">
        <v>199</v>
      </c>
      <c r="F355" s="510">
        <v>100000</v>
      </c>
      <c r="G355" s="402" t="s">
        <v>35</v>
      </c>
      <c r="H355" s="402">
        <v>1</v>
      </c>
      <c r="I355" s="402"/>
      <c r="J355" s="402">
        <v>0.9</v>
      </c>
      <c r="K355" s="511">
        <f t="shared" si="20"/>
        <v>0.9</v>
      </c>
      <c r="L355" s="495" t="s">
        <v>36</v>
      </c>
      <c r="M355" s="497"/>
    </row>
    <row r="356" spans="1:13" s="400" customFormat="1">
      <c r="A356" s="466" t="s">
        <v>496</v>
      </c>
      <c r="B356" s="397" t="s">
        <v>213</v>
      </c>
      <c r="C356" s="397" t="s">
        <v>493</v>
      </c>
      <c r="D356" s="397" t="s">
        <v>460</v>
      </c>
      <c r="E356" s="397" t="s">
        <v>49</v>
      </c>
      <c r="F356" s="414">
        <v>0</v>
      </c>
      <c r="G356" s="397" t="s">
        <v>35</v>
      </c>
      <c r="H356" s="397">
        <v>1</v>
      </c>
      <c r="I356" s="397"/>
      <c r="J356" s="397">
        <v>0.21</v>
      </c>
      <c r="K356" s="415">
        <f t="shared" si="20"/>
        <v>0.21</v>
      </c>
      <c r="L356" s="398" t="s">
        <v>36</v>
      </c>
      <c r="M356" s="399"/>
    </row>
    <row r="357" spans="1:13" s="400" customFormat="1">
      <c r="A357" s="486"/>
      <c r="B357" s="404"/>
      <c r="C357" s="404"/>
      <c r="D357" s="404" t="s">
        <v>460</v>
      </c>
      <c r="E357" s="404" t="s">
        <v>49</v>
      </c>
      <c r="F357" s="403">
        <v>5000</v>
      </c>
      <c r="G357" s="404" t="s">
        <v>35</v>
      </c>
      <c r="H357" s="404">
        <v>1</v>
      </c>
      <c r="I357" s="404"/>
      <c r="J357" s="404">
        <v>0.21</v>
      </c>
      <c r="K357" s="422">
        <f t="shared" si="20"/>
        <v>0.21</v>
      </c>
      <c r="L357" s="405" t="s">
        <v>36</v>
      </c>
      <c r="M357" s="406"/>
    </row>
    <row r="358" spans="1:13" s="400" customFormat="1">
      <c r="A358" s="486"/>
      <c r="B358" s="404"/>
      <c r="C358" s="404"/>
      <c r="D358" s="404" t="s">
        <v>460</v>
      </c>
      <c r="E358" s="404" t="s">
        <v>49</v>
      </c>
      <c r="F358" s="403">
        <v>10000</v>
      </c>
      <c r="G358" s="404" t="s">
        <v>35</v>
      </c>
      <c r="H358" s="404">
        <v>1</v>
      </c>
      <c r="I358" s="404"/>
      <c r="J358" s="404">
        <v>0.2</v>
      </c>
      <c r="K358" s="422">
        <f t="shared" si="20"/>
        <v>0.2</v>
      </c>
      <c r="L358" s="405" t="s">
        <v>36</v>
      </c>
      <c r="M358" s="406"/>
    </row>
    <row r="359" spans="1:13" s="400" customFormat="1">
      <c r="A359" s="486"/>
      <c r="B359" s="404"/>
      <c r="C359" s="404"/>
      <c r="D359" s="404" t="s">
        <v>460</v>
      </c>
      <c r="E359" s="404" t="s">
        <v>49</v>
      </c>
      <c r="F359" s="403">
        <v>300000</v>
      </c>
      <c r="G359" s="404" t="s">
        <v>35</v>
      </c>
      <c r="H359" s="404">
        <v>1</v>
      </c>
      <c r="I359" s="404"/>
      <c r="J359" s="404">
        <v>0.19</v>
      </c>
      <c r="K359" s="422">
        <f t="shared" si="20"/>
        <v>0.19</v>
      </c>
      <c r="L359" s="405" t="s">
        <v>36</v>
      </c>
      <c r="M359" s="406"/>
    </row>
    <row r="360" spans="1:13" s="400" customFormat="1">
      <c r="A360" s="486"/>
      <c r="B360" s="404"/>
      <c r="C360" s="404"/>
      <c r="D360" s="404" t="s">
        <v>460</v>
      </c>
      <c r="E360" s="404" t="s">
        <v>49</v>
      </c>
      <c r="F360" s="403">
        <v>500000</v>
      </c>
      <c r="G360" s="404" t="s">
        <v>35</v>
      </c>
      <c r="H360" s="404">
        <v>1</v>
      </c>
      <c r="I360" s="404"/>
      <c r="J360" s="404">
        <v>0.18</v>
      </c>
      <c r="K360" s="422">
        <f t="shared" si="20"/>
        <v>0.18</v>
      </c>
      <c r="L360" s="405" t="s">
        <v>36</v>
      </c>
      <c r="M360" s="406"/>
    </row>
    <row r="361" spans="1:13" s="400" customFormat="1" ht="12.6" thickBot="1">
      <c r="A361" s="401"/>
      <c r="B361" s="402"/>
      <c r="C361" s="402"/>
      <c r="D361" s="404" t="s">
        <v>460</v>
      </c>
      <c r="E361" s="488" t="s">
        <v>49</v>
      </c>
      <c r="F361" s="510">
        <v>1000000</v>
      </c>
      <c r="G361" s="402" t="s">
        <v>35</v>
      </c>
      <c r="H361" s="402">
        <v>1</v>
      </c>
      <c r="I361" s="402"/>
      <c r="J361" s="402">
        <v>0.17</v>
      </c>
      <c r="K361" s="511">
        <f t="shared" si="20"/>
        <v>0.17</v>
      </c>
      <c r="L361" s="495" t="s">
        <v>36</v>
      </c>
      <c r="M361" s="497"/>
    </row>
    <row r="362" spans="1:13" s="400" customFormat="1">
      <c r="A362" s="466" t="s">
        <v>496</v>
      </c>
      <c r="B362" s="397" t="s">
        <v>213</v>
      </c>
      <c r="C362" s="397" t="s">
        <v>493</v>
      </c>
      <c r="D362" s="397" t="s">
        <v>461</v>
      </c>
      <c r="E362" s="397" t="s">
        <v>199</v>
      </c>
      <c r="F362" s="414">
        <v>0</v>
      </c>
      <c r="G362" s="397" t="s">
        <v>35</v>
      </c>
      <c r="H362" s="397">
        <v>1</v>
      </c>
      <c r="I362" s="397"/>
      <c r="J362" s="397">
        <v>0.24</v>
      </c>
      <c r="K362" s="415">
        <f t="shared" ref="K362:K368" si="21">J362/H362</f>
        <v>0.24</v>
      </c>
      <c r="L362" s="398" t="s">
        <v>36</v>
      </c>
      <c r="M362" s="399"/>
    </row>
    <row r="363" spans="1:13" s="400" customFormat="1">
      <c r="A363" s="486"/>
      <c r="B363" s="404"/>
      <c r="C363" s="404"/>
      <c r="D363" s="404" t="s">
        <v>461</v>
      </c>
      <c r="E363" s="404" t="s">
        <v>199</v>
      </c>
      <c r="F363" s="403">
        <v>5000</v>
      </c>
      <c r="G363" s="404" t="s">
        <v>35</v>
      </c>
      <c r="H363" s="404">
        <v>1</v>
      </c>
      <c r="I363" s="404"/>
      <c r="J363" s="404">
        <v>0.24</v>
      </c>
      <c r="K363" s="422">
        <f t="shared" si="21"/>
        <v>0.24</v>
      </c>
      <c r="L363" s="405" t="s">
        <v>36</v>
      </c>
      <c r="M363" s="406"/>
    </row>
    <row r="364" spans="1:13" s="400" customFormat="1">
      <c r="A364" s="486"/>
      <c r="B364" s="404"/>
      <c r="C364" s="404"/>
      <c r="D364" s="404" t="s">
        <v>461</v>
      </c>
      <c r="E364" s="404" t="s">
        <v>199</v>
      </c>
      <c r="F364" s="403">
        <v>10000</v>
      </c>
      <c r="G364" s="404" t="s">
        <v>35</v>
      </c>
      <c r="H364" s="404">
        <v>1</v>
      </c>
      <c r="I364" s="404"/>
      <c r="J364" s="404">
        <v>0.23</v>
      </c>
      <c r="K364" s="422">
        <f t="shared" si="21"/>
        <v>0.23</v>
      </c>
      <c r="L364" s="405" t="s">
        <v>36</v>
      </c>
      <c r="M364" s="406"/>
    </row>
    <row r="365" spans="1:13" s="400" customFormat="1">
      <c r="A365" s="486"/>
      <c r="B365" s="404"/>
      <c r="C365" s="404"/>
      <c r="D365" s="404" t="s">
        <v>461</v>
      </c>
      <c r="E365" s="404" t="s">
        <v>199</v>
      </c>
      <c r="F365" s="403">
        <v>30000</v>
      </c>
      <c r="G365" s="404" t="s">
        <v>35</v>
      </c>
      <c r="H365" s="404">
        <v>1</v>
      </c>
      <c r="I365" s="404"/>
      <c r="J365" s="404">
        <v>0.22</v>
      </c>
      <c r="K365" s="422">
        <f t="shared" si="21"/>
        <v>0.22</v>
      </c>
      <c r="L365" s="405" t="s">
        <v>36</v>
      </c>
      <c r="M365" s="406"/>
    </row>
    <row r="366" spans="1:13" s="400" customFormat="1">
      <c r="A366" s="486"/>
      <c r="B366" s="404"/>
      <c r="C366" s="404"/>
      <c r="D366" s="404" t="s">
        <v>461</v>
      </c>
      <c r="E366" s="404" t="s">
        <v>199</v>
      </c>
      <c r="F366" s="403">
        <v>50000</v>
      </c>
      <c r="G366" s="404" t="s">
        <v>35</v>
      </c>
      <c r="H366" s="404">
        <v>1</v>
      </c>
      <c r="I366" s="404"/>
      <c r="J366" s="404">
        <v>0.21</v>
      </c>
      <c r="K366" s="422">
        <f t="shared" si="21"/>
        <v>0.21</v>
      </c>
      <c r="L366" s="405" t="s">
        <v>36</v>
      </c>
      <c r="M366" s="406"/>
    </row>
    <row r="367" spans="1:13" s="400" customFormat="1" ht="12.6" thickBot="1">
      <c r="A367" s="401"/>
      <c r="B367" s="402"/>
      <c r="C367" s="402"/>
      <c r="D367" s="404" t="s">
        <v>461</v>
      </c>
      <c r="E367" s="488" t="s">
        <v>199</v>
      </c>
      <c r="F367" s="510">
        <v>100000</v>
      </c>
      <c r="G367" s="402" t="s">
        <v>35</v>
      </c>
      <c r="H367" s="402">
        <v>1</v>
      </c>
      <c r="I367" s="402"/>
      <c r="J367" s="402">
        <v>0.2</v>
      </c>
      <c r="K367" s="511">
        <f t="shared" si="21"/>
        <v>0.2</v>
      </c>
      <c r="L367" s="495" t="s">
        <v>36</v>
      </c>
      <c r="M367" s="497"/>
    </row>
    <row r="368" spans="1:13" s="400" customFormat="1" ht="12.6" thickBot="1">
      <c r="A368" s="466" t="s">
        <v>230</v>
      </c>
      <c r="B368" s="397" t="s">
        <v>213</v>
      </c>
      <c r="C368" s="397" t="s">
        <v>497</v>
      </c>
      <c r="D368" s="397" t="s">
        <v>460</v>
      </c>
      <c r="E368" s="397" t="s">
        <v>49</v>
      </c>
      <c r="F368" s="414">
        <v>0</v>
      </c>
      <c r="G368" s="397" t="s">
        <v>35</v>
      </c>
      <c r="H368" s="397">
        <v>1</v>
      </c>
      <c r="I368" s="397"/>
      <c r="J368" s="397">
        <v>0.1764</v>
      </c>
      <c r="K368" s="415">
        <f t="shared" si="21"/>
        <v>0.1764</v>
      </c>
      <c r="L368" s="398" t="s">
        <v>36</v>
      </c>
      <c r="M368" s="399"/>
    </row>
    <row r="369" spans="1:13" s="400" customFormat="1" ht="12.6" thickBot="1">
      <c r="A369" s="466" t="s">
        <v>231</v>
      </c>
      <c r="B369" s="397" t="s">
        <v>213</v>
      </c>
      <c r="C369" s="397" t="s">
        <v>497</v>
      </c>
      <c r="D369" s="397" t="s">
        <v>460</v>
      </c>
      <c r="E369" s="397" t="s">
        <v>49</v>
      </c>
      <c r="F369" s="414">
        <v>0</v>
      </c>
      <c r="G369" s="397" t="s">
        <v>35</v>
      </c>
      <c r="H369" s="397">
        <v>1</v>
      </c>
      <c r="I369" s="397"/>
      <c r="J369" s="397">
        <v>0.49980000000000002</v>
      </c>
      <c r="K369" s="415">
        <f t="shared" ref="K369:K375" si="22">J369/H369</f>
        <v>0.49980000000000002</v>
      </c>
      <c r="L369" s="398" t="s">
        <v>36</v>
      </c>
      <c r="M369" s="399"/>
    </row>
    <row r="370" spans="1:13" s="400" customFormat="1" ht="12.6" thickBot="1">
      <c r="A370" s="466" t="s">
        <v>398</v>
      </c>
      <c r="B370" s="397" t="s">
        <v>399</v>
      </c>
      <c r="C370" s="397" t="s">
        <v>400</v>
      </c>
      <c r="D370" s="397" t="s">
        <v>122</v>
      </c>
      <c r="E370" s="397" t="s">
        <v>49</v>
      </c>
      <c r="F370" s="414">
        <v>0</v>
      </c>
      <c r="G370" s="397" t="s">
        <v>35</v>
      </c>
      <c r="H370" s="397">
        <v>1</v>
      </c>
      <c r="I370" s="397"/>
      <c r="J370" s="397">
        <v>0.15</v>
      </c>
      <c r="K370" s="397">
        <f t="shared" si="22"/>
        <v>0.15</v>
      </c>
      <c r="L370" s="398" t="s">
        <v>36</v>
      </c>
      <c r="M370" s="399"/>
    </row>
    <row r="371" spans="1:13" s="400" customFormat="1" ht="12.6" thickBot="1">
      <c r="A371" s="466" t="s">
        <v>535</v>
      </c>
      <c r="B371" s="397" t="s">
        <v>399</v>
      </c>
      <c r="C371" s="397" t="s">
        <v>536</v>
      </c>
      <c r="D371" s="397" t="s">
        <v>537</v>
      </c>
      <c r="E371" s="397" t="s">
        <v>49</v>
      </c>
      <c r="F371" s="414">
        <v>0</v>
      </c>
      <c r="G371" s="397" t="s">
        <v>35</v>
      </c>
      <c r="H371" s="397">
        <v>1</v>
      </c>
      <c r="I371" s="397"/>
      <c r="J371" s="397">
        <v>0.46</v>
      </c>
      <c r="K371" s="397">
        <f t="shared" si="22"/>
        <v>0.46</v>
      </c>
      <c r="L371" s="398" t="s">
        <v>36</v>
      </c>
      <c r="M371" s="399"/>
    </row>
    <row r="372" spans="1:13" s="400" customFormat="1" ht="12.6" thickBot="1">
      <c r="A372" s="466" t="s">
        <v>538</v>
      </c>
      <c r="B372" s="397" t="s">
        <v>399</v>
      </c>
      <c r="C372" s="397" t="s">
        <v>539</v>
      </c>
      <c r="D372" s="397" t="s">
        <v>537</v>
      </c>
      <c r="E372" s="397" t="s">
        <v>49</v>
      </c>
      <c r="F372" s="414">
        <v>0</v>
      </c>
      <c r="G372" s="397" t="s">
        <v>35</v>
      </c>
      <c r="H372" s="397">
        <v>1</v>
      </c>
      <c r="I372" s="397"/>
      <c r="J372" s="397">
        <v>0.15</v>
      </c>
      <c r="K372" s="397">
        <f t="shared" si="22"/>
        <v>0.15</v>
      </c>
      <c r="L372" s="398" t="s">
        <v>36</v>
      </c>
      <c r="M372" s="399"/>
    </row>
    <row r="373" spans="1:13" s="72" customFormat="1" ht="12.6" thickBot="1">
      <c r="A373" s="96" t="s">
        <v>498</v>
      </c>
      <c r="B373" s="97" t="s">
        <v>499</v>
      </c>
      <c r="C373" s="97" t="s">
        <v>500</v>
      </c>
      <c r="D373" s="97" t="s">
        <v>48</v>
      </c>
      <c r="E373" s="89" t="s">
        <v>49</v>
      </c>
      <c r="F373" s="98">
        <v>0</v>
      </c>
      <c r="G373" s="97" t="s">
        <v>35</v>
      </c>
      <c r="H373" s="97">
        <v>1</v>
      </c>
      <c r="I373" s="97"/>
      <c r="J373" s="97">
        <f>0.3*1.17</f>
        <v>0.35099999999999998</v>
      </c>
      <c r="K373" s="325">
        <f t="shared" si="22"/>
        <v>0.35099999999999998</v>
      </c>
      <c r="L373" s="99" t="s">
        <v>66</v>
      </c>
      <c r="M373" s="109" t="s">
        <v>145</v>
      </c>
    </row>
    <row r="374" spans="1:13" s="72" customFormat="1" ht="12.6" thickBot="1">
      <c r="A374" s="96" t="s">
        <v>501</v>
      </c>
      <c r="B374" s="97" t="s">
        <v>502</v>
      </c>
      <c r="C374" s="97" t="s">
        <v>503</v>
      </c>
      <c r="D374" s="97" t="s">
        <v>48</v>
      </c>
      <c r="E374" s="97" t="s">
        <v>49</v>
      </c>
      <c r="F374" s="98">
        <v>0</v>
      </c>
      <c r="G374" s="97" t="s">
        <v>35</v>
      </c>
      <c r="H374" s="97">
        <v>1</v>
      </c>
      <c r="I374" s="97"/>
      <c r="J374" s="97">
        <f>0.31*1.17</f>
        <v>0.36269999999999997</v>
      </c>
      <c r="K374" s="325">
        <f t="shared" si="22"/>
        <v>0.36269999999999997</v>
      </c>
      <c r="L374" s="99" t="s">
        <v>66</v>
      </c>
      <c r="M374" s="126" t="s">
        <v>145</v>
      </c>
    </row>
    <row r="375" spans="1:13" s="72" customFormat="1" ht="12.6" thickBot="1">
      <c r="A375" s="96" t="s">
        <v>504</v>
      </c>
      <c r="B375" s="97" t="s">
        <v>505</v>
      </c>
      <c r="C375" s="97" t="s">
        <v>503</v>
      </c>
      <c r="D375" s="97" t="s">
        <v>48</v>
      </c>
      <c r="E375" s="97" t="s">
        <v>49</v>
      </c>
      <c r="F375" s="98">
        <v>0</v>
      </c>
      <c r="G375" s="97" t="s">
        <v>35</v>
      </c>
      <c r="H375" s="97">
        <v>1</v>
      </c>
      <c r="I375" s="97"/>
      <c r="J375" s="97">
        <f>0.24*1.17</f>
        <v>0.28079999999999999</v>
      </c>
      <c r="K375" s="325">
        <f t="shared" si="22"/>
        <v>0.28079999999999999</v>
      </c>
      <c r="L375" s="99" t="s">
        <v>66</v>
      </c>
      <c r="M375" s="126" t="s">
        <v>145</v>
      </c>
    </row>
    <row r="377" spans="1:13" ht="12.6" thickBot="1">
      <c r="A377" s="128" t="s">
        <v>123</v>
      </c>
    </row>
    <row r="378" spans="1:13">
      <c r="A378" s="944" t="s">
        <v>124</v>
      </c>
      <c r="B378" s="944"/>
      <c r="C378" s="946" t="s">
        <v>125</v>
      </c>
      <c r="D378" s="129" t="s">
        <v>126</v>
      </c>
      <c r="E378" s="130" t="s">
        <v>127</v>
      </c>
    </row>
    <row r="379" spans="1:13">
      <c r="A379" s="945"/>
      <c r="B379" s="945"/>
      <c r="C379" s="947"/>
      <c r="D379" s="131"/>
      <c r="E379" s="132"/>
    </row>
    <row r="380" spans="1:13">
      <c r="A380" s="133" t="s">
        <v>128</v>
      </c>
      <c r="B380" s="133"/>
      <c r="C380" s="134">
        <v>99245390</v>
      </c>
      <c r="D380" s="135">
        <v>84836373</v>
      </c>
      <c r="E380" s="136" t="s">
        <v>129</v>
      </c>
    </row>
    <row r="381" spans="1:13">
      <c r="A381" s="133" t="s">
        <v>130</v>
      </c>
      <c r="B381" s="133"/>
      <c r="C381" s="134">
        <v>99618477</v>
      </c>
      <c r="D381" s="135">
        <v>84847877</v>
      </c>
      <c r="E381" s="136" t="s">
        <v>131</v>
      </c>
    </row>
    <row r="382" spans="1:13">
      <c r="A382" s="133" t="s">
        <v>132</v>
      </c>
      <c r="B382" s="133"/>
      <c r="C382" s="134">
        <v>99743895</v>
      </c>
      <c r="D382" s="135">
        <v>84857145</v>
      </c>
      <c r="E382" s="136" t="s">
        <v>133</v>
      </c>
    </row>
    <row r="383" spans="1:13">
      <c r="A383" s="133" t="s">
        <v>134</v>
      </c>
      <c r="B383" s="133"/>
      <c r="C383" s="134">
        <v>99822481</v>
      </c>
      <c r="D383" s="135">
        <v>80205095</v>
      </c>
      <c r="E383" s="136" t="s">
        <v>135</v>
      </c>
    </row>
    <row r="384" spans="1:13">
      <c r="A384" s="133" t="s">
        <v>136</v>
      </c>
      <c r="B384" s="133"/>
      <c r="C384" s="134">
        <v>95918703</v>
      </c>
      <c r="D384" s="135">
        <v>84846968</v>
      </c>
      <c r="E384" s="136" t="s">
        <v>117</v>
      </c>
    </row>
    <row r="385" spans="1:5">
      <c r="A385" s="133" t="s">
        <v>137</v>
      </c>
      <c r="B385" s="133"/>
      <c r="C385" s="134">
        <v>99735268</v>
      </c>
      <c r="D385" s="135">
        <v>84852553</v>
      </c>
      <c r="E385" s="136" t="s">
        <v>138</v>
      </c>
    </row>
    <row r="386" spans="1:5">
      <c r="A386" s="133" t="s">
        <v>139</v>
      </c>
      <c r="B386" s="133"/>
      <c r="C386" s="134">
        <v>99899025</v>
      </c>
      <c r="D386" s="135">
        <v>84858588</v>
      </c>
      <c r="E386" s="136" t="s">
        <v>118</v>
      </c>
    </row>
    <row r="387" spans="1:5">
      <c r="A387" s="133" t="s">
        <v>140</v>
      </c>
      <c r="B387" s="133"/>
      <c r="C387" s="134">
        <v>99899041</v>
      </c>
      <c r="D387" s="135">
        <v>80203380</v>
      </c>
      <c r="E387" s="136" t="s">
        <v>141</v>
      </c>
    </row>
    <row r="388" spans="1:5">
      <c r="A388" s="133" t="s">
        <v>142</v>
      </c>
      <c r="B388" s="133"/>
      <c r="C388" s="134">
        <v>99978674</v>
      </c>
      <c r="D388" s="135">
        <v>80208781</v>
      </c>
      <c r="E388" s="136" t="s">
        <v>143</v>
      </c>
    </row>
    <row r="389" spans="1:5">
      <c r="A389" s="133" t="s">
        <v>144</v>
      </c>
      <c r="B389" s="133"/>
      <c r="C389" s="134">
        <v>92100189</v>
      </c>
      <c r="D389" s="135">
        <v>80213331</v>
      </c>
      <c r="E389" s="136" t="s">
        <v>119</v>
      </c>
    </row>
  </sheetData>
  <mergeCells count="3">
    <mergeCell ref="A378:A379"/>
    <mergeCell ref="C378:C379"/>
    <mergeCell ref="B378:B379"/>
  </mergeCells>
  <phoneticPr fontId="3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5"/>
  <sheetViews>
    <sheetView showGridLines="0" workbookViewId="0">
      <pane xSplit="4" ySplit="2" topLeftCell="E157" activePane="bottomRight" state="frozen"/>
      <selection activeCell="A47" sqref="A47"/>
      <selection pane="topRight" activeCell="A47" sqref="A47"/>
      <selection pane="bottomLeft" activeCell="A47" sqref="A47"/>
      <selection pane="bottomRight" activeCell="M194" sqref="M194"/>
    </sheetView>
  </sheetViews>
  <sheetFormatPr defaultColWidth="9" defaultRowHeight="15"/>
  <cols>
    <col min="1" max="1" width="13.69921875" style="551" customWidth="1"/>
    <col min="2" max="2" width="30.69921875" style="551" customWidth="1"/>
    <col min="3" max="3" width="19.69921875" style="551" customWidth="1"/>
    <col min="4" max="4" width="8.09765625" style="552" customWidth="1"/>
    <col min="5" max="5" width="28.8984375" style="551" customWidth="1"/>
    <col min="6" max="6" width="7.5" style="553" customWidth="1"/>
    <col min="7" max="7" width="3.5" style="551" customWidth="1"/>
    <col min="8" max="8" width="4.3984375" style="554" customWidth="1"/>
    <col min="9" max="9" width="8" style="554" hidden="1" customWidth="1"/>
    <col min="10" max="10" width="7.8984375" style="555" customWidth="1"/>
    <col min="11" max="11" width="9.19921875" style="689" customWidth="1"/>
    <col min="12" max="12" width="6.19921875" style="552" customWidth="1"/>
    <col min="13" max="13" width="11.8984375" style="551" customWidth="1"/>
    <col min="14" max="16384" width="9" style="551"/>
  </cols>
  <sheetData>
    <row r="1" spans="1:13" ht="15.6" thickBot="1"/>
    <row r="2" spans="1:13" s="561" customFormat="1" ht="30.6" thickBot="1">
      <c r="A2" s="556" t="s">
        <v>22</v>
      </c>
      <c r="B2" s="557" t="s">
        <v>23</v>
      </c>
      <c r="C2" s="557" t="s">
        <v>607</v>
      </c>
      <c r="D2" s="557" t="s">
        <v>24</v>
      </c>
      <c r="E2" s="557" t="s">
        <v>25</v>
      </c>
      <c r="F2" s="558" t="s">
        <v>26</v>
      </c>
      <c r="G2" s="557" t="s">
        <v>27</v>
      </c>
      <c r="H2" s="557" t="s">
        <v>28</v>
      </c>
      <c r="I2" s="557" t="s">
        <v>608</v>
      </c>
      <c r="J2" s="559" t="s">
        <v>29</v>
      </c>
      <c r="K2" s="690" t="s">
        <v>609</v>
      </c>
      <c r="L2" s="557" t="s">
        <v>30</v>
      </c>
      <c r="M2" s="560" t="s">
        <v>610</v>
      </c>
    </row>
    <row r="3" spans="1:13" s="568" customFormat="1">
      <c r="A3" s="562" t="s">
        <v>950</v>
      </c>
      <c r="B3" s="563" t="s">
        <v>951</v>
      </c>
      <c r="C3" s="382" t="s">
        <v>952</v>
      </c>
      <c r="D3" s="564" t="s">
        <v>953</v>
      </c>
      <c r="E3" s="563" t="s">
        <v>954</v>
      </c>
      <c r="F3" s="565">
        <v>0</v>
      </c>
      <c r="G3" s="563" t="s">
        <v>955</v>
      </c>
      <c r="H3" s="563">
        <v>1</v>
      </c>
      <c r="I3" s="563"/>
      <c r="J3" s="566">
        <f>0.0838*1.17</f>
        <v>9.8045999999999994E-2</v>
      </c>
      <c r="K3" s="691">
        <f>J3/H3</f>
        <v>9.8045999999999994E-2</v>
      </c>
      <c r="L3" s="564" t="s">
        <v>956</v>
      </c>
      <c r="M3" s="567" t="s">
        <v>145</v>
      </c>
    </row>
    <row r="4" spans="1:13" s="568" customFormat="1">
      <c r="A4" s="569" t="s">
        <v>957</v>
      </c>
      <c r="B4" s="570" t="s">
        <v>958</v>
      </c>
      <c r="C4" s="383" t="s">
        <v>952</v>
      </c>
      <c r="D4" s="571" t="s">
        <v>930</v>
      </c>
      <c r="E4" s="570" t="s">
        <v>954</v>
      </c>
      <c r="F4" s="572">
        <v>0</v>
      </c>
      <c r="G4" s="570" t="s">
        <v>955</v>
      </c>
      <c r="H4" s="570">
        <v>1</v>
      </c>
      <c r="I4" s="570"/>
      <c r="J4" s="573">
        <f>0.0598*1.17</f>
        <v>6.9966E-2</v>
      </c>
      <c r="K4" s="692">
        <f t="shared" ref="K4:K7" si="0">J4/H4</f>
        <v>6.9966E-2</v>
      </c>
      <c r="L4" s="571" t="s">
        <v>956</v>
      </c>
      <c r="M4" s="574" t="s">
        <v>145</v>
      </c>
    </row>
    <row r="5" spans="1:13" s="568" customFormat="1">
      <c r="A5" s="569" t="s">
        <v>959</v>
      </c>
      <c r="B5" s="570" t="s">
        <v>960</v>
      </c>
      <c r="C5" s="383" t="s">
        <v>952</v>
      </c>
      <c r="D5" s="571" t="s">
        <v>930</v>
      </c>
      <c r="E5" s="570" t="s">
        <v>954</v>
      </c>
      <c r="F5" s="572">
        <v>0</v>
      </c>
      <c r="G5" s="570" t="s">
        <v>955</v>
      </c>
      <c r="H5" s="570">
        <v>1</v>
      </c>
      <c r="I5" s="570"/>
      <c r="J5" s="573">
        <f>0.0513*1.17</f>
        <v>6.0020999999999991E-2</v>
      </c>
      <c r="K5" s="692">
        <f t="shared" si="0"/>
        <v>6.0020999999999991E-2</v>
      </c>
      <c r="L5" s="571" t="s">
        <v>956</v>
      </c>
      <c r="M5" s="574" t="s">
        <v>145</v>
      </c>
    </row>
    <row r="6" spans="1:13" s="568" customFormat="1">
      <c r="A6" s="569" t="s">
        <v>961</v>
      </c>
      <c r="B6" s="570" t="s">
        <v>962</v>
      </c>
      <c r="C6" s="383" t="s">
        <v>952</v>
      </c>
      <c r="D6" s="571" t="s">
        <v>930</v>
      </c>
      <c r="E6" s="570" t="s">
        <v>954</v>
      </c>
      <c r="F6" s="572">
        <v>0</v>
      </c>
      <c r="G6" s="570" t="s">
        <v>955</v>
      </c>
      <c r="H6" s="570">
        <v>1</v>
      </c>
      <c r="I6" s="570"/>
      <c r="J6" s="573">
        <f>0.0299*1.17</f>
        <v>3.4983E-2</v>
      </c>
      <c r="K6" s="692">
        <f t="shared" si="0"/>
        <v>3.4983E-2</v>
      </c>
      <c r="L6" s="571" t="s">
        <v>956</v>
      </c>
      <c r="M6" s="574" t="s">
        <v>145</v>
      </c>
    </row>
    <row r="7" spans="1:13" s="568" customFormat="1" ht="15.6" thickBot="1">
      <c r="A7" s="575" t="s">
        <v>963</v>
      </c>
      <c r="B7" s="576" t="s">
        <v>964</v>
      </c>
      <c r="C7" s="385" t="s">
        <v>952</v>
      </c>
      <c r="D7" s="582" t="s">
        <v>930</v>
      </c>
      <c r="E7" s="576" t="s">
        <v>954</v>
      </c>
      <c r="F7" s="578">
        <v>0</v>
      </c>
      <c r="G7" s="576" t="s">
        <v>955</v>
      </c>
      <c r="H7" s="576">
        <v>1</v>
      </c>
      <c r="I7" s="576"/>
      <c r="J7" s="746">
        <f>0.0342*1.17</f>
        <v>4.0014000000000001E-2</v>
      </c>
      <c r="K7" s="747">
        <f t="shared" si="0"/>
        <v>4.0014000000000001E-2</v>
      </c>
      <c r="L7" s="577" t="s">
        <v>956</v>
      </c>
      <c r="M7" s="579" t="s">
        <v>145</v>
      </c>
    </row>
    <row r="8" spans="1:13" s="568" customFormat="1">
      <c r="A8" s="562" t="s">
        <v>611</v>
      </c>
      <c r="B8" s="563" t="s">
        <v>612</v>
      </c>
      <c r="C8" s="382" t="s">
        <v>668</v>
      </c>
      <c r="D8" s="564" t="s">
        <v>573</v>
      </c>
      <c r="E8" s="563" t="s">
        <v>574</v>
      </c>
      <c r="F8" s="565">
        <v>0</v>
      </c>
      <c r="G8" s="563" t="s">
        <v>613</v>
      </c>
      <c r="H8" s="563">
        <v>1</v>
      </c>
      <c r="I8" s="563"/>
      <c r="J8" s="566">
        <v>0.1</v>
      </c>
      <c r="K8" s="691">
        <f>J8/H8</f>
        <v>0.1</v>
      </c>
      <c r="L8" s="564" t="s">
        <v>614</v>
      </c>
      <c r="M8" s="567"/>
    </row>
    <row r="9" spans="1:13" s="568" customFormat="1">
      <c r="A9" s="569" t="s">
        <v>615</v>
      </c>
      <c r="B9" s="570" t="s">
        <v>616</v>
      </c>
      <c r="C9" s="383" t="s">
        <v>668</v>
      </c>
      <c r="D9" s="571" t="s">
        <v>573</v>
      </c>
      <c r="E9" s="570" t="s">
        <v>574</v>
      </c>
      <c r="F9" s="572">
        <v>0</v>
      </c>
      <c r="G9" s="570" t="s">
        <v>613</v>
      </c>
      <c r="H9" s="570">
        <v>1000</v>
      </c>
      <c r="I9" s="570"/>
      <c r="J9" s="573">
        <v>87</v>
      </c>
      <c r="K9" s="692">
        <f t="shared" ref="K9:K109" si="1">J9/H9</f>
        <v>8.6999999999999994E-2</v>
      </c>
      <c r="L9" s="571" t="s">
        <v>614</v>
      </c>
      <c r="M9" s="574"/>
    </row>
    <row r="10" spans="1:13" s="568" customFormat="1">
      <c r="A10" s="569" t="s">
        <v>617</v>
      </c>
      <c r="B10" s="570" t="s">
        <v>618</v>
      </c>
      <c r="C10" s="383" t="s">
        <v>668</v>
      </c>
      <c r="D10" s="571" t="s">
        <v>573</v>
      </c>
      <c r="E10" s="570" t="s">
        <v>574</v>
      </c>
      <c r="F10" s="572">
        <v>0</v>
      </c>
      <c r="G10" s="570" t="s">
        <v>613</v>
      </c>
      <c r="H10" s="570">
        <v>1000</v>
      </c>
      <c r="I10" s="570"/>
      <c r="J10" s="573">
        <v>60</v>
      </c>
      <c r="K10" s="692">
        <f t="shared" si="1"/>
        <v>0.06</v>
      </c>
      <c r="L10" s="571" t="s">
        <v>614</v>
      </c>
      <c r="M10" s="574"/>
    </row>
    <row r="11" spans="1:13" s="568" customFormat="1">
      <c r="A11" s="569" t="s">
        <v>619</v>
      </c>
      <c r="B11" s="570" t="s">
        <v>620</v>
      </c>
      <c r="C11" s="383" t="s">
        <v>668</v>
      </c>
      <c r="D11" s="571" t="s">
        <v>573</v>
      </c>
      <c r="E11" s="570" t="s">
        <v>574</v>
      </c>
      <c r="F11" s="572">
        <v>0</v>
      </c>
      <c r="G11" s="570" t="s">
        <v>613</v>
      </c>
      <c r="H11" s="570">
        <v>1000</v>
      </c>
      <c r="I11" s="570"/>
      <c r="J11" s="573">
        <v>40</v>
      </c>
      <c r="K11" s="692">
        <f t="shared" si="1"/>
        <v>0.04</v>
      </c>
      <c r="L11" s="571" t="s">
        <v>614</v>
      </c>
      <c r="M11" s="574"/>
    </row>
    <row r="12" spans="1:13" s="568" customFormat="1" ht="15.6" thickBot="1">
      <c r="A12" s="575" t="s">
        <v>621</v>
      </c>
      <c r="B12" s="576" t="s">
        <v>622</v>
      </c>
      <c r="C12" s="385" t="s">
        <v>668</v>
      </c>
      <c r="D12" s="582" t="s">
        <v>573</v>
      </c>
      <c r="E12" s="576" t="s">
        <v>574</v>
      </c>
      <c r="F12" s="578">
        <v>0</v>
      </c>
      <c r="G12" s="576" t="s">
        <v>613</v>
      </c>
      <c r="H12" s="576">
        <v>1000</v>
      </c>
      <c r="I12" s="576"/>
      <c r="J12" s="746">
        <v>41</v>
      </c>
      <c r="K12" s="747">
        <f t="shared" si="1"/>
        <v>4.1000000000000002E-2</v>
      </c>
      <c r="L12" s="577" t="s">
        <v>614</v>
      </c>
      <c r="M12" s="579"/>
    </row>
    <row r="13" spans="1:13" s="568" customFormat="1">
      <c r="A13" s="562" t="s">
        <v>923</v>
      </c>
      <c r="B13" s="563" t="s">
        <v>924</v>
      </c>
      <c r="C13" s="382" t="s">
        <v>807</v>
      </c>
      <c r="D13" s="592" t="s">
        <v>926</v>
      </c>
      <c r="E13" s="563" t="s">
        <v>937</v>
      </c>
      <c r="F13" s="565">
        <v>0</v>
      </c>
      <c r="G13" s="563" t="s">
        <v>436</v>
      </c>
      <c r="H13" s="563">
        <v>1</v>
      </c>
      <c r="I13" s="563"/>
      <c r="J13" s="566">
        <v>0.37</v>
      </c>
      <c r="K13" s="691">
        <f>J13/H13</f>
        <v>0.37</v>
      </c>
      <c r="L13" s="564" t="s">
        <v>192</v>
      </c>
      <c r="M13" s="567"/>
    </row>
    <row r="14" spans="1:13" s="568" customFormat="1">
      <c r="A14" s="569" t="s">
        <v>809</v>
      </c>
      <c r="B14" s="570" t="s">
        <v>810</v>
      </c>
      <c r="C14" s="383" t="s">
        <v>807</v>
      </c>
      <c r="D14" s="571" t="s">
        <v>926</v>
      </c>
      <c r="E14" s="570" t="s">
        <v>937</v>
      </c>
      <c r="F14" s="572">
        <v>0</v>
      </c>
      <c r="G14" s="570" t="s">
        <v>436</v>
      </c>
      <c r="H14" s="570">
        <v>1</v>
      </c>
      <c r="I14" s="570"/>
      <c r="J14" s="573">
        <v>0.17</v>
      </c>
      <c r="K14" s="692">
        <f t="shared" ref="K14:K16" si="2">J14/H14</f>
        <v>0.17</v>
      </c>
      <c r="L14" s="571" t="s">
        <v>192</v>
      </c>
      <c r="M14" s="574"/>
    </row>
    <row r="15" spans="1:13" s="568" customFormat="1">
      <c r="A15" s="569" t="s">
        <v>811</v>
      </c>
      <c r="B15" s="570" t="s">
        <v>925</v>
      </c>
      <c r="C15" s="383" t="s">
        <v>807</v>
      </c>
      <c r="D15" s="571" t="s">
        <v>926</v>
      </c>
      <c r="E15" s="570" t="s">
        <v>937</v>
      </c>
      <c r="F15" s="572">
        <v>0</v>
      </c>
      <c r="G15" s="570" t="s">
        <v>436</v>
      </c>
      <c r="H15" s="570">
        <v>1</v>
      </c>
      <c r="I15" s="570"/>
      <c r="J15" s="573">
        <v>0.21</v>
      </c>
      <c r="K15" s="692">
        <f t="shared" si="2"/>
        <v>0.21</v>
      </c>
      <c r="L15" s="571" t="s">
        <v>192</v>
      </c>
      <c r="M15" s="574"/>
    </row>
    <row r="16" spans="1:13" s="568" customFormat="1" ht="15.6" thickBot="1">
      <c r="A16" s="569" t="s">
        <v>965</v>
      </c>
      <c r="B16" s="570" t="s">
        <v>813</v>
      </c>
      <c r="C16" s="383" t="s">
        <v>807</v>
      </c>
      <c r="D16" s="571" t="s">
        <v>926</v>
      </c>
      <c r="E16" s="570" t="s">
        <v>937</v>
      </c>
      <c r="F16" s="572">
        <v>0</v>
      </c>
      <c r="G16" s="570" t="s">
        <v>436</v>
      </c>
      <c r="H16" s="570">
        <v>1</v>
      </c>
      <c r="I16" s="570"/>
      <c r="J16" s="573">
        <v>0.15</v>
      </c>
      <c r="K16" s="692">
        <f t="shared" si="2"/>
        <v>0.15</v>
      </c>
      <c r="L16" s="571" t="s">
        <v>192</v>
      </c>
      <c r="M16" s="574"/>
    </row>
    <row r="17" spans="1:13" s="568" customFormat="1">
      <c r="A17" s="597" t="s">
        <v>805</v>
      </c>
      <c r="B17" s="598" t="s">
        <v>806</v>
      </c>
      <c r="C17" s="423" t="s">
        <v>807</v>
      </c>
      <c r="D17" s="599" t="s">
        <v>808</v>
      </c>
      <c r="E17" s="598" t="s">
        <v>575</v>
      </c>
      <c r="F17" s="600">
        <v>0</v>
      </c>
      <c r="G17" s="598" t="s">
        <v>436</v>
      </c>
      <c r="H17" s="598">
        <v>1</v>
      </c>
      <c r="I17" s="598"/>
      <c r="J17" s="601">
        <v>0.37</v>
      </c>
      <c r="K17" s="701">
        <f>J17/H17</f>
        <v>0.37</v>
      </c>
      <c r="L17" s="599" t="s">
        <v>192</v>
      </c>
      <c r="M17" s="602"/>
    </row>
    <row r="18" spans="1:13" s="568" customFormat="1">
      <c r="A18" s="604" t="s">
        <v>809</v>
      </c>
      <c r="B18" s="605" t="s">
        <v>810</v>
      </c>
      <c r="C18" s="424" t="s">
        <v>807</v>
      </c>
      <c r="D18" s="606" t="s">
        <v>808</v>
      </c>
      <c r="E18" s="605" t="s">
        <v>575</v>
      </c>
      <c r="F18" s="607">
        <v>0</v>
      </c>
      <c r="G18" s="605" t="s">
        <v>436</v>
      </c>
      <c r="H18" s="605">
        <v>1</v>
      </c>
      <c r="I18" s="605"/>
      <c r="J18" s="608">
        <v>0.17</v>
      </c>
      <c r="K18" s="699">
        <f t="shared" ref="K18:K22" si="3">J18/H18</f>
        <v>0.17</v>
      </c>
      <c r="L18" s="606" t="s">
        <v>192</v>
      </c>
      <c r="M18" s="609"/>
    </row>
    <row r="19" spans="1:13" s="568" customFormat="1">
      <c r="A19" s="604" t="s">
        <v>811</v>
      </c>
      <c r="B19" s="605" t="s">
        <v>812</v>
      </c>
      <c r="C19" s="424" t="s">
        <v>807</v>
      </c>
      <c r="D19" s="606" t="s">
        <v>808</v>
      </c>
      <c r="E19" s="605" t="s">
        <v>575</v>
      </c>
      <c r="F19" s="607">
        <v>0</v>
      </c>
      <c r="G19" s="605" t="s">
        <v>436</v>
      </c>
      <c r="H19" s="605">
        <v>10</v>
      </c>
      <c r="I19" s="605"/>
      <c r="J19" s="608">
        <v>2.15</v>
      </c>
      <c r="K19" s="699">
        <f t="shared" si="3"/>
        <v>0.215</v>
      </c>
      <c r="L19" s="606" t="s">
        <v>192</v>
      </c>
      <c r="M19" s="609"/>
    </row>
    <row r="20" spans="1:13" s="568" customFormat="1">
      <c r="A20" s="604" t="s">
        <v>623</v>
      </c>
      <c r="B20" s="605" t="s">
        <v>813</v>
      </c>
      <c r="C20" s="424" t="s">
        <v>807</v>
      </c>
      <c r="D20" s="606" t="s">
        <v>808</v>
      </c>
      <c r="E20" s="605" t="s">
        <v>575</v>
      </c>
      <c r="F20" s="607">
        <v>0</v>
      </c>
      <c r="G20" s="605" t="s">
        <v>436</v>
      </c>
      <c r="H20" s="605">
        <v>10</v>
      </c>
      <c r="I20" s="605"/>
      <c r="J20" s="608">
        <v>1.55</v>
      </c>
      <c r="K20" s="699">
        <f t="shared" si="3"/>
        <v>0.155</v>
      </c>
      <c r="L20" s="606" t="s">
        <v>192</v>
      </c>
      <c r="M20" s="609"/>
    </row>
    <row r="21" spans="1:13" s="568" customFormat="1">
      <c r="A21" s="604" t="s">
        <v>822</v>
      </c>
      <c r="B21" s="605" t="s">
        <v>821</v>
      </c>
      <c r="C21" s="424" t="s">
        <v>879</v>
      </c>
      <c r="D21" s="606" t="s">
        <v>880</v>
      </c>
      <c r="E21" s="605" t="s">
        <v>575</v>
      </c>
      <c r="F21" s="607">
        <v>0</v>
      </c>
      <c r="G21" s="605" t="s">
        <v>763</v>
      </c>
      <c r="H21" s="605">
        <v>10</v>
      </c>
      <c r="I21" s="605"/>
      <c r="J21" s="608">
        <v>0.52</v>
      </c>
      <c r="K21" s="699">
        <f t="shared" si="3"/>
        <v>5.2000000000000005E-2</v>
      </c>
      <c r="L21" s="606" t="s">
        <v>553</v>
      </c>
      <c r="M21" s="609"/>
    </row>
    <row r="22" spans="1:13" s="568" customFormat="1" ht="15.6" thickBot="1">
      <c r="A22" s="610" t="s">
        <v>814</v>
      </c>
      <c r="B22" s="611" t="s">
        <v>815</v>
      </c>
      <c r="C22" s="424" t="s">
        <v>807</v>
      </c>
      <c r="D22" s="606" t="s">
        <v>808</v>
      </c>
      <c r="E22" s="605" t="s">
        <v>575</v>
      </c>
      <c r="F22" s="607">
        <v>0</v>
      </c>
      <c r="G22" s="605" t="s">
        <v>436</v>
      </c>
      <c r="H22" s="611">
        <v>1000</v>
      </c>
      <c r="I22" s="611"/>
      <c r="J22" s="614">
        <v>54</v>
      </c>
      <c r="K22" s="702">
        <f t="shared" si="3"/>
        <v>5.3999999999999999E-2</v>
      </c>
      <c r="L22" s="612" t="s">
        <v>192</v>
      </c>
      <c r="M22" s="615"/>
    </row>
    <row r="23" spans="1:13" s="568" customFormat="1">
      <c r="A23" s="562" t="s">
        <v>923</v>
      </c>
      <c r="B23" s="563" t="s">
        <v>924</v>
      </c>
      <c r="C23" s="382" t="s">
        <v>668</v>
      </c>
      <c r="D23" s="564" t="s">
        <v>966</v>
      </c>
      <c r="E23" s="728" t="s">
        <v>939</v>
      </c>
      <c r="F23" s="565">
        <v>0</v>
      </c>
      <c r="G23" s="563" t="s">
        <v>436</v>
      </c>
      <c r="H23" s="563">
        <v>1</v>
      </c>
      <c r="I23" s="563"/>
      <c r="J23" s="566">
        <f>0.2923*1.17</f>
        <v>0.34199099999999999</v>
      </c>
      <c r="K23" s="691">
        <f>J23/H23</f>
        <v>0.34199099999999999</v>
      </c>
      <c r="L23" s="564" t="s">
        <v>454</v>
      </c>
      <c r="M23" s="567" t="s">
        <v>927</v>
      </c>
    </row>
    <row r="24" spans="1:13" s="568" customFormat="1">
      <c r="A24" s="569" t="s">
        <v>809</v>
      </c>
      <c r="B24" s="570" t="s">
        <v>810</v>
      </c>
      <c r="C24" s="383" t="s">
        <v>668</v>
      </c>
      <c r="D24" s="571" t="s">
        <v>966</v>
      </c>
      <c r="E24" s="725" t="s">
        <v>939</v>
      </c>
      <c r="F24" s="572">
        <v>0</v>
      </c>
      <c r="G24" s="570" t="s">
        <v>436</v>
      </c>
      <c r="H24" s="570">
        <v>1</v>
      </c>
      <c r="I24" s="570"/>
      <c r="J24" s="573">
        <f>0.1342*1.17</f>
        <v>0.15701400000000001</v>
      </c>
      <c r="K24" s="692">
        <f t="shared" ref="K24:K28" si="4">J24/H24</f>
        <v>0.15701400000000001</v>
      </c>
      <c r="L24" s="571" t="s">
        <v>454</v>
      </c>
      <c r="M24" s="574" t="s">
        <v>145</v>
      </c>
    </row>
    <row r="25" spans="1:13" s="568" customFormat="1">
      <c r="A25" s="569" t="s">
        <v>811</v>
      </c>
      <c r="B25" s="570" t="s">
        <v>925</v>
      </c>
      <c r="C25" s="383" t="s">
        <v>668</v>
      </c>
      <c r="D25" s="571" t="s">
        <v>966</v>
      </c>
      <c r="E25" s="725" t="s">
        <v>939</v>
      </c>
      <c r="F25" s="572">
        <v>0</v>
      </c>
      <c r="G25" s="570" t="s">
        <v>436</v>
      </c>
      <c r="H25" s="570">
        <v>1</v>
      </c>
      <c r="I25" s="570"/>
      <c r="J25" s="573">
        <f>0.17*1.17</f>
        <v>0.19889999999999999</v>
      </c>
      <c r="K25" s="692">
        <f t="shared" si="4"/>
        <v>0.19889999999999999</v>
      </c>
      <c r="L25" s="571" t="s">
        <v>454</v>
      </c>
      <c r="M25" s="574" t="s">
        <v>145</v>
      </c>
    </row>
    <row r="26" spans="1:13" s="568" customFormat="1">
      <c r="A26" s="569" t="s">
        <v>965</v>
      </c>
      <c r="B26" s="570" t="s">
        <v>813</v>
      </c>
      <c r="C26" s="383" t="s">
        <v>668</v>
      </c>
      <c r="D26" s="571" t="s">
        <v>966</v>
      </c>
      <c r="E26" s="725" t="s">
        <v>939</v>
      </c>
      <c r="F26" s="572">
        <v>0</v>
      </c>
      <c r="G26" s="570" t="s">
        <v>436</v>
      </c>
      <c r="H26" s="570">
        <v>1</v>
      </c>
      <c r="I26" s="570"/>
      <c r="J26" s="573">
        <f>0.1222*1.17</f>
        <v>0.14297399999999999</v>
      </c>
      <c r="K26" s="692">
        <f t="shared" si="4"/>
        <v>0.14297399999999999</v>
      </c>
      <c r="L26" s="571" t="s">
        <v>454</v>
      </c>
      <c r="M26" s="574" t="s">
        <v>145</v>
      </c>
    </row>
    <row r="27" spans="1:13" s="568" customFormat="1">
      <c r="A27" s="569" t="s">
        <v>822</v>
      </c>
      <c r="B27" s="570" t="s">
        <v>928</v>
      </c>
      <c r="C27" s="383" t="s">
        <v>668</v>
      </c>
      <c r="D27" s="571" t="s">
        <v>966</v>
      </c>
      <c r="E27" s="725" t="s">
        <v>939</v>
      </c>
      <c r="F27" s="572">
        <v>0</v>
      </c>
      <c r="G27" s="570" t="s">
        <v>473</v>
      </c>
      <c r="H27" s="570">
        <v>1</v>
      </c>
      <c r="I27" s="570"/>
      <c r="J27" s="573">
        <f>0.0415*1.17</f>
        <v>4.8555000000000001E-2</v>
      </c>
      <c r="K27" s="692">
        <f t="shared" si="4"/>
        <v>4.8555000000000001E-2</v>
      </c>
      <c r="L27" s="571" t="s">
        <v>454</v>
      </c>
      <c r="M27" s="574" t="s">
        <v>145</v>
      </c>
    </row>
    <row r="28" spans="1:13" s="568" customFormat="1" ht="15.6" thickBot="1">
      <c r="A28" s="580" t="s">
        <v>967</v>
      </c>
      <c r="B28" s="581" t="s">
        <v>929</v>
      </c>
      <c r="C28" s="383" t="s">
        <v>668</v>
      </c>
      <c r="D28" s="571" t="s">
        <v>966</v>
      </c>
      <c r="E28" s="725" t="s">
        <v>938</v>
      </c>
      <c r="F28" s="572">
        <v>0</v>
      </c>
      <c r="G28" s="570" t="s">
        <v>436</v>
      </c>
      <c r="H28" s="581">
        <v>1</v>
      </c>
      <c r="I28" s="581"/>
      <c r="J28" s="584">
        <f>0.0427*1.17</f>
        <v>4.9958999999999996E-2</v>
      </c>
      <c r="K28" s="693">
        <f t="shared" si="4"/>
        <v>4.9958999999999996E-2</v>
      </c>
      <c r="L28" s="582" t="s">
        <v>454</v>
      </c>
      <c r="M28" s="585" t="s">
        <v>145</v>
      </c>
    </row>
    <row r="29" spans="1:13" s="568" customFormat="1">
      <c r="A29" s="562" t="s">
        <v>887</v>
      </c>
      <c r="B29" s="563" t="s">
        <v>624</v>
      </c>
      <c r="C29" s="382" t="s">
        <v>668</v>
      </c>
      <c r="D29" s="564" t="s">
        <v>625</v>
      </c>
      <c r="E29" s="563" t="s">
        <v>576</v>
      </c>
      <c r="F29" s="565">
        <v>0</v>
      </c>
      <c r="G29" s="563" t="s">
        <v>613</v>
      </c>
      <c r="H29" s="563">
        <v>100</v>
      </c>
      <c r="I29" s="563"/>
      <c r="J29" s="566">
        <f>8.89*1.17</f>
        <v>10.401300000000001</v>
      </c>
      <c r="K29" s="694">
        <f t="shared" si="1"/>
        <v>0.10401300000000001</v>
      </c>
      <c r="L29" s="564" t="s">
        <v>626</v>
      </c>
      <c r="M29" s="586" t="s">
        <v>927</v>
      </c>
    </row>
    <row r="30" spans="1:13" s="568" customFormat="1">
      <c r="A30" s="604" t="s">
        <v>627</v>
      </c>
      <c r="B30" s="605" t="s">
        <v>628</v>
      </c>
      <c r="C30" s="424" t="s">
        <v>847</v>
      </c>
      <c r="D30" s="606" t="s">
        <v>625</v>
      </c>
      <c r="E30" s="605" t="s">
        <v>576</v>
      </c>
      <c r="F30" s="607">
        <v>0</v>
      </c>
      <c r="G30" s="605" t="s">
        <v>613</v>
      </c>
      <c r="H30" s="605">
        <v>100</v>
      </c>
      <c r="I30" s="605"/>
      <c r="J30" s="608">
        <f>100.6*1.17</f>
        <v>117.70199999999998</v>
      </c>
      <c r="K30" s="699">
        <f t="shared" si="1"/>
        <v>1.1770199999999997</v>
      </c>
      <c r="L30" s="606" t="s">
        <v>626</v>
      </c>
      <c r="M30" s="753" t="s">
        <v>145</v>
      </c>
    </row>
    <row r="31" spans="1:13" s="568" customFormat="1">
      <c r="A31" s="604" t="s">
        <v>629</v>
      </c>
      <c r="B31" s="605" t="s">
        <v>630</v>
      </c>
      <c r="C31" s="424" t="s">
        <v>847</v>
      </c>
      <c r="D31" s="606" t="s">
        <v>625</v>
      </c>
      <c r="E31" s="605" t="s">
        <v>576</v>
      </c>
      <c r="F31" s="607">
        <v>0</v>
      </c>
      <c r="G31" s="605" t="s">
        <v>613</v>
      </c>
      <c r="H31" s="605">
        <v>100</v>
      </c>
      <c r="I31" s="605"/>
      <c r="J31" s="608">
        <f>93.08*1.17</f>
        <v>108.9036</v>
      </c>
      <c r="K31" s="699">
        <f t="shared" si="1"/>
        <v>1.0890359999999999</v>
      </c>
      <c r="L31" s="606" t="s">
        <v>626</v>
      </c>
      <c r="M31" s="753" t="s">
        <v>145</v>
      </c>
    </row>
    <row r="32" spans="1:13" s="568" customFormat="1">
      <c r="A32" s="604" t="s">
        <v>631</v>
      </c>
      <c r="B32" s="605" t="s">
        <v>628</v>
      </c>
      <c r="C32" s="424" t="s">
        <v>800</v>
      </c>
      <c r="D32" s="606" t="s">
        <v>625</v>
      </c>
      <c r="E32" s="605" t="s">
        <v>576</v>
      </c>
      <c r="F32" s="607">
        <v>0</v>
      </c>
      <c r="G32" s="605" t="s">
        <v>613</v>
      </c>
      <c r="H32" s="605">
        <v>100</v>
      </c>
      <c r="I32" s="605"/>
      <c r="J32" s="608">
        <f>136.32*1.17</f>
        <v>159.49439999999998</v>
      </c>
      <c r="K32" s="699">
        <f t="shared" si="1"/>
        <v>1.5949439999999999</v>
      </c>
      <c r="L32" s="606" t="s">
        <v>626</v>
      </c>
      <c r="M32" s="753" t="s">
        <v>145</v>
      </c>
    </row>
    <row r="33" spans="1:13" s="568" customFormat="1">
      <c r="A33" s="604" t="s">
        <v>632</v>
      </c>
      <c r="B33" s="605" t="s">
        <v>630</v>
      </c>
      <c r="C33" s="424" t="s">
        <v>800</v>
      </c>
      <c r="D33" s="606" t="s">
        <v>625</v>
      </c>
      <c r="E33" s="605" t="s">
        <v>576</v>
      </c>
      <c r="F33" s="607">
        <v>0</v>
      </c>
      <c r="G33" s="605" t="s">
        <v>613</v>
      </c>
      <c r="H33" s="605">
        <v>100</v>
      </c>
      <c r="I33" s="605"/>
      <c r="J33" s="608">
        <f>79.57*1.17</f>
        <v>93.096899999999991</v>
      </c>
      <c r="K33" s="699">
        <f t="shared" si="1"/>
        <v>0.93096899999999994</v>
      </c>
      <c r="L33" s="606" t="s">
        <v>626</v>
      </c>
      <c r="M33" s="753" t="s">
        <v>145</v>
      </c>
    </row>
    <row r="34" spans="1:13" s="568" customFormat="1">
      <c r="A34" s="748" t="s">
        <v>916</v>
      </c>
      <c r="B34" s="749" t="s">
        <v>919</v>
      </c>
      <c r="C34" s="750" t="s">
        <v>676</v>
      </c>
      <c r="D34" s="592" t="s">
        <v>972</v>
      </c>
      <c r="E34" s="593" t="s">
        <v>576</v>
      </c>
      <c r="F34" s="594">
        <v>0</v>
      </c>
      <c r="G34" s="593" t="s">
        <v>190</v>
      </c>
      <c r="H34" s="593">
        <v>100</v>
      </c>
      <c r="I34" s="593"/>
      <c r="J34" s="751">
        <v>110.99789999999999</v>
      </c>
      <c r="K34" s="752">
        <f t="shared" ref="K34:K37" si="5">J34/H34</f>
        <v>1.1099789999999998</v>
      </c>
      <c r="L34" s="592" t="s">
        <v>120</v>
      </c>
      <c r="M34" s="596" t="s">
        <v>145</v>
      </c>
    </row>
    <row r="35" spans="1:13" s="568" customFormat="1">
      <c r="A35" s="724" t="s">
        <v>917</v>
      </c>
      <c r="B35" s="725" t="s">
        <v>920</v>
      </c>
      <c r="C35" s="729" t="s">
        <v>676</v>
      </c>
      <c r="D35" s="571" t="s">
        <v>972</v>
      </c>
      <c r="E35" s="570" t="s">
        <v>576</v>
      </c>
      <c r="F35" s="572">
        <v>0</v>
      </c>
      <c r="G35" s="570" t="s">
        <v>190</v>
      </c>
      <c r="H35" s="593">
        <v>100</v>
      </c>
      <c r="I35" s="570"/>
      <c r="J35" s="751">
        <v>121.00139999999999</v>
      </c>
      <c r="K35" s="739">
        <f t="shared" si="5"/>
        <v>1.2100139999999999</v>
      </c>
      <c r="L35" s="571" t="s">
        <v>120</v>
      </c>
      <c r="M35" s="586" t="s">
        <v>145</v>
      </c>
    </row>
    <row r="36" spans="1:13" s="568" customFormat="1">
      <c r="A36" s="724" t="s">
        <v>970</v>
      </c>
      <c r="B36" s="725" t="s">
        <v>921</v>
      </c>
      <c r="C36" s="729" t="s">
        <v>670</v>
      </c>
      <c r="D36" s="571" t="s">
        <v>972</v>
      </c>
      <c r="E36" s="570" t="s">
        <v>576</v>
      </c>
      <c r="F36" s="572">
        <v>0</v>
      </c>
      <c r="G36" s="570" t="s">
        <v>190</v>
      </c>
      <c r="H36" s="593">
        <v>100</v>
      </c>
      <c r="I36" s="570"/>
      <c r="J36" s="751">
        <v>95.998499999999993</v>
      </c>
      <c r="K36" s="739">
        <f t="shared" si="5"/>
        <v>0.95998499999999998</v>
      </c>
      <c r="L36" s="571" t="s">
        <v>120</v>
      </c>
      <c r="M36" s="586" t="s">
        <v>145</v>
      </c>
    </row>
    <row r="37" spans="1:13" s="568" customFormat="1" ht="15.6" thickBot="1">
      <c r="A37" s="726" t="s">
        <v>918</v>
      </c>
      <c r="B37" s="727" t="s">
        <v>922</v>
      </c>
      <c r="C37" s="741" t="s">
        <v>670</v>
      </c>
      <c r="D37" s="582" t="s">
        <v>625</v>
      </c>
      <c r="E37" s="581" t="s">
        <v>576</v>
      </c>
      <c r="F37" s="583">
        <v>0</v>
      </c>
      <c r="G37" s="581" t="s">
        <v>613</v>
      </c>
      <c r="H37" s="593">
        <v>100</v>
      </c>
      <c r="I37" s="581"/>
      <c r="J37" s="751">
        <v>161.00369999999998</v>
      </c>
      <c r="K37" s="743">
        <f t="shared" si="5"/>
        <v>1.6100369999999997</v>
      </c>
      <c r="L37" s="582" t="s">
        <v>626</v>
      </c>
      <c r="M37" s="587" t="s">
        <v>145</v>
      </c>
    </row>
    <row r="38" spans="1:13" s="568" customFormat="1">
      <c r="A38" s="569" t="s">
        <v>916</v>
      </c>
      <c r="B38" s="570" t="s">
        <v>919</v>
      </c>
      <c r="C38" s="383" t="s">
        <v>676</v>
      </c>
      <c r="D38" s="571" t="s">
        <v>968</v>
      </c>
      <c r="E38" s="570" t="s">
        <v>969</v>
      </c>
      <c r="F38" s="740">
        <v>0</v>
      </c>
      <c r="G38" s="725" t="s">
        <v>942</v>
      </c>
      <c r="H38" s="593">
        <v>100</v>
      </c>
      <c r="I38" s="570"/>
      <c r="J38" s="751">
        <v>110.99789999999999</v>
      </c>
      <c r="K38" s="692">
        <f t="shared" si="1"/>
        <v>1.1099789999999998</v>
      </c>
      <c r="L38" s="571" t="s">
        <v>454</v>
      </c>
      <c r="M38" s="586" t="s">
        <v>145</v>
      </c>
    </row>
    <row r="39" spans="1:13" s="568" customFormat="1">
      <c r="A39" s="569" t="s">
        <v>917</v>
      </c>
      <c r="B39" s="570" t="s">
        <v>920</v>
      </c>
      <c r="C39" s="383" t="s">
        <v>676</v>
      </c>
      <c r="D39" s="571" t="s">
        <v>940</v>
      </c>
      <c r="E39" s="570" t="s">
        <v>969</v>
      </c>
      <c r="F39" s="740">
        <v>0</v>
      </c>
      <c r="G39" s="725" t="s">
        <v>35</v>
      </c>
      <c r="H39" s="593">
        <v>100</v>
      </c>
      <c r="I39" s="570"/>
      <c r="J39" s="751">
        <v>121.00139999999999</v>
      </c>
      <c r="K39" s="692">
        <f t="shared" si="1"/>
        <v>1.2100139999999999</v>
      </c>
      <c r="L39" s="571" t="s">
        <v>454</v>
      </c>
      <c r="M39" s="586" t="s">
        <v>145</v>
      </c>
    </row>
    <row r="40" spans="1:13" s="568" customFormat="1">
      <c r="A40" s="569" t="s">
        <v>970</v>
      </c>
      <c r="B40" s="570" t="s">
        <v>921</v>
      </c>
      <c r="C40" s="383" t="s">
        <v>670</v>
      </c>
      <c r="D40" s="571" t="s">
        <v>940</v>
      </c>
      <c r="E40" s="570" t="s">
        <v>969</v>
      </c>
      <c r="F40" s="740">
        <v>0</v>
      </c>
      <c r="G40" s="725" t="s">
        <v>35</v>
      </c>
      <c r="H40" s="593">
        <v>100</v>
      </c>
      <c r="I40" s="570"/>
      <c r="J40" s="751">
        <v>95.998499999999993</v>
      </c>
      <c r="K40" s="692">
        <f t="shared" si="1"/>
        <v>0.95998499999999998</v>
      </c>
      <c r="L40" s="571" t="s">
        <v>454</v>
      </c>
      <c r="M40" s="586" t="s">
        <v>145</v>
      </c>
    </row>
    <row r="41" spans="1:13" s="568" customFormat="1" ht="15.6" thickBot="1">
      <c r="A41" s="580" t="s">
        <v>971</v>
      </c>
      <c r="B41" s="581" t="s">
        <v>922</v>
      </c>
      <c r="C41" s="384" t="s">
        <v>670</v>
      </c>
      <c r="D41" s="582" t="s">
        <v>940</v>
      </c>
      <c r="E41" s="581" t="s">
        <v>969</v>
      </c>
      <c r="F41" s="742">
        <v>0</v>
      </c>
      <c r="G41" s="727" t="s">
        <v>35</v>
      </c>
      <c r="H41" s="593">
        <v>100</v>
      </c>
      <c r="I41" s="581"/>
      <c r="J41" s="751">
        <v>161.00369999999998</v>
      </c>
      <c r="K41" s="693">
        <f t="shared" si="1"/>
        <v>1.6100369999999997</v>
      </c>
      <c r="L41" s="582" t="s">
        <v>454</v>
      </c>
      <c r="M41" s="587" t="s">
        <v>145</v>
      </c>
    </row>
    <row r="42" spans="1:13" s="568" customFormat="1" ht="15.6" thickBot="1">
      <c r="A42" s="580" t="s">
        <v>843</v>
      </c>
      <c r="B42" s="581" t="s">
        <v>881</v>
      </c>
      <c r="C42" s="661" t="s">
        <v>879</v>
      </c>
      <c r="D42" s="582" t="s">
        <v>882</v>
      </c>
      <c r="E42" s="737" t="s">
        <v>823</v>
      </c>
      <c r="F42" s="583">
        <v>0</v>
      </c>
      <c r="G42" s="581" t="s">
        <v>941</v>
      </c>
      <c r="H42" s="583">
        <v>1</v>
      </c>
      <c r="I42" s="581"/>
      <c r="J42" s="730">
        <f>3.32*1.17</f>
        <v>3.8843999999999994</v>
      </c>
      <c r="K42" s="755">
        <f t="shared" si="1"/>
        <v>3.8843999999999994</v>
      </c>
      <c r="L42" s="712" t="s">
        <v>120</v>
      </c>
      <c r="M42" s="704" t="s">
        <v>883</v>
      </c>
    </row>
    <row r="43" spans="1:13" s="568" customFormat="1" ht="15.6" thickBot="1">
      <c r="A43" s="580" t="s">
        <v>973</v>
      </c>
      <c r="B43" s="581" t="s">
        <v>974</v>
      </c>
      <c r="C43" s="661" t="s">
        <v>975</v>
      </c>
      <c r="D43" s="582" t="s">
        <v>976</v>
      </c>
      <c r="E43" s="737" t="s">
        <v>977</v>
      </c>
      <c r="F43" s="583">
        <v>0</v>
      </c>
      <c r="G43" s="581" t="s">
        <v>978</v>
      </c>
      <c r="H43" s="583">
        <v>10</v>
      </c>
      <c r="I43" s="581"/>
      <c r="J43" s="582">
        <f>21.88*1.17</f>
        <v>25.599599999999999</v>
      </c>
      <c r="K43" s="692">
        <f t="shared" si="1"/>
        <v>2.5599599999999998</v>
      </c>
      <c r="L43" s="712" t="s">
        <v>979</v>
      </c>
      <c r="M43" s="704" t="s">
        <v>980</v>
      </c>
    </row>
    <row r="44" spans="1:13" s="568" customFormat="1" ht="15.6" thickBot="1">
      <c r="A44" s="580" t="s">
        <v>844</v>
      </c>
      <c r="B44" s="581" t="s">
        <v>884</v>
      </c>
      <c r="C44" s="384" t="s">
        <v>879</v>
      </c>
      <c r="D44" s="582" t="s">
        <v>885</v>
      </c>
      <c r="E44" s="737" t="s">
        <v>824</v>
      </c>
      <c r="F44" s="583">
        <v>0</v>
      </c>
      <c r="G44" s="581" t="s">
        <v>850</v>
      </c>
      <c r="H44" s="583">
        <v>1</v>
      </c>
      <c r="I44" s="581"/>
      <c r="J44" s="582">
        <f>1000*1.17</f>
        <v>1170</v>
      </c>
      <c r="K44" s="693">
        <f t="shared" si="1"/>
        <v>1170</v>
      </c>
      <c r="L44" s="712" t="s">
        <v>120</v>
      </c>
      <c r="M44" s="704" t="s">
        <v>883</v>
      </c>
    </row>
    <row r="45" spans="1:13" s="568" customFormat="1" ht="15.6" thickBot="1">
      <c r="A45" s="580" t="s">
        <v>845</v>
      </c>
      <c r="B45" s="581" t="s">
        <v>846</v>
      </c>
      <c r="C45" s="384" t="s">
        <v>879</v>
      </c>
      <c r="D45" s="582" t="s">
        <v>886</v>
      </c>
      <c r="E45" s="737" t="s">
        <v>825</v>
      </c>
      <c r="F45" s="583">
        <v>0</v>
      </c>
      <c r="G45" s="581" t="s">
        <v>850</v>
      </c>
      <c r="H45" s="583">
        <v>1</v>
      </c>
      <c r="I45" s="581"/>
      <c r="J45" s="582">
        <f>24.27*1.03</f>
        <v>24.998100000000001</v>
      </c>
      <c r="K45" s="693">
        <f t="shared" si="1"/>
        <v>24.998100000000001</v>
      </c>
      <c r="L45" s="712" t="s">
        <v>120</v>
      </c>
      <c r="M45" s="704" t="s">
        <v>883</v>
      </c>
    </row>
    <row r="46" spans="1:13" s="568" customFormat="1">
      <c r="A46" s="677" t="s">
        <v>633</v>
      </c>
      <c r="B46" s="678" t="s">
        <v>63</v>
      </c>
      <c r="C46" s="678" t="s">
        <v>674</v>
      </c>
      <c r="D46" s="621" t="s">
        <v>64</v>
      </c>
      <c r="E46" s="619" t="s">
        <v>65</v>
      </c>
      <c r="F46" s="620">
        <v>0</v>
      </c>
      <c r="G46" s="619" t="s">
        <v>35</v>
      </c>
      <c r="H46" s="619">
        <v>100</v>
      </c>
      <c r="I46" s="619"/>
      <c r="J46" s="619">
        <f>1.71*1.17</f>
        <v>2.0006999999999997</v>
      </c>
      <c r="K46" s="695">
        <f t="shared" si="1"/>
        <v>2.0006999999999997E-2</v>
      </c>
      <c r="L46" s="621" t="s">
        <v>66</v>
      </c>
      <c r="M46" s="622" t="s">
        <v>634</v>
      </c>
    </row>
    <row r="47" spans="1:13" s="568" customFormat="1">
      <c r="A47" s="681"/>
      <c r="B47" s="682"/>
      <c r="C47" s="682"/>
      <c r="D47" s="625" t="s">
        <v>67</v>
      </c>
      <c r="E47" s="623" t="s">
        <v>68</v>
      </c>
      <c r="F47" s="624">
        <v>0</v>
      </c>
      <c r="G47" s="623" t="s">
        <v>35</v>
      </c>
      <c r="H47" s="623">
        <v>100</v>
      </c>
      <c r="I47" s="623"/>
      <c r="J47" s="649">
        <f>1.71*1.17</f>
        <v>2.0006999999999997</v>
      </c>
      <c r="K47" s="696">
        <f t="shared" si="1"/>
        <v>2.0006999999999997E-2</v>
      </c>
      <c r="L47" s="625" t="s">
        <v>66</v>
      </c>
      <c r="M47" s="626" t="s">
        <v>145</v>
      </c>
    </row>
    <row r="48" spans="1:13" s="568" customFormat="1">
      <c r="A48" s="681"/>
      <c r="B48" s="682"/>
      <c r="C48" s="682"/>
      <c r="D48" s="629" t="s">
        <v>67</v>
      </c>
      <c r="E48" s="627" t="s">
        <v>68</v>
      </c>
      <c r="F48" s="628">
        <v>100000</v>
      </c>
      <c r="G48" s="627" t="s">
        <v>35</v>
      </c>
      <c r="H48" s="627">
        <v>100</v>
      </c>
      <c r="I48" s="627"/>
      <c r="J48" s="618">
        <f>1.71*1.17</f>
        <v>2.0006999999999997</v>
      </c>
      <c r="K48" s="696">
        <f t="shared" si="1"/>
        <v>2.0006999999999997E-2</v>
      </c>
      <c r="L48" s="629" t="s">
        <v>66</v>
      </c>
      <c r="M48" s="630" t="s">
        <v>145</v>
      </c>
    </row>
    <row r="49" spans="1:13" s="568" customFormat="1" ht="15.6" thickBot="1">
      <c r="A49" s="679"/>
      <c r="B49" s="680"/>
      <c r="C49" s="680"/>
      <c r="D49" s="633" t="s">
        <v>67</v>
      </c>
      <c r="E49" s="631" t="s">
        <v>68</v>
      </c>
      <c r="F49" s="632">
        <v>300000</v>
      </c>
      <c r="G49" s="631" t="s">
        <v>35</v>
      </c>
      <c r="H49" s="631">
        <v>100</v>
      </c>
      <c r="I49" s="631"/>
      <c r="J49" s="631">
        <f>0.85*1.17</f>
        <v>0.99449999999999994</v>
      </c>
      <c r="K49" s="697">
        <f t="shared" si="1"/>
        <v>9.944999999999999E-3</v>
      </c>
      <c r="L49" s="633" t="s">
        <v>66</v>
      </c>
      <c r="M49" s="634" t="s">
        <v>145</v>
      </c>
    </row>
    <row r="50" spans="1:13" s="554" customFormat="1">
      <c r="A50" s="683" t="s">
        <v>635</v>
      </c>
      <c r="B50" s="684" t="s">
        <v>69</v>
      </c>
      <c r="C50" s="684" t="s">
        <v>675</v>
      </c>
      <c r="D50" s="637" t="s">
        <v>636</v>
      </c>
      <c r="E50" s="635" t="s">
        <v>65</v>
      </c>
      <c r="F50" s="636">
        <v>0</v>
      </c>
      <c r="G50" s="635" t="s">
        <v>35</v>
      </c>
      <c r="H50" s="635">
        <v>100</v>
      </c>
      <c r="I50" s="635"/>
      <c r="J50" s="635">
        <f>0.51*1.17</f>
        <v>0.59670000000000001</v>
      </c>
      <c r="K50" s="695">
        <f t="shared" si="1"/>
        <v>5.9670000000000001E-3</v>
      </c>
      <c r="L50" s="637" t="s">
        <v>66</v>
      </c>
      <c r="M50" s="638" t="s">
        <v>145</v>
      </c>
    </row>
    <row r="51" spans="1:13" s="554" customFormat="1">
      <c r="A51" s="685"/>
      <c r="B51" s="686"/>
      <c r="C51" s="686"/>
      <c r="D51" s="641" t="s">
        <v>67</v>
      </c>
      <c r="E51" s="639" t="s">
        <v>68</v>
      </c>
      <c r="F51" s="640">
        <v>0</v>
      </c>
      <c r="G51" s="639" t="s">
        <v>35</v>
      </c>
      <c r="H51" s="639">
        <v>100</v>
      </c>
      <c r="I51" s="639"/>
      <c r="J51" s="639">
        <f>0.56*1.17</f>
        <v>0.6552</v>
      </c>
      <c r="K51" s="696">
        <f t="shared" si="1"/>
        <v>6.5519999999999997E-3</v>
      </c>
      <c r="L51" s="641" t="s">
        <v>66</v>
      </c>
      <c r="M51" s="638" t="s">
        <v>145</v>
      </c>
    </row>
    <row r="52" spans="1:13" s="554" customFormat="1">
      <c r="A52" s="685"/>
      <c r="B52" s="686"/>
      <c r="C52" s="686"/>
      <c r="D52" s="644" t="s">
        <v>67</v>
      </c>
      <c r="E52" s="642" t="s">
        <v>68</v>
      </c>
      <c r="F52" s="643">
        <v>5000</v>
      </c>
      <c r="G52" s="642" t="s">
        <v>35</v>
      </c>
      <c r="H52" s="642">
        <v>100</v>
      </c>
      <c r="I52" s="642"/>
      <c r="J52" s="642">
        <f>0.56*1.17</f>
        <v>0.6552</v>
      </c>
      <c r="K52" s="698">
        <f t="shared" si="1"/>
        <v>6.5519999999999997E-3</v>
      </c>
      <c r="L52" s="644" t="s">
        <v>66</v>
      </c>
      <c r="M52" s="638" t="s">
        <v>145</v>
      </c>
    </row>
    <row r="53" spans="1:13" s="554" customFormat="1">
      <c r="A53" s="685"/>
      <c r="B53" s="686"/>
      <c r="C53" s="686"/>
      <c r="D53" s="644" t="s">
        <v>67</v>
      </c>
      <c r="E53" s="642" t="s">
        <v>68</v>
      </c>
      <c r="F53" s="643">
        <v>20000</v>
      </c>
      <c r="G53" s="642" t="s">
        <v>35</v>
      </c>
      <c r="H53" s="642">
        <v>100</v>
      </c>
      <c r="I53" s="642"/>
      <c r="J53" s="642">
        <f>0.51*1.17</f>
        <v>0.59670000000000001</v>
      </c>
      <c r="K53" s="698">
        <f t="shared" si="1"/>
        <v>5.9670000000000001E-3</v>
      </c>
      <c r="L53" s="644" t="s">
        <v>66</v>
      </c>
      <c r="M53" s="638" t="s">
        <v>145</v>
      </c>
    </row>
    <row r="54" spans="1:13" s="554" customFormat="1">
      <c r="A54" s="685"/>
      <c r="B54" s="686"/>
      <c r="C54" s="686"/>
      <c r="D54" s="644" t="s">
        <v>67</v>
      </c>
      <c r="E54" s="642" t="s">
        <v>68</v>
      </c>
      <c r="F54" s="643">
        <v>100000</v>
      </c>
      <c r="G54" s="642" t="s">
        <v>35</v>
      </c>
      <c r="H54" s="642">
        <v>100</v>
      </c>
      <c r="I54" s="642"/>
      <c r="J54" s="642">
        <f>0.47*1.17</f>
        <v>0.54989999999999994</v>
      </c>
      <c r="K54" s="698">
        <f t="shared" si="1"/>
        <v>5.4989999999999995E-3</v>
      </c>
      <c r="L54" s="644" t="s">
        <v>66</v>
      </c>
      <c r="M54" s="638" t="s">
        <v>145</v>
      </c>
    </row>
    <row r="55" spans="1:13" s="554" customFormat="1" ht="15.6" thickBot="1">
      <c r="A55" s="687"/>
      <c r="B55" s="688"/>
      <c r="C55" s="688"/>
      <c r="D55" s="647" t="s">
        <v>67</v>
      </c>
      <c r="E55" s="645" t="s">
        <v>68</v>
      </c>
      <c r="F55" s="646">
        <v>300000</v>
      </c>
      <c r="G55" s="645" t="s">
        <v>35</v>
      </c>
      <c r="H55" s="645">
        <v>100</v>
      </c>
      <c r="I55" s="645"/>
      <c r="J55" s="645">
        <f>0.44*1.17</f>
        <v>0.51479999999999992</v>
      </c>
      <c r="K55" s="697">
        <f t="shared" si="1"/>
        <v>5.1479999999999989E-3</v>
      </c>
      <c r="L55" s="647" t="s">
        <v>66</v>
      </c>
      <c r="M55" s="648" t="s">
        <v>145</v>
      </c>
    </row>
    <row r="56" spans="1:13" s="568" customFormat="1">
      <c r="A56" s="562" t="s">
        <v>637</v>
      </c>
      <c r="B56" s="563" t="s">
        <v>638</v>
      </c>
      <c r="C56" s="382" t="s">
        <v>670</v>
      </c>
      <c r="D56" s="564" t="s">
        <v>639</v>
      </c>
      <c r="E56" s="563" t="s">
        <v>577</v>
      </c>
      <c r="F56" s="565">
        <v>0</v>
      </c>
      <c r="G56" s="563" t="s">
        <v>640</v>
      </c>
      <c r="H56" s="563">
        <v>100</v>
      </c>
      <c r="I56" s="563"/>
      <c r="J56" s="566">
        <f>9.61*1.17</f>
        <v>11.243699999999999</v>
      </c>
      <c r="K56" s="691">
        <f t="shared" si="1"/>
        <v>0.11243699999999998</v>
      </c>
      <c r="L56" s="564" t="s">
        <v>641</v>
      </c>
      <c r="M56" s="588" t="s">
        <v>145</v>
      </c>
    </row>
    <row r="57" spans="1:13" s="568" customFormat="1">
      <c r="A57" s="569"/>
      <c r="B57" s="570"/>
      <c r="C57" s="383"/>
      <c r="D57" s="571" t="s">
        <v>639</v>
      </c>
      <c r="E57" s="570" t="s">
        <v>577</v>
      </c>
      <c r="F57" s="572">
        <v>30000</v>
      </c>
      <c r="G57" s="570" t="s">
        <v>640</v>
      </c>
      <c r="H57" s="570">
        <v>100</v>
      </c>
      <c r="I57" s="570"/>
      <c r="J57" s="573">
        <f>9.61*1.17</f>
        <v>11.243699999999999</v>
      </c>
      <c r="K57" s="692">
        <f t="shared" ref="K57:K61" si="6">J57/H57</f>
        <v>0.11243699999999998</v>
      </c>
      <c r="L57" s="571" t="s">
        <v>641</v>
      </c>
      <c r="M57" s="586" t="s">
        <v>145</v>
      </c>
    </row>
    <row r="58" spans="1:13" s="568" customFormat="1">
      <c r="A58" s="569"/>
      <c r="B58" s="570"/>
      <c r="C58" s="383"/>
      <c r="D58" s="571" t="s">
        <v>639</v>
      </c>
      <c r="E58" s="570" t="s">
        <v>577</v>
      </c>
      <c r="F58" s="572">
        <v>50000</v>
      </c>
      <c r="G58" s="570" t="s">
        <v>640</v>
      </c>
      <c r="H58" s="570">
        <v>100</v>
      </c>
      <c r="I58" s="570"/>
      <c r="J58" s="573">
        <f>9.3*1.17</f>
        <v>10.881</v>
      </c>
      <c r="K58" s="692">
        <f t="shared" si="6"/>
        <v>0.10881</v>
      </c>
      <c r="L58" s="571" t="s">
        <v>641</v>
      </c>
      <c r="M58" s="586" t="s">
        <v>145</v>
      </c>
    </row>
    <row r="59" spans="1:13" s="568" customFormat="1">
      <c r="A59" s="569"/>
      <c r="B59" s="570"/>
      <c r="C59" s="383"/>
      <c r="D59" s="577" t="s">
        <v>639</v>
      </c>
      <c r="E59" s="576" t="s">
        <v>577</v>
      </c>
      <c r="F59" s="572">
        <v>100000</v>
      </c>
      <c r="G59" s="570" t="s">
        <v>640</v>
      </c>
      <c r="H59" s="570">
        <v>100</v>
      </c>
      <c r="I59" s="570"/>
      <c r="J59" s="573">
        <f>9.07*1.17</f>
        <v>10.6119</v>
      </c>
      <c r="K59" s="692">
        <f t="shared" si="6"/>
        <v>0.106119</v>
      </c>
      <c r="L59" s="571" t="s">
        <v>641</v>
      </c>
      <c r="M59" s="586" t="s">
        <v>145</v>
      </c>
    </row>
    <row r="60" spans="1:13" s="568" customFormat="1">
      <c r="A60" s="569"/>
      <c r="B60" s="570"/>
      <c r="C60" s="548"/>
      <c r="D60" s="589" t="s">
        <v>639</v>
      </c>
      <c r="E60" s="590" t="s">
        <v>577</v>
      </c>
      <c r="F60" s="591">
        <v>200000</v>
      </c>
      <c r="G60" s="570" t="s">
        <v>640</v>
      </c>
      <c r="H60" s="570">
        <v>100</v>
      </c>
      <c r="I60" s="570"/>
      <c r="J60" s="573">
        <f>8.95*1.17</f>
        <v>10.471499999999999</v>
      </c>
      <c r="K60" s="692">
        <f t="shared" si="6"/>
        <v>0.10471499999999999</v>
      </c>
      <c r="L60" s="571" t="s">
        <v>641</v>
      </c>
      <c r="M60" s="586" t="s">
        <v>145</v>
      </c>
    </row>
    <row r="61" spans="1:13" s="568" customFormat="1" ht="15.6" thickBot="1">
      <c r="A61" s="580"/>
      <c r="B61" s="581"/>
      <c r="C61" s="384"/>
      <c r="D61" s="592" t="s">
        <v>639</v>
      </c>
      <c r="E61" s="593" t="s">
        <v>577</v>
      </c>
      <c r="F61" s="583">
        <v>500000</v>
      </c>
      <c r="G61" s="581" t="s">
        <v>640</v>
      </c>
      <c r="H61" s="581">
        <v>100</v>
      </c>
      <c r="I61" s="581"/>
      <c r="J61" s="584">
        <f>8.95*1.17</f>
        <v>10.471499999999999</v>
      </c>
      <c r="K61" s="693">
        <f t="shared" si="6"/>
        <v>0.10471499999999999</v>
      </c>
      <c r="L61" s="582" t="s">
        <v>641</v>
      </c>
      <c r="M61" s="587" t="s">
        <v>145</v>
      </c>
    </row>
    <row r="62" spans="1:13" s="568" customFormat="1">
      <c r="A62" s="562" t="s">
        <v>642</v>
      </c>
      <c r="B62" s="563" t="s">
        <v>643</v>
      </c>
      <c r="C62" s="382" t="s">
        <v>676</v>
      </c>
      <c r="D62" s="564" t="s">
        <v>639</v>
      </c>
      <c r="E62" s="563" t="s">
        <v>577</v>
      </c>
      <c r="F62" s="565">
        <v>5000</v>
      </c>
      <c r="G62" s="563" t="s">
        <v>640</v>
      </c>
      <c r="H62" s="563">
        <v>1</v>
      </c>
      <c r="I62" s="563"/>
      <c r="J62" s="566">
        <f>0.4*1.17</f>
        <v>0.46799999999999997</v>
      </c>
      <c r="K62" s="691">
        <f t="shared" si="1"/>
        <v>0.46799999999999997</v>
      </c>
      <c r="L62" s="564" t="s">
        <v>641</v>
      </c>
      <c r="M62" s="588" t="s">
        <v>145</v>
      </c>
    </row>
    <row r="63" spans="1:13" s="568" customFormat="1">
      <c r="A63" s="569"/>
      <c r="B63" s="570"/>
      <c r="C63" s="383"/>
      <c r="D63" s="571" t="s">
        <v>639</v>
      </c>
      <c r="E63" s="570" t="s">
        <v>577</v>
      </c>
      <c r="F63" s="572">
        <v>10000</v>
      </c>
      <c r="G63" s="570" t="s">
        <v>640</v>
      </c>
      <c r="H63" s="570">
        <v>1</v>
      </c>
      <c r="I63" s="570"/>
      <c r="J63" s="573">
        <f>0.29*1.17</f>
        <v>0.33929999999999993</v>
      </c>
      <c r="K63" s="692">
        <f t="shared" ref="K63:K73" si="7">J63/H63</f>
        <v>0.33929999999999993</v>
      </c>
      <c r="L63" s="571" t="s">
        <v>641</v>
      </c>
      <c r="M63" s="586" t="s">
        <v>145</v>
      </c>
    </row>
    <row r="64" spans="1:13" s="568" customFormat="1">
      <c r="A64" s="569"/>
      <c r="B64" s="570"/>
      <c r="C64" s="383"/>
      <c r="D64" s="571" t="s">
        <v>639</v>
      </c>
      <c r="E64" s="570" t="s">
        <v>577</v>
      </c>
      <c r="F64" s="572">
        <v>30000</v>
      </c>
      <c r="G64" s="570" t="s">
        <v>640</v>
      </c>
      <c r="H64" s="570">
        <v>1</v>
      </c>
      <c r="I64" s="570"/>
      <c r="J64" s="573">
        <f>0.24*1.17</f>
        <v>0.28079999999999999</v>
      </c>
      <c r="K64" s="692">
        <f t="shared" si="7"/>
        <v>0.28079999999999999</v>
      </c>
      <c r="L64" s="571" t="s">
        <v>641</v>
      </c>
      <c r="M64" s="586" t="s">
        <v>145</v>
      </c>
    </row>
    <row r="65" spans="1:13" s="568" customFormat="1">
      <c r="A65" s="569"/>
      <c r="B65" s="570"/>
      <c r="C65" s="383"/>
      <c r="D65" s="571" t="s">
        <v>639</v>
      </c>
      <c r="E65" s="570" t="s">
        <v>577</v>
      </c>
      <c r="F65" s="572">
        <v>50000</v>
      </c>
      <c r="G65" s="570" t="s">
        <v>640</v>
      </c>
      <c r="H65" s="570">
        <v>1</v>
      </c>
      <c r="I65" s="570"/>
      <c r="J65" s="573">
        <f>0.22*1.17</f>
        <v>0.25739999999999996</v>
      </c>
      <c r="K65" s="692">
        <f t="shared" si="7"/>
        <v>0.25739999999999996</v>
      </c>
      <c r="L65" s="571" t="s">
        <v>641</v>
      </c>
      <c r="M65" s="586" t="s">
        <v>145</v>
      </c>
    </row>
    <row r="66" spans="1:13" s="568" customFormat="1">
      <c r="A66" s="569"/>
      <c r="B66" s="570"/>
      <c r="C66" s="383"/>
      <c r="D66" s="571" t="s">
        <v>639</v>
      </c>
      <c r="E66" s="570" t="s">
        <v>577</v>
      </c>
      <c r="F66" s="572">
        <v>100000</v>
      </c>
      <c r="G66" s="570" t="s">
        <v>640</v>
      </c>
      <c r="H66" s="570">
        <v>1</v>
      </c>
      <c r="I66" s="570"/>
      <c r="J66" s="573">
        <f>0.2*1.17</f>
        <v>0.23399999999999999</v>
      </c>
      <c r="K66" s="692">
        <f t="shared" si="7"/>
        <v>0.23399999999999999</v>
      </c>
      <c r="L66" s="571" t="s">
        <v>641</v>
      </c>
      <c r="M66" s="586" t="s">
        <v>145</v>
      </c>
    </row>
    <row r="67" spans="1:13" s="568" customFormat="1" ht="15.6" thickBot="1">
      <c r="A67" s="580"/>
      <c r="B67" s="581"/>
      <c r="C67" s="384"/>
      <c r="D67" s="582" t="s">
        <v>639</v>
      </c>
      <c r="E67" s="581" t="s">
        <v>577</v>
      </c>
      <c r="F67" s="583">
        <v>200000</v>
      </c>
      <c r="G67" s="581" t="s">
        <v>640</v>
      </c>
      <c r="H67" s="581">
        <v>1</v>
      </c>
      <c r="I67" s="581"/>
      <c r="J67" s="584">
        <f>0.19*1.17</f>
        <v>0.2223</v>
      </c>
      <c r="K67" s="693">
        <f t="shared" si="7"/>
        <v>0.2223</v>
      </c>
      <c r="L67" s="582" t="s">
        <v>641</v>
      </c>
      <c r="M67" s="587" t="s">
        <v>145</v>
      </c>
    </row>
    <row r="68" spans="1:13" s="568" customFormat="1">
      <c r="A68" s="562" t="s">
        <v>642</v>
      </c>
      <c r="B68" s="563" t="s">
        <v>643</v>
      </c>
      <c r="C68" s="382" t="s">
        <v>676</v>
      </c>
      <c r="D68" s="592" t="s">
        <v>578</v>
      </c>
      <c r="E68" s="593" t="s">
        <v>579</v>
      </c>
      <c r="F68" s="594">
        <v>5000</v>
      </c>
      <c r="G68" s="593" t="s">
        <v>640</v>
      </c>
      <c r="H68" s="593">
        <v>100</v>
      </c>
      <c r="I68" s="593"/>
      <c r="J68" s="595">
        <f>32.48*1.17</f>
        <v>38.001599999999996</v>
      </c>
      <c r="K68" s="694">
        <f t="shared" si="7"/>
        <v>0.38001599999999996</v>
      </c>
      <c r="L68" s="592" t="s">
        <v>641</v>
      </c>
      <c r="M68" s="596" t="s">
        <v>145</v>
      </c>
    </row>
    <row r="69" spans="1:13" s="568" customFormat="1">
      <c r="A69" s="569"/>
      <c r="B69" s="570"/>
      <c r="C69" s="383"/>
      <c r="D69" s="571" t="s">
        <v>578</v>
      </c>
      <c r="E69" s="570" t="s">
        <v>579</v>
      </c>
      <c r="F69" s="572">
        <v>10000</v>
      </c>
      <c r="G69" s="570" t="s">
        <v>640</v>
      </c>
      <c r="H69" s="570">
        <v>100</v>
      </c>
      <c r="I69" s="570"/>
      <c r="J69" s="573">
        <f>28.21*1.17</f>
        <v>33.005699999999997</v>
      </c>
      <c r="K69" s="692">
        <f t="shared" si="7"/>
        <v>0.33005699999999999</v>
      </c>
      <c r="L69" s="571" t="s">
        <v>641</v>
      </c>
      <c r="M69" s="586" t="s">
        <v>145</v>
      </c>
    </row>
    <row r="70" spans="1:13" s="568" customFormat="1">
      <c r="A70" s="569"/>
      <c r="B70" s="570"/>
      <c r="C70" s="383"/>
      <c r="D70" s="571" t="s">
        <v>578</v>
      </c>
      <c r="E70" s="570" t="s">
        <v>579</v>
      </c>
      <c r="F70" s="572">
        <v>30000</v>
      </c>
      <c r="G70" s="570" t="s">
        <v>640</v>
      </c>
      <c r="H70" s="570">
        <v>100</v>
      </c>
      <c r="I70" s="570"/>
      <c r="J70" s="573">
        <f>23.08*1.17</f>
        <v>27.003599999999995</v>
      </c>
      <c r="K70" s="692">
        <f t="shared" si="7"/>
        <v>0.27003599999999994</v>
      </c>
      <c r="L70" s="571" t="s">
        <v>641</v>
      </c>
      <c r="M70" s="586" t="s">
        <v>145</v>
      </c>
    </row>
    <row r="71" spans="1:13" s="568" customFormat="1">
      <c r="A71" s="569"/>
      <c r="B71" s="570"/>
      <c r="C71" s="383"/>
      <c r="D71" s="571" t="s">
        <v>578</v>
      </c>
      <c r="E71" s="570" t="s">
        <v>579</v>
      </c>
      <c r="F71" s="572">
        <v>50000</v>
      </c>
      <c r="G71" s="570" t="s">
        <v>640</v>
      </c>
      <c r="H71" s="570">
        <v>100</v>
      </c>
      <c r="I71" s="570"/>
      <c r="J71" s="573">
        <f>21.37*1.17</f>
        <v>25.0029</v>
      </c>
      <c r="K71" s="692">
        <f t="shared" si="7"/>
        <v>0.250029</v>
      </c>
      <c r="L71" s="571" t="s">
        <v>641</v>
      </c>
      <c r="M71" s="586" t="s">
        <v>145</v>
      </c>
    </row>
    <row r="72" spans="1:13" s="568" customFormat="1">
      <c r="A72" s="569"/>
      <c r="B72" s="570"/>
      <c r="C72" s="383"/>
      <c r="D72" s="571" t="s">
        <v>578</v>
      </c>
      <c r="E72" s="570" t="s">
        <v>579</v>
      </c>
      <c r="F72" s="572">
        <v>100000</v>
      </c>
      <c r="G72" s="570" t="s">
        <v>640</v>
      </c>
      <c r="H72" s="570">
        <v>100</v>
      </c>
      <c r="I72" s="570"/>
      <c r="J72" s="573">
        <f>19.66*1.17</f>
        <v>23.002199999999998</v>
      </c>
      <c r="K72" s="692">
        <f t="shared" si="7"/>
        <v>0.23002199999999998</v>
      </c>
      <c r="L72" s="571" t="s">
        <v>641</v>
      </c>
      <c r="M72" s="586" t="s">
        <v>145</v>
      </c>
    </row>
    <row r="73" spans="1:13" s="568" customFormat="1" ht="15.6" thickBot="1">
      <c r="A73" s="580"/>
      <c r="B73" s="581"/>
      <c r="C73" s="384"/>
      <c r="D73" s="582" t="s">
        <v>578</v>
      </c>
      <c r="E73" s="581" t="s">
        <v>579</v>
      </c>
      <c r="F73" s="583">
        <v>200000</v>
      </c>
      <c r="G73" s="581" t="s">
        <v>640</v>
      </c>
      <c r="H73" s="581">
        <v>100</v>
      </c>
      <c r="I73" s="581"/>
      <c r="J73" s="584">
        <f>18.8*1.17</f>
        <v>21.995999999999999</v>
      </c>
      <c r="K73" s="693">
        <f t="shared" si="7"/>
        <v>0.21995999999999999</v>
      </c>
      <c r="L73" s="582" t="s">
        <v>641</v>
      </c>
      <c r="M73" s="587" t="s">
        <v>145</v>
      </c>
    </row>
    <row r="74" spans="1:13" s="568" customFormat="1">
      <c r="A74" s="562" t="s">
        <v>644</v>
      </c>
      <c r="B74" s="563" t="s">
        <v>645</v>
      </c>
      <c r="C74" s="382" t="s">
        <v>674</v>
      </c>
      <c r="D74" s="564" t="s">
        <v>639</v>
      </c>
      <c r="E74" s="563" t="s">
        <v>577</v>
      </c>
      <c r="F74" s="565">
        <v>0</v>
      </c>
      <c r="G74" s="563" t="s">
        <v>640</v>
      </c>
      <c r="H74" s="563">
        <v>100</v>
      </c>
      <c r="I74" s="563"/>
      <c r="J74" s="566">
        <f>21.5*1.17</f>
        <v>25.154999999999998</v>
      </c>
      <c r="K74" s="691">
        <f t="shared" si="1"/>
        <v>0.25155</v>
      </c>
      <c r="L74" s="564" t="s">
        <v>641</v>
      </c>
      <c r="M74" s="588" t="s">
        <v>145</v>
      </c>
    </row>
    <row r="75" spans="1:13" s="568" customFormat="1">
      <c r="A75" s="569"/>
      <c r="B75" s="570"/>
      <c r="C75" s="383"/>
      <c r="D75" s="571" t="s">
        <v>639</v>
      </c>
      <c r="E75" s="570" t="s">
        <v>577</v>
      </c>
      <c r="F75" s="572">
        <v>3000</v>
      </c>
      <c r="G75" s="570" t="s">
        <v>640</v>
      </c>
      <c r="H75" s="570">
        <v>100</v>
      </c>
      <c r="I75" s="570"/>
      <c r="J75" s="573">
        <f>21.5*1.17</f>
        <v>25.154999999999998</v>
      </c>
      <c r="K75" s="692">
        <f t="shared" ref="K75:K81" si="8">J75/H75</f>
        <v>0.25155</v>
      </c>
      <c r="L75" s="571" t="s">
        <v>641</v>
      </c>
      <c r="M75" s="586" t="s">
        <v>145</v>
      </c>
    </row>
    <row r="76" spans="1:13" s="568" customFormat="1">
      <c r="A76" s="569"/>
      <c r="B76" s="570"/>
      <c r="C76" s="383"/>
      <c r="D76" s="571" t="s">
        <v>639</v>
      </c>
      <c r="E76" s="570" t="s">
        <v>577</v>
      </c>
      <c r="F76" s="572">
        <v>5000</v>
      </c>
      <c r="G76" s="570" t="s">
        <v>640</v>
      </c>
      <c r="H76" s="570">
        <v>100</v>
      </c>
      <c r="I76" s="570"/>
      <c r="J76" s="573">
        <f>20.8*1.17</f>
        <v>24.335999999999999</v>
      </c>
      <c r="K76" s="692">
        <f t="shared" si="8"/>
        <v>0.24335999999999999</v>
      </c>
      <c r="L76" s="571" t="s">
        <v>641</v>
      </c>
      <c r="M76" s="586" t="s">
        <v>145</v>
      </c>
    </row>
    <row r="77" spans="1:13" s="568" customFormat="1">
      <c r="A77" s="569"/>
      <c r="B77" s="570"/>
      <c r="C77" s="383"/>
      <c r="D77" s="571" t="s">
        <v>639</v>
      </c>
      <c r="E77" s="570" t="s">
        <v>577</v>
      </c>
      <c r="F77" s="572">
        <v>10000</v>
      </c>
      <c r="G77" s="570" t="s">
        <v>640</v>
      </c>
      <c r="H77" s="570">
        <v>100</v>
      </c>
      <c r="I77" s="570"/>
      <c r="J77" s="573">
        <f>20.4*1.17</f>
        <v>23.867999999999999</v>
      </c>
      <c r="K77" s="692">
        <f t="shared" si="8"/>
        <v>0.23867999999999998</v>
      </c>
      <c r="L77" s="571" t="s">
        <v>641</v>
      </c>
      <c r="M77" s="586" t="s">
        <v>145</v>
      </c>
    </row>
    <row r="78" spans="1:13" s="568" customFormat="1">
      <c r="A78" s="569"/>
      <c r="B78" s="570"/>
      <c r="C78" s="383"/>
      <c r="D78" s="571" t="s">
        <v>639</v>
      </c>
      <c r="E78" s="570" t="s">
        <v>577</v>
      </c>
      <c r="F78" s="572">
        <v>30000</v>
      </c>
      <c r="G78" s="570" t="s">
        <v>640</v>
      </c>
      <c r="H78" s="570">
        <v>100</v>
      </c>
      <c r="I78" s="570"/>
      <c r="J78" s="573">
        <f>20.1*1.17</f>
        <v>23.516999999999999</v>
      </c>
      <c r="K78" s="692">
        <f t="shared" si="8"/>
        <v>0.23516999999999999</v>
      </c>
      <c r="L78" s="571" t="s">
        <v>641</v>
      </c>
      <c r="M78" s="586" t="s">
        <v>145</v>
      </c>
    </row>
    <row r="79" spans="1:13" s="568" customFormat="1">
      <c r="A79" s="569"/>
      <c r="B79" s="570"/>
      <c r="C79" s="383"/>
      <c r="D79" s="571" t="s">
        <v>639</v>
      </c>
      <c r="E79" s="570" t="s">
        <v>577</v>
      </c>
      <c r="F79" s="572">
        <v>50000</v>
      </c>
      <c r="G79" s="570" t="s">
        <v>640</v>
      </c>
      <c r="H79" s="570">
        <v>100</v>
      </c>
      <c r="I79" s="570"/>
      <c r="J79" s="573">
        <f>19.9*1.17</f>
        <v>23.282999999999998</v>
      </c>
      <c r="K79" s="692">
        <f t="shared" si="8"/>
        <v>0.23282999999999998</v>
      </c>
      <c r="L79" s="571" t="s">
        <v>641</v>
      </c>
      <c r="M79" s="586" t="s">
        <v>145</v>
      </c>
    </row>
    <row r="80" spans="1:13" s="568" customFormat="1">
      <c r="A80" s="569"/>
      <c r="B80" s="570"/>
      <c r="C80" s="383"/>
      <c r="D80" s="571" t="s">
        <v>639</v>
      </c>
      <c r="E80" s="570" t="s">
        <v>577</v>
      </c>
      <c r="F80" s="572">
        <v>100000</v>
      </c>
      <c r="G80" s="570" t="s">
        <v>640</v>
      </c>
      <c r="H80" s="570">
        <v>100</v>
      </c>
      <c r="I80" s="570"/>
      <c r="J80" s="573">
        <f>19.8*1.17</f>
        <v>23.166</v>
      </c>
      <c r="K80" s="692">
        <f t="shared" si="8"/>
        <v>0.23166</v>
      </c>
      <c r="L80" s="571" t="s">
        <v>641</v>
      </c>
      <c r="M80" s="586" t="s">
        <v>145</v>
      </c>
    </row>
    <row r="81" spans="1:13" s="568" customFormat="1" ht="15.6" thickBot="1">
      <c r="A81" s="580"/>
      <c r="B81" s="581"/>
      <c r="C81" s="384"/>
      <c r="D81" s="582" t="s">
        <v>639</v>
      </c>
      <c r="E81" s="581" t="s">
        <v>577</v>
      </c>
      <c r="F81" s="583">
        <v>200000</v>
      </c>
      <c r="G81" s="581" t="s">
        <v>640</v>
      </c>
      <c r="H81" s="581">
        <v>100</v>
      </c>
      <c r="I81" s="581"/>
      <c r="J81" s="584">
        <f>19.7*1.17</f>
        <v>23.048999999999999</v>
      </c>
      <c r="K81" s="693">
        <f t="shared" si="8"/>
        <v>0.23049</v>
      </c>
      <c r="L81" s="582" t="s">
        <v>641</v>
      </c>
      <c r="M81" s="587" t="s">
        <v>145</v>
      </c>
    </row>
    <row r="82" spans="1:13" s="568" customFormat="1">
      <c r="A82" s="562" t="s">
        <v>646</v>
      </c>
      <c r="B82" s="563" t="s">
        <v>647</v>
      </c>
      <c r="C82" s="382" t="s">
        <v>670</v>
      </c>
      <c r="D82" s="564" t="s">
        <v>582</v>
      </c>
      <c r="E82" s="563" t="s">
        <v>246</v>
      </c>
      <c r="F82" s="565">
        <v>0</v>
      </c>
      <c r="G82" s="563" t="s">
        <v>640</v>
      </c>
      <c r="H82" s="563">
        <v>10</v>
      </c>
      <c r="I82" s="563"/>
      <c r="J82" s="566">
        <f>1.08*1.17</f>
        <v>1.2636000000000001</v>
      </c>
      <c r="K82" s="691">
        <f t="shared" ref="K82:K91" si="9">J82/H82</f>
        <v>0.12636</v>
      </c>
      <c r="L82" s="564" t="s">
        <v>641</v>
      </c>
      <c r="M82" s="616" t="s">
        <v>145</v>
      </c>
    </row>
    <row r="83" spans="1:13" s="603" customFormat="1">
      <c r="A83" s="604" t="s">
        <v>680</v>
      </c>
      <c r="B83" s="605" t="s">
        <v>669</v>
      </c>
      <c r="C83" s="424" t="s">
        <v>671</v>
      </c>
      <c r="D83" s="606" t="s">
        <v>582</v>
      </c>
      <c r="E83" s="605" t="s">
        <v>246</v>
      </c>
      <c r="F83" s="607">
        <v>0</v>
      </c>
      <c r="G83" s="605" t="s">
        <v>640</v>
      </c>
      <c r="H83" s="605">
        <v>10</v>
      </c>
      <c r="I83" s="605"/>
      <c r="J83" s="608">
        <f>1.62*1.17</f>
        <v>1.8954</v>
      </c>
      <c r="K83" s="699">
        <f t="shared" ref="K83" si="10">J83/H83</f>
        <v>0.18953999999999999</v>
      </c>
      <c r="L83" s="606" t="s">
        <v>641</v>
      </c>
      <c r="M83" s="665" t="s">
        <v>145</v>
      </c>
    </row>
    <row r="84" spans="1:13" s="568" customFormat="1" ht="15.6" thickBot="1">
      <c r="A84" s="666" t="s">
        <v>798</v>
      </c>
      <c r="B84" s="660" t="s">
        <v>799</v>
      </c>
      <c r="C84" s="661" t="s">
        <v>800</v>
      </c>
      <c r="D84" s="662" t="s">
        <v>582</v>
      </c>
      <c r="E84" s="660" t="s">
        <v>246</v>
      </c>
      <c r="F84" s="663">
        <v>0</v>
      </c>
      <c r="G84" s="660" t="s">
        <v>436</v>
      </c>
      <c r="H84" s="660">
        <v>100</v>
      </c>
      <c r="I84" s="660"/>
      <c r="J84" s="667">
        <f>18.12*1.17</f>
        <v>21.200399999999998</v>
      </c>
      <c r="K84" s="700">
        <f t="shared" si="9"/>
        <v>0.21200399999999997</v>
      </c>
      <c r="L84" s="662" t="s">
        <v>454</v>
      </c>
      <c r="M84" s="664" t="s">
        <v>145</v>
      </c>
    </row>
    <row r="85" spans="1:13" s="603" customFormat="1">
      <c r="A85" s="597" t="s">
        <v>801</v>
      </c>
      <c r="B85" s="598" t="s">
        <v>802</v>
      </c>
      <c r="C85" s="423" t="s">
        <v>803</v>
      </c>
      <c r="D85" s="599" t="s">
        <v>582</v>
      </c>
      <c r="E85" s="598" t="s">
        <v>246</v>
      </c>
      <c r="F85" s="600">
        <v>0</v>
      </c>
      <c r="G85" s="598" t="s">
        <v>436</v>
      </c>
      <c r="H85" s="598">
        <v>100</v>
      </c>
      <c r="I85" s="598"/>
      <c r="J85" s="601">
        <f>19.7*1.17</f>
        <v>23.048999999999999</v>
      </c>
      <c r="K85" s="701">
        <f t="shared" si="9"/>
        <v>0.23049</v>
      </c>
      <c r="L85" s="599" t="s">
        <v>454</v>
      </c>
      <c r="M85" s="651" t="s">
        <v>145</v>
      </c>
    </row>
    <row r="86" spans="1:13" s="603" customFormat="1" ht="15.6" thickBot="1">
      <c r="A86" s="610"/>
      <c r="B86" s="611"/>
      <c r="C86" s="425"/>
      <c r="D86" s="612" t="s">
        <v>582</v>
      </c>
      <c r="E86" s="611" t="s">
        <v>246</v>
      </c>
      <c r="F86" s="613">
        <v>0</v>
      </c>
      <c r="G86" s="611" t="s">
        <v>436</v>
      </c>
      <c r="H86" s="611">
        <v>100</v>
      </c>
      <c r="I86" s="611"/>
      <c r="J86" s="614">
        <f>19.7*1.17</f>
        <v>23.048999999999999</v>
      </c>
      <c r="K86" s="702">
        <f t="shared" si="9"/>
        <v>0.23049</v>
      </c>
      <c r="L86" s="612" t="s">
        <v>454</v>
      </c>
      <c r="M86" s="652" t="s">
        <v>145</v>
      </c>
    </row>
    <row r="87" spans="1:13" s="568" customFormat="1" ht="15.6" thickBot="1">
      <c r="A87" s="562" t="s">
        <v>804</v>
      </c>
      <c r="B87" s="563" t="s">
        <v>677</v>
      </c>
      <c r="C87" s="650" t="s">
        <v>803</v>
      </c>
      <c r="D87" s="564" t="s">
        <v>582</v>
      </c>
      <c r="E87" s="563" t="s">
        <v>246</v>
      </c>
      <c r="F87" s="565">
        <v>0</v>
      </c>
      <c r="G87" s="563" t="s">
        <v>436</v>
      </c>
      <c r="H87" s="563">
        <v>100</v>
      </c>
      <c r="I87" s="563"/>
      <c r="J87" s="566">
        <f>15.81*1.17</f>
        <v>18.497699999999998</v>
      </c>
      <c r="K87" s="691">
        <f t="shared" ref="K87" si="11">J87/H87</f>
        <v>0.18497699999999997</v>
      </c>
      <c r="L87" s="564" t="s">
        <v>454</v>
      </c>
      <c r="M87" s="617" t="s">
        <v>145</v>
      </c>
    </row>
    <row r="88" spans="1:13" s="603" customFormat="1" ht="15.6" thickBot="1">
      <c r="A88" s="653" t="s">
        <v>648</v>
      </c>
      <c r="B88" s="654" t="s">
        <v>572</v>
      </c>
      <c r="C88" s="659" t="s">
        <v>672</v>
      </c>
      <c r="D88" s="655" t="s">
        <v>582</v>
      </c>
      <c r="E88" s="654" t="s">
        <v>246</v>
      </c>
      <c r="F88" s="656">
        <v>0</v>
      </c>
      <c r="G88" s="654" t="s">
        <v>640</v>
      </c>
      <c r="H88" s="654">
        <v>10</v>
      </c>
      <c r="I88" s="654"/>
      <c r="J88" s="657">
        <f>1.12*1.17</f>
        <v>1.3104</v>
      </c>
      <c r="K88" s="703">
        <f t="shared" si="9"/>
        <v>0.13103999999999999</v>
      </c>
      <c r="L88" s="655" t="s">
        <v>641</v>
      </c>
      <c r="M88" s="658" t="s">
        <v>145</v>
      </c>
    </row>
    <row r="89" spans="1:13" s="603" customFormat="1" ht="15.6" thickBot="1">
      <c r="A89" s="653" t="s">
        <v>678</v>
      </c>
      <c r="B89" s="654" t="s">
        <v>679</v>
      </c>
      <c r="C89" s="659" t="s">
        <v>759</v>
      </c>
      <c r="D89" s="655" t="s">
        <v>582</v>
      </c>
      <c r="E89" s="654" t="s">
        <v>246</v>
      </c>
      <c r="F89" s="656">
        <v>0</v>
      </c>
      <c r="G89" s="654" t="s">
        <v>436</v>
      </c>
      <c r="H89" s="654">
        <v>100</v>
      </c>
      <c r="I89" s="654"/>
      <c r="J89" s="657">
        <f>8.72*1.17</f>
        <v>10.202400000000001</v>
      </c>
      <c r="K89" s="703">
        <f t="shared" ref="K89:K90" si="12">J89/H89</f>
        <v>0.102024</v>
      </c>
      <c r="L89" s="655" t="s">
        <v>454</v>
      </c>
      <c r="M89" s="658" t="s">
        <v>145</v>
      </c>
    </row>
    <row r="90" spans="1:13">
      <c r="A90" s="562" t="s">
        <v>681</v>
      </c>
      <c r="B90" s="563" t="s">
        <v>570</v>
      </c>
      <c r="C90" s="382" t="s">
        <v>673</v>
      </c>
      <c r="D90" s="564" t="s">
        <v>95</v>
      </c>
      <c r="E90" s="563" t="s">
        <v>96</v>
      </c>
      <c r="F90" s="565">
        <v>0</v>
      </c>
      <c r="G90" s="563" t="s">
        <v>640</v>
      </c>
      <c r="H90" s="563">
        <v>100</v>
      </c>
      <c r="I90" s="563"/>
      <c r="J90" s="566">
        <f>23.93*1.17</f>
        <v>27.998099999999997</v>
      </c>
      <c r="K90" s="691">
        <f t="shared" si="12"/>
        <v>0.27998099999999998</v>
      </c>
      <c r="L90" s="564" t="s">
        <v>641</v>
      </c>
      <c r="M90" s="616" t="s">
        <v>145</v>
      </c>
    </row>
    <row r="91" spans="1:13" ht="15.6" thickBot="1">
      <c r="A91" s="666" t="s">
        <v>649</v>
      </c>
      <c r="B91" s="660" t="s">
        <v>571</v>
      </c>
      <c r="C91" s="661" t="s">
        <v>673</v>
      </c>
      <c r="D91" s="662" t="s">
        <v>95</v>
      </c>
      <c r="E91" s="660" t="s">
        <v>96</v>
      </c>
      <c r="F91" s="663">
        <v>0</v>
      </c>
      <c r="G91" s="660" t="s">
        <v>640</v>
      </c>
      <c r="H91" s="660">
        <v>100</v>
      </c>
      <c r="I91" s="660"/>
      <c r="J91" s="667">
        <f>15.38*1.17</f>
        <v>17.994599999999998</v>
      </c>
      <c r="K91" s="700">
        <f t="shared" si="9"/>
        <v>0.17994599999999999</v>
      </c>
      <c r="L91" s="662" t="s">
        <v>641</v>
      </c>
      <c r="M91" s="664" t="s">
        <v>145</v>
      </c>
    </row>
    <row r="92" spans="1:13" s="603" customFormat="1" hidden="1">
      <c r="A92" s="597" t="s">
        <v>650</v>
      </c>
      <c r="B92" s="598" t="s">
        <v>651</v>
      </c>
      <c r="C92" s="423" t="s">
        <v>652</v>
      </c>
      <c r="D92" s="599" t="s">
        <v>33</v>
      </c>
      <c r="E92" s="598" t="s">
        <v>580</v>
      </c>
      <c r="F92" s="600">
        <v>0</v>
      </c>
      <c r="G92" s="598" t="s">
        <v>640</v>
      </c>
      <c r="H92" s="598">
        <v>1</v>
      </c>
      <c r="I92" s="598"/>
      <c r="J92" s="601">
        <v>4</v>
      </c>
      <c r="K92" s="701">
        <f t="shared" si="1"/>
        <v>4</v>
      </c>
      <c r="L92" s="599" t="s">
        <v>653</v>
      </c>
      <c r="M92" s="602"/>
    </row>
    <row r="93" spans="1:13" s="603" customFormat="1" hidden="1">
      <c r="A93" s="604"/>
      <c r="B93" s="605"/>
      <c r="C93" s="424"/>
      <c r="D93" s="606" t="s">
        <v>33</v>
      </c>
      <c r="E93" s="605" t="s">
        <v>580</v>
      </c>
      <c r="F93" s="607">
        <v>2000</v>
      </c>
      <c r="G93" s="605" t="s">
        <v>640</v>
      </c>
      <c r="H93" s="605">
        <v>1</v>
      </c>
      <c r="I93" s="605"/>
      <c r="J93" s="608">
        <v>4</v>
      </c>
      <c r="K93" s="699">
        <f t="shared" si="1"/>
        <v>4</v>
      </c>
      <c r="L93" s="606" t="s">
        <v>653</v>
      </c>
      <c r="M93" s="609"/>
    </row>
    <row r="94" spans="1:13" s="603" customFormat="1" hidden="1">
      <c r="A94" s="604"/>
      <c r="B94" s="605"/>
      <c r="C94" s="424"/>
      <c r="D94" s="606" t="s">
        <v>33</v>
      </c>
      <c r="E94" s="605" t="s">
        <v>580</v>
      </c>
      <c r="F94" s="607">
        <v>3000</v>
      </c>
      <c r="G94" s="605" t="s">
        <v>640</v>
      </c>
      <c r="H94" s="605">
        <v>1</v>
      </c>
      <c r="I94" s="605"/>
      <c r="J94" s="608">
        <v>4</v>
      </c>
      <c r="K94" s="699">
        <f t="shared" si="1"/>
        <v>4</v>
      </c>
      <c r="L94" s="606" t="s">
        <v>653</v>
      </c>
      <c r="M94" s="609"/>
    </row>
    <row r="95" spans="1:13" s="603" customFormat="1" hidden="1">
      <c r="A95" s="604"/>
      <c r="B95" s="605"/>
      <c r="C95" s="424"/>
      <c r="D95" s="606" t="s">
        <v>33</v>
      </c>
      <c r="E95" s="605" t="s">
        <v>580</v>
      </c>
      <c r="F95" s="607">
        <v>5000</v>
      </c>
      <c r="G95" s="605" t="s">
        <v>640</v>
      </c>
      <c r="H95" s="605">
        <v>1</v>
      </c>
      <c r="I95" s="605"/>
      <c r="J95" s="608">
        <v>3.45</v>
      </c>
      <c r="K95" s="699">
        <f t="shared" si="1"/>
        <v>3.45</v>
      </c>
      <c r="L95" s="606" t="s">
        <v>653</v>
      </c>
      <c r="M95" s="609"/>
    </row>
    <row r="96" spans="1:13" s="603" customFormat="1" hidden="1">
      <c r="A96" s="604"/>
      <c r="B96" s="605"/>
      <c r="C96" s="424"/>
      <c r="D96" s="606" t="s">
        <v>33</v>
      </c>
      <c r="E96" s="605" t="s">
        <v>580</v>
      </c>
      <c r="F96" s="607">
        <v>10000</v>
      </c>
      <c r="G96" s="605" t="s">
        <v>640</v>
      </c>
      <c r="H96" s="605">
        <v>1</v>
      </c>
      <c r="I96" s="605"/>
      <c r="J96" s="608">
        <v>3.08</v>
      </c>
      <c r="K96" s="699">
        <f t="shared" si="1"/>
        <v>3.08</v>
      </c>
      <c r="L96" s="606" t="s">
        <v>653</v>
      </c>
      <c r="M96" s="609"/>
    </row>
    <row r="97" spans="1:13" s="603" customFormat="1" hidden="1">
      <c r="A97" s="604"/>
      <c r="B97" s="605"/>
      <c r="C97" s="424"/>
      <c r="D97" s="606" t="s">
        <v>33</v>
      </c>
      <c r="E97" s="605" t="s">
        <v>580</v>
      </c>
      <c r="F97" s="607">
        <v>20000</v>
      </c>
      <c r="G97" s="605" t="s">
        <v>640</v>
      </c>
      <c r="H97" s="605">
        <v>1</v>
      </c>
      <c r="I97" s="605"/>
      <c r="J97" s="608">
        <v>2.87</v>
      </c>
      <c r="K97" s="699">
        <f t="shared" si="1"/>
        <v>2.87</v>
      </c>
      <c r="L97" s="606" t="s">
        <v>653</v>
      </c>
      <c r="M97" s="609"/>
    </row>
    <row r="98" spans="1:13" s="603" customFormat="1" hidden="1">
      <c r="A98" s="604"/>
      <c r="B98" s="605"/>
      <c r="C98" s="424"/>
      <c r="D98" s="606" t="s">
        <v>33</v>
      </c>
      <c r="E98" s="605" t="s">
        <v>580</v>
      </c>
      <c r="F98" s="607">
        <v>30000</v>
      </c>
      <c r="G98" s="605" t="s">
        <v>640</v>
      </c>
      <c r="H98" s="605">
        <v>1</v>
      </c>
      <c r="I98" s="605"/>
      <c r="J98" s="608">
        <v>2.87</v>
      </c>
      <c r="K98" s="699">
        <f t="shared" si="1"/>
        <v>2.87</v>
      </c>
      <c r="L98" s="606" t="s">
        <v>653</v>
      </c>
      <c r="M98" s="609"/>
    </row>
    <row r="99" spans="1:13" s="603" customFormat="1" hidden="1">
      <c r="A99" s="604"/>
      <c r="B99" s="605"/>
      <c r="C99" s="424"/>
      <c r="D99" s="606" t="s">
        <v>33</v>
      </c>
      <c r="E99" s="605" t="s">
        <v>580</v>
      </c>
      <c r="F99" s="607">
        <v>50000</v>
      </c>
      <c r="G99" s="605" t="s">
        <v>640</v>
      </c>
      <c r="H99" s="605">
        <v>1</v>
      </c>
      <c r="I99" s="605"/>
      <c r="J99" s="608">
        <v>2.7</v>
      </c>
      <c r="K99" s="699">
        <f t="shared" si="1"/>
        <v>2.7</v>
      </c>
      <c r="L99" s="606" t="s">
        <v>653</v>
      </c>
      <c r="M99" s="609"/>
    </row>
    <row r="100" spans="1:13" s="603" customFormat="1" hidden="1">
      <c r="A100" s="604"/>
      <c r="B100" s="605"/>
      <c r="C100" s="424"/>
      <c r="D100" s="606" t="s">
        <v>33</v>
      </c>
      <c r="E100" s="605" t="s">
        <v>580</v>
      </c>
      <c r="F100" s="607">
        <v>100000</v>
      </c>
      <c r="G100" s="605" t="s">
        <v>640</v>
      </c>
      <c r="H100" s="605">
        <v>1</v>
      </c>
      <c r="I100" s="605"/>
      <c r="J100" s="608">
        <v>2.6</v>
      </c>
      <c r="K100" s="699">
        <f t="shared" si="1"/>
        <v>2.6</v>
      </c>
      <c r="L100" s="606" t="s">
        <v>653</v>
      </c>
      <c r="M100" s="609"/>
    </row>
    <row r="101" spans="1:13" s="603" customFormat="1" ht="15.6" hidden="1" thickBot="1">
      <c r="A101" s="610"/>
      <c r="B101" s="611"/>
      <c r="C101" s="425"/>
      <c r="D101" s="612" t="s">
        <v>33</v>
      </c>
      <c r="E101" s="611" t="s">
        <v>580</v>
      </c>
      <c r="F101" s="613">
        <v>200000</v>
      </c>
      <c r="G101" s="611" t="s">
        <v>640</v>
      </c>
      <c r="H101" s="611">
        <v>1</v>
      </c>
      <c r="I101" s="611"/>
      <c r="J101" s="614">
        <v>2.57</v>
      </c>
      <c r="K101" s="702">
        <f t="shared" si="1"/>
        <v>2.57</v>
      </c>
      <c r="L101" s="612" t="s">
        <v>653</v>
      </c>
      <c r="M101" s="615"/>
    </row>
    <row r="102" spans="1:13" s="603" customFormat="1" hidden="1">
      <c r="A102" s="597" t="s">
        <v>760</v>
      </c>
      <c r="B102" s="598" t="s">
        <v>761</v>
      </c>
      <c r="C102" s="423" t="s">
        <v>762</v>
      </c>
      <c r="D102" s="599" t="s">
        <v>33</v>
      </c>
      <c r="E102" s="598" t="s">
        <v>580</v>
      </c>
      <c r="F102" s="600">
        <v>0</v>
      </c>
      <c r="G102" s="598" t="s">
        <v>763</v>
      </c>
      <c r="H102" s="598">
        <v>1</v>
      </c>
      <c r="I102" s="598"/>
      <c r="J102" s="601">
        <v>2.2999999999999998</v>
      </c>
      <c r="K102" s="701">
        <f t="shared" ref="K102:K107" si="13">J102/H102</f>
        <v>2.2999999999999998</v>
      </c>
      <c r="L102" s="599" t="s">
        <v>764</v>
      </c>
      <c r="M102" s="602"/>
    </row>
    <row r="103" spans="1:13" s="603" customFormat="1" hidden="1">
      <c r="A103" s="604"/>
      <c r="B103" s="605"/>
      <c r="C103" s="424"/>
      <c r="D103" s="606" t="s">
        <v>33</v>
      </c>
      <c r="E103" s="605" t="s">
        <v>580</v>
      </c>
      <c r="F103" s="607">
        <v>20000</v>
      </c>
      <c r="G103" s="605" t="s">
        <v>436</v>
      </c>
      <c r="H103" s="605">
        <v>1</v>
      </c>
      <c r="I103" s="605"/>
      <c r="J103" s="608">
        <v>2.2999999999999998</v>
      </c>
      <c r="K103" s="699">
        <f t="shared" si="13"/>
        <v>2.2999999999999998</v>
      </c>
      <c r="L103" s="606" t="s">
        <v>192</v>
      </c>
      <c r="M103" s="609"/>
    </row>
    <row r="104" spans="1:13" s="603" customFormat="1" hidden="1">
      <c r="A104" s="604"/>
      <c r="B104" s="605"/>
      <c r="C104" s="424"/>
      <c r="D104" s="606" t="s">
        <v>33</v>
      </c>
      <c r="E104" s="605" t="s">
        <v>580</v>
      </c>
      <c r="F104" s="607">
        <v>30000</v>
      </c>
      <c r="G104" s="605" t="s">
        <v>436</v>
      </c>
      <c r="H104" s="605">
        <v>1</v>
      </c>
      <c r="I104" s="605"/>
      <c r="J104" s="608">
        <v>2.2999999999999998</v>
      </c>
      <c r="K104" s="699">
        <f t="shared" si="13"/>
        <v>2.2999999999999998</v>
      </c>
      <c r="L104" s="606" t="s">
        <v>192</v>
      </c>
      <c r="M104" s="609"/>
    </row>
    <row r="105" spans="1:13" s="603" customFormat="1" hidden="1">
      <c r="A105" s="604"/>
      <c r="B105" s="605"/>
      <c r="C105" s="424"/>
      <c r="D105" s="606" t="s">
        <v>33</v>
      </c>
      <c r="E105" s="605" t="s">
        <v>580</v>
      </c>
      <c r="F105" s="607">
        <v>50000</v>
      </c>
      <c r="G105" s="605" t="s">
        <v>436</v>
      </c>
      <c r="H105" s="605">
        <v>1</v>
      </c>
      <c r="I105" s="605"/>
      <c r="J105" s="608">
        <v>2.15</v>
      </c>
      <c r="K105" s="699">
        <f t="shared" si="13"/>
        <v>2.15</v>
      </c>
      <c r="L105" s="606" t="s">
        <v>192</v>
      </c>
      <c r="M105" s="609"/>
    </row>
    <row r="106" spans="1:13" s="603" customFormat="1" hidden="1">
      <c r="A106" s="604"/>
      <c r="B106" s="605"/>
      <c r="C106" s="424"/>
      <c r="D106" s="606" t="s">
        <v>33</v>
      </c>
      <c r="E106" s="605" t="s">
        <v>580</v>
      </c>
      <c r="F106" s="607">
        <v>100000</v>
      </c>
      <c r="G106" s="605" t="s">
        <v>436</v>
      </c>
      <c r="H106" s="605">
        <v>1</v>
      </c>
      <c r="I106" s="605"/>
      <c r="J106" s="608">
        <v>2.0499999999999998</v>
      </c>
      <c r="K106" s="699">
        <f t="shared" si="13"/>
        <v>2.0499999999999998</v>
      </c>
      <c r="L106" s="606" t="s">
        <v>192</v>
      </c>
      <c r="M106" s="609"/>
    </row>
    <row r="107" spans="1:13" s="603" customFormat="1" ht="15.6" hidden="1" thickBot="1">
      <c r="A107" s="610"/>
      <c r="B107" s="611"/>
      <c r="C107" s="425"/>
      <c r="D107" s="612" t="s">
        <v>33</v>
      </c>
      <c r="E107" s="611" t="s">
        <v>580</v>
      </c>
      <c r="F107" s="613">
        <v>200000</v>
      </c>
      <c r="G107" s="611" t="s">
        <v>763</v>
      </c>
      <c r="H107" s="611">
        <v>1</v>
      </c>
      <c r="I107" s="611"/>
      <c r="J107" s="614">
        <v>2.0499999999999998</v>
      </c>
      <c r="K107" s="702">
        <f t="shared" si="13"/>
        <v>2.0499999999999998</v>
      </c>
      <c r="L107" s="612" t="s">
        <v>764</v>
      </c>
      <c r="M107" s="615"/>
    </row>
    <row r="108" spans="1:13" s="603" customFormat="1" hidden="1">
      <c r="A108" s="597" t="s">
        <v>768</v>
      </c>
      <c r="B108" s="598" t="s">
        <v>769</v>
      </c>
      <c r="C108" s="423" t="s">
        <v>770</v>
      </c>
      <c r="D108" s="599" t="s">
        <v>33</v>
      </c>
      <c r="E108" s="598" t="s">
        <v>580</v>
      </c>
      <c r="F108" s="600">
        <v>0</v>
      </c>
      <c r="G108" s="598" t="s">
        <v>763</v>
      </c>
      <c r="H108" s="598">
        <v>1</v>
      </c>
      <c r="I108" s="598"/>
      <c r="J108" s="601">
        <v>2.57</v>
      </c>
      <c r="K108" s="701">
        <f t="shared" si="1"/>
        <v>2.57</v>
      </c>
      <c r="L108" s="599" t="s">
        <v>764</v>
      </c>
      <c r="M108" s="602"/>
    </row>
    <row r="109" spans="1:13" s="603" customFormat="1" ht="15.6" hidden="1" thickBot="1">
      <c r="A109" s="610"/>
      <c r="B109" s="611"/>
      <c r="C109" s="425"/>
      <c r="D109" s="612" t="s">
        <v>33</v>
      </c>
      <c r="E109" s="611" t="s">
        <v>580</v>
      </c>
      <c r="F109" s="613">
        <v>200000</v>
      </c>
      <c r="G109" s="611" t="s">
        <v>436</v>
      </c>
      <c r="H109" s="611">
        <v>1</v>
      </c>
      <c r="I109" s="611"/>
      <c r="J109" s="614">
        <v>2.57</v>
      </c>
      <c r="K109" s="702">
        <f t="shared" si="1"/>
        <v>2.57</v>
      </c>
      <c r="L109" s="612" t="s">
        <v>192</v>
      </c>
      <c r="M109" s="615"/>
    </row>
    <row r="110" spans="1:13" s="603" customFormat="1" hidden="1">
      <c r="A110" s="597" t="s">
        <v>765</v>
      </c>
      <c r="B110" s="598" t="s">
        <v>766</v>
      </c>
      <c r="C110" s="423" t="s">
        <v>767</v>
      </c>
      <c r="D110" s="599" t="s">
        <v>33</v>
      </c>
      <c r="E110" s="598" t="s">
        <v>580</v>
      </c>
      <c r="F110" s="600">
        <v>0</v>
      </c>
      <c r="G110" s="598" t="s">
        <v>763</v>
      </c>
      <c r="H110" s="598">
        <v>1</v>
      </c>
      <c r="I110" s="598"/>
      <c r="J110" s="601">
        <v>3.08</v>
      </c>
      <c r="K110" s="701">
        <f t="shared" ref="K110:K126" si="14">J110/H110</f>
        <v>3.08</v>
      </c>
      <c r="L110" s="599" t="s">
        <v>764</v>
      </c>
      <c r="M110" s="602"/>
    </row>
    <row r="111" spans="1:13" s="603" customFormat="1" hidden="1">
      <c r="A111" s="604"/>
      <c r="B111" s="605"/>
      <c r="C111" s="424"/>
      <c r="D111" s="606" t="s">
        <v>33</v>
      </c>
      <c r="E111" s="605" t="s">
        <v>580</v>
      </c>
      <c r="F111" s="607">
        <v>10000</v>
      </c>
      <c r="G111" s="605" t="s">
        <v>436</v>
      </c>
      <c r="H111" s="605">
        <v>1</v>
      </c>
      <c r="I111" s="605"/>
      <c r="J111" s="608">
        <v>3.08</v>
      </c>
      <c r="K111" s="699">
        <f t="shared" si="14"/>
        <v>3.08</v>
      </c>
      <c r="L111" s="606" t="s">
        <v>192</v>
      </c>
      <c r="M111" s="609"/>
    </row>
    <row r="112" spans="1:13" s="603" customFormat="1" hidden="1">
      <c r="A112" s="604"/>
      <c r="B112" s="605"/>
      <c r="C112" s="424"/>
      <c r="D112" s="606" t="s">
        <v>33</v>
      </c>
      <c r="E112" s="605" t="s">
        <v>580</v>
      </c>
      <c r="F112" s="607">
        <v>20000</v>
      </c>
      <c r="G112" s="605" t="s">
        <v>436</v>
      </c>
      <c r="H112" s="605">
        <v>1</v>
      </c>
      <c r="I112" s="605"/>
      <c r="J112" s="608">
        <v>2.87</v>
      </c>
      <c r="K112" s="699">
        <f t="shared" si="14"/>
        <v>2.87</v>
      </c>
      <c r="L112" s="606" t="s">
        <v>192</v>
      </c>
      <c r="M112" s="609"/>
    </row>
    <row r="113" spans="1:13" s="603" customFormat="1" hidden="1">
      <c r="A113" s="604"/>
      <c r="B113" s="605"/>
      <c r="C113" s="424"/>
      <c r="D113" s="606" t="s">
        <v>33</v>
      </c>
      <c r="E113" s="605" t="s">
        <v>580</v>
      </c>
      <c r="F113" s="607">
        <v>30000</v>
      </c>
      <c r="G113" s="605" t="s">
        <v>436</v>
      </c>
      <c r="H113" s="605">
        <v>1</v>
      </c>
      <c r="I113" s="605"/>
      <c r="J113" s="608">
        <v>2.87</v>
      </c>
      <c r="K113" s="699">
        <f t="shared" si="14"/>
        <v>2.87</v>
      </c>
      <c r="L113" s="606" t="s">
        <v>192</v>
      </c>
      <c r="M113" s="609"/>
    </row>
    <row r="114" spans="1:13" s="603" customFormat="1" hidden="1">
      <c r="A114" s="604"/>
      <c r="B114" s="605"/>
      <c r="C114" s="424"/>
      <c r="D114" s="606" t="s">
        <v>33</v>
      </c>
      <c r="E114" s="605" t="s">
        <v>580</v>
      </c>
      <c r="F114" s="607">
        <v>50000</v>
      </c>
      <c r="G114" s="605" t="s">
        <v>436</v>
      </c>
      <c r="H114" s="605">
        <v>1</v>
      </c>
      <c r="I114" s="605"/>
      <c r="J114" s="608">
        <v>2.7</v>
      </c>
      <c r="K114" s="699">
        <f t="shared" si="14"/>
        <v>2.7</v>
      </c>
      <c r="L114" s="606" t="s">
        <v>192</v>
      </c>
      <c r="M114" s="609"/>
    </row>
    <row r="115" spans="1:13" s="603" customFormat="1" hidden="1">
      <c r="A115" s="604"/>
      <c r="B115" s="605"/>
      <c r="C115" s="424"/>
      <c r="D115" s="606" t="s">
        <v>33</v>
      </c>
      <c r="E115" s="605" t="s">
        <v>580</v>
      </c>
      <c r="F115" s="607">
        <v>100000</v>
      </c>
      <c r="G115" s="605" t="s">
        <v>436</v>
      </c>
      <c r="H115" s="605">
        <v>1</v>
      </c>
      <c r="I115" s="605"/>
      <c r="J115" s="608">
        <v>2.6</v>
      </c>
      <c r="K115" s="699">
        <f t="shared" si="14"/>
        <v>2.6</v>
      </c>
      <c r="L115" s="606" t="s">
        <v>192</v>
      </c>
      <c r="M115" s="609"/>
    </row>
    <row r="116" spans="1:13" s="603" customFormat="1" ht="15.6" hidden="1" thickBot="1">
      <c r="A116" s="610"/>
      <c r="B116" s="611"/>
      <c r="C116" s="425"/>
      <c r="D116" s="612" t="s">
        <v>33</v>
      </c>
      <c r="E116" s="611" t="s">
        <v>580</v>
      </c>
      <c r="F116" s="613">
        <v>200000</v>
      </c>
      <c r="G116" s="611" t="s">
        <v>763</v>
      </c>
      <c r="H116" s="611">
        <v>1</v>
      </c>
      <c r="I116" s="611"/>
      <c r="J116" s="614">
        <v>2.57</v>
      </c>
      <c r="K116" s="702">
        <f t="shared" si="14"/>
        <v>2.57</v>
      </c>
      <c r="L116" s="612" t="s">
        <v>764</v>
      </c>
      <c r="M116" s="615"/>
    </row>
    <row r="117" spans="1:13" s="603" customFormat="1" hidden="1">
      <c r="A117" s="597" t="s">
        <v>771</v>
      </c>
      <c r="B117" s="598" t="s">
        <v>772</v>
      </c>
      <c r="C117" s="423" t="s">
        <v>773</v>
      </c>
      <c r="D117" s="599" t="s">
        <v>656</v>
      </c>
      <c r="E117" s="598" t="s">
        <v>580</v>
      </c>
      <c r="F117" s="600">
        <v>0</v>
      </c>
      <c r="G117" s="598" t="s">
        <v>763</v>
      </c>
      <c r="H117" s="598">
        <v>1</v>
      </c>
      <c r="I117" s="598"/>
      <c r="J117" s="601">
        <v>3.1</v>
      </c>
      <c r="K117" s="701">
        <f t="shared" si="14"/>
        <v>3.1</v>
      </c>
      <c r="L117" s="599" t="s">
        <v>764</v>
      </c>
      <c r="M117" s="602"/>
    </row>
    <row r="118" spans="1:13" s="603" customFormat="1" hidden="1">
      <c r="A118" s="604"/>
      <c r="B118" s="605"/>
      <c r="C118" s="424"/>
      <c r="D118" s="606" t="s">
        <v>33</v>
      </c>
      <c r="E118" s="605" t="s">
        <v>580</v>
      </c>
      <c r="F118" s="607">
        <v>2000</v>
      </c>
      <c r="G118" s="605" t="s">
        <v>436</v>
      </c>
      <c r="H118" s="605">
        <v>1</v>
      </c>
      <c r="I118" s="605"/>
      <c r="J118" s="608">
        <v>3.1</v>
      </c>
      <c r="K118" s="699">
        <f t="shared" si="14"/>
        <v>3.1</v>
      </c>
      <c r="L118" s="606" t="s">
        <v>192</v>
      </c>
      <c r="M118" s="609"/>
    </row>
    <row r="119" spans="1:13" s="603" customFormat="1" hidden="1">
      <c r="A119" s="604"/>
      <c r="B119" s="605"/>
      <c r="C119" s="424"/>
      <c r="D119" s="606" t="s">
        <v>33</v>
      </c>
      <c r="E119" s="605" t="s">
        <v>580</v>
      </c>
      <c r="F119" s="607">
        <v>3000</v>
      </c>
      <c r="G119" s="605" t="s">
        <v>436</v>
      </c>
      <c r="H119" s="605">
        <v>1</v>
      </c>
      <c r="I119" s="605"/>
      <c r="J119" s="608">
        <v>3.1</v>
      </c>
      <c r="K119" s="699">
        <f t="shared" si="14"/>
        <v>3.1</v>
      </c>
      <c r="L119" s="606" t="s">
        <v>192</v>
      </c>
      <c r="M119" s="609"/>
    </row>
    <row r="120" spans="1:13" s="603" customFormat="1" hidden="1">
      <c r="A120" s="604"/>
      <c r="B120" s="605"/>
      <c r="C120" s="424"/>
      <c r="D120" s="606" t="s">
        <v>33</v>
      </c>
      <c r="E120" s="605" t="s">
        <v>580</v>
      </c>
      <c r="F120" s="607">
        <v>5000</v>
      </c>
      <c r="G120" s="605" t="s">
        <v>436</v>
      </c>
      <c r="H120" s="605">
        <v>1</v>
      </c>
      <c r="I120" s="605"/>
      <c r="J120" s="608">
        <v>2.8</v>
      </c>
      <c r="K120" s="699">
        <f t="shared" si="14"/>
        <v>2.8</v>
      </c>
      <c r="L120" s="606" t="s">
        <v>192</v>
      </c>
      <c r="M120" s="609"/>
    </row>
    <row r="121" spans="1:13" s="603" customFormat="1" hidden="1">
      <c r="A121" s="604"/>
      <c r="B121" s="605"/>
      <c r="C121" s="424"/>
      <c r="D121" s="606" t="s">
        <v>33</v>
      </c>
      <c r="E121" s="605" t="s">
        <v>580</v>
      </c>
      <c r="F121" s="607">
        <v>10000</v>
      </c>
      <c r="G121" s="605" t="s">
        <v>436</v>
      </c>
      <c r="H121" s="605">
        <v>1</v>
      </c>
      <c r="I121" s="605"/>
      <c r="J121" s="608">
        <v>2.6</v>
      </c>
      <c r="K121" s="699">
        <f t="shared" si="14"/>
        <v>2.6</v>
      </c>
      <c r="L121" s="606" t="s">
        <v>192</v>
      </c>
      <c r="M121" s="609"/>
    </row>
    <row r="122" spans="1:13" s="603" customFormat="1" hidden="1">
      <c r="A122" s="604"/>
      <c r="B122" s="605"/>
      <c r="C122" s="424"/>
      <c r="D122" s="606" t="s">
        <v>33</v>
      </c>
      <c r="E122" s="605" t="s">
        <v>580</v>
      </c>
      <c r="F122" s="607">
        <v>20000</v>
      </c>
      <c r="G122" s="605" t="s">
        <v>436</v>
      </c>
      <c r="H122" s="605">
        <v>1</v>
      </c>
      <c r="I122" s="605"/>
      <c r="J122" s="608">
        <v>2.2999999999999998</v>
      </c>
      <c r="K122" s="699">
        <f t="shared" si="14"/>
        <v>2.2999999999999998</v>
      </c>
      <c r="L122" s="606" t="s">
        <v>192</v>
      </c>
      <c r="M122" s="609"/>
    </row>
    <row r="123" spans="1:13" s="603" customFormat="1" hidden="1">
      <c r="A123" s="604"/>
      <c r="B123" s="605"/>
      <c r="C123" s="424"/>
      <c r="D123" s="606" t="s">
        <v>33</v>
      </c>
      <c r="E123" s="605" t="s">
        <v>580</v>
      </c>
      <c r="F123" s="607">
        <v>30000</v>
      </c>
      <c r="G123" s="605" t="s">
        <v>436</v>
      </c>
      <c r="H123" s="605">
        <v>1</v>
      </c>
      <c r="I123" s="605"/>
      <c r="J123" s="608">
        <v>2.2999999999999998</v>
      </c>
      <c r="K123" s="699">
        <f t="shared" si="14"/>
        <v>2.2999999999999998</v>
      </c>
      <c r="L123" s="606" t="s">
        <v>192</v>
      </c>
      <c r="M123" s="609"/>
    </row>
    <row r="124" spans="1:13" s="603" customFormat="1" hidden="1">
      <c r="A124" s="604"/>
      <c r="B124" s="605"/>
      <c r="C124" s="424"/>
      <c r="D124" s="606" t="s">
        <v>33</v>
      </c>
      <c r="E124" s="605" t="s">
        <v>580</v>
      </c>
      <c r="F124" s="607">
        <v>50000</v>
      </c>
      <c r="G124" s="605" t="s">
        <v>436</v>
      </c>
      <c r="H124" s="605">
        <v>1</v>
      </c>
      <c r="I124" s="605"/>
      <c r="J124" s="608">
        <v>2.15</v>
      </c>
      <c r="K124" s="699">
        <f t="shared" si="14"/>
        <v>2.15</v>
      </c>
      <c r="L124" s="606" t="s">
        <v>192</v>
      </c>
      <c r="M124" s="609"/>
    </row>
    <row r="125" spans="1:13" s="603" customFormat="1" hidden="1">
      <c r="A125" s="604"/>
      <c r="B125" s="605"/>
      <c r="C125" s="424"/>
      <c r="D125" s="606" t="s">
        <v>33</v>
      </c>
      <c r="E125" s="605" t="s">
        <v>580</v>
      </c>
      <c r="F125" s="607">
        <v>100000</v>
      </c>
      <c r="G125" s="605" t="s">
        <v>436</v>
      </c>
      <c r="H125" s="605">
        <v>1</v>
      </c>
      <c r="I125" s="605"/>
      <c r="J125" s="608">
        <v>2.0499999999999998</v>
      </c>
      <c r="K125" s="699">
        <f t="shared" si="14"/>
        <v>2.0499999999999998</v>
      </c>
      <c r="L125" s="606" t="s">
        <v>192</v>
      </c>
      <c r="M125" s="609"/>
    </row>
    <row r="126" spans="1:13" s="603" customFormat="1" ht="15.6" hidden="1" thickBot="1">
      <c r="A126" s="610"/>
      <c r="B126" s="611"/>
      <c r="C126" s="425"/>
      <c r="D126" s="612" t="s">
        <v>33</v>
      </c>
      <c r="E126" s="611" t="s">
        <v>580</v>
      </c>
      <c r="F126" s="613">
        <v>200000</v>
      </c>
      <c r="G126" s="611" t="s">
        <v>763</v>
      </c>
      <c r="H126" s="611">
        <v>1</v>
      </c>
      <c r="I126" s="611"/>
      <c r="J126" s="614">
        <v>2.0499999999999998</v>
      </c>
      <c r="K126" s="702">
        <f t="shared" si="14"/>
        <v>2.0499999999999998</v>
      </c>
      <c r="L126" s="612" t="s">
        <v>764</v>
      </c>
      <c r="M126" s="615"/>
    </row>
    <row r="127" spans="1:13" s="603" customFormat="1" hidden="1">
      <c r="A127" s="597" t="s">
        <v>774</v>
      </c>
      <c r="B127" s="598" t="s">
        <v>775</v>
      </c>
      <c r="C127" s="423" t="s">
        <v>776</v>
      </c>
      <c r="D127" s="599" t="s">
        <v>33</v>
      </c>
      <c r="E127" s="598" t="s">
        <v>580</v>
      </c>
      <c r="F127" s="600">
        <v>0</v>
      </c>
      <c r="G127" s="598" t="s">
        <v>763</v>
      </c>
      <c r="H127" s="598">
        <v>1</v>
      </c>
      <c r="I127" s="598"/>
      <c r="J127" s="601">
        <v>2.6</v>
      </c>
      <c r="K127" s="701">
        <f t="shared" ref="K127:K136" si="15">J127/H127</f>
        <v>2.6</v>
      </c>
      <c r="L127" s="599" t="s">
        <v>764</v>
      </c>
      <c r="M127" s="602"/>
    </row>
    <row r="128" spans="1:13" s="603" customFormat="1" hidden="1">
      <c r="A128" s="604"/>
      <c r="B128" s="605"/>
      <c r="C128" s="424"/>
      <c r="D128" s="606" t="s">
        <v>33</v>
      </c>
      <c r="E128" s="605" t="s">
        <v>580</v>
      </c>
      <c r="F128" s="607">
        <v>5000</v>
      </c>
      <c r="G128" s="605" t="s">
        <v>436</v>
      </c>
      <c r="H128" s="605">
        <v>1</v>
      </c>
      <c r="I128" s="605"/>
      <c r="J128" s="608">
        <v>2.6</v>
      </c>
      <c r="K128" s="699">
        <f t="shared" si="15"/>
        <v>2.6</v>
      </c>
      <c r="L128" s="606" t="s">
        <v>192</v>
      </c>
      <c r="M128" s="609"/>
    </row>
    <row r="129" spans="1:13" s="603" customFormat="1" hidden="1">
      <c r="A129" s="604"/>
      <c r="B129" s="605"/>
      <c r="C129" s="424"/>
      <c r="D129" s="606" t="s">
        <v>33</v>
      </c>
      <c r="E129" s="605" t="s">
        <v>580</v>
      </c>
      <c r="F129" s="607">
        <v>10000</v>
      </c>
      <c r="G129" s="605" t="s">
        <v>436</v>
      </c>
      <c r="H129" s="605">
        <v>1</v>
      </c>
      <c r="I129" s="605"/>
      <c r="J129" s="608">
        <v>2.25</v>
      </c>
      <c r="K129" s="699">
        <f t="shared" si="15"/>
        <v>2.25</v>
      </c>
      <c r="L129" s="606" t="s">
        <v>192</v>
      </c>
      <c r="M129" s="609"/>
    </row>
    <row r="130" spans="1:13" s="603" customFormat="1" hidden="1">
      <c r="A130" s="604"/>
      <c r="B130" s="605"/>
      <c r="C130" s="424"/>
      <c r="D130" s="606" t="s">
        <v>33</v>
      </c>
      <c r="E130" s="605" t="s">
        <v>580</v>
      </c>
      <c r="F130" s="607">
        <v>20000</v>
      </c>
      <c r="G130" s="605" t="s">
        <v>436</v>
      </c>
      <c r="H130" s="605">
        <v>1</v>
      </c>
      <c r="I130" s="605"/>
      <c r="J130" s="608">
        <v>2.1</v>
      </c>
      <c r="K130" s="699">
        <f t="shared" si="15"/>
        <v>2.1</v>
      </c>
      <c r="L130" s="606" t="s">
        <v>192</v>
      </c>
      <c r="M130" s="609"/>
    </row>
    <row r="131" spans="1:13" s="603" customFormat="1" hidden="1">
      <c r="A131" s="604"/>
      <c r="B131" s="605"/>
      <c r="C131" s="424"/>
      <c r="D131" s="606" t="s">
        <v>33</v>
      </c>
      <c r="E131" s="605" t="s">
        <v>580</v>
      </c>
      <c r="F131" s="607">
        <v>30000</v>
      </c>
      <c r="G131" s="605" t="s">
        <v>436</v>
      </c>
      <c r="H131" s="605">
        <v>1</v>
      </c>
      <c r="I131" s="605"/>
      <c r="J131" s="608">
        <v>2.1</v>
      </c>
      <c r="K131" s="699">
        <f t="shared" si="15"/>
        <v>2.1</v>
      </c>
      <c r="L131" s="606" t="s">
        <v>192</v>
      </c>
      <c r="M131" s="609"/>
    </row>
    <row r="132" spans="1:13" s="603" customFormat="1" hidden="1">
      <c r="A132" s="604"/>
      <c r="B132" s="605"/>
      <c r="C132" s="424"/>
      <c r="D132" s="606" t="s">
        <v>33</v>
      </c>
      <c r="E132" s="605" t="s">
        <v>580</v>
      </c>
      <c r="F132" s="607">
        <v>50000</v>
      </c>
      <c r="G132" s="605" t="s">
        <v>436</v>
      </c>
      <c r="H132" s="605">
        <v>1</v>
      </c>
      <c r="I132" s="605"/>
      <c r="J132" s="608">
        <v>1.95</v>
      </c>
      <c r="K132" s="699">
        <f t="shared" si="15"/>
        <v>1.95</v>
      </c>
      <c r="L132" s="606" t="s">
        <v>192</v>
      </c>
      <c r="M132" s="609"/>
    </row>
    <row r="133" spans="1:13" s="603" customFormat="1" ht="15.6" hidden="1" thickBot="1">
      <c r="A133" s="610"/>
      <c r="B133" s="611"/>
      <c r="C133" s="425"/>
      <c r="D133" s="612" t="s">
        <v>33</v>
      </c>
      <c r="E133" s="611" t="s">
        <v>580</v>
      </c>
      <c r="F133" s="613">
        <v>100000</v>
      </c>
      <c r="G133" s="611" t="s">
        <v>763</v>
      </c>
      <c r="H133" s="611">
        <v>1</v>
      </c>
      <c r="I133" s="611"/>
      <c r="J133" s="614">
        <v>1.9</v>
      </c>
      <c r="K133" s="702">
        <f t="shared" si="15"/>
        <v>1.9</v>
      </c>
      <c r="L133" s="612" t="s">
        <v>764</v>
      </c>
      <c r="M133" s="615"/>
    </row>
    <row r="134" spans="1:13" s="603" customFormat="1" hidden="1">
      <c r="A134" s="597" t="s">
        <v>777</v>
      </c>
      <c r="B134" s="598" t="s">
        <v>778</v>
      </c>
      <c r="C134" s="423" t="s">
        <v>779</v>
      </c>
      <c r="D134" s="599" t="s">
        <v>33</v>
      </c>
      <c r="E134" s="598" t="s">
        <v>580</v>
      </c>
      <c r="F134" s="600">
        <v>0</v>
      </c>
      <c r="G134" s="598" t="s">
        <v>763</v>
      </c>
      <c r="H134" s="598">
        <v>1</v>
      </c>
      <c r="I134" s="598"/>
      <c r="J134" s="601">
        <v>2.6</v>
      </c>
      <c r="K134" s="701">
        <f t="shared" si="15"/>
        <v>2.6</v>
      </c>
      <c r="L134" s="599" t="s">
        <v>764</v>
      </c>
      <c r="M134" s="602"/>
    </row>
    <row r="135" spans="1:13" s="603" customFormat="1" ht="15.6" hidden="1" thickBot="1">
      <c r="A135" s="610"/>
      <c r="B135" s="611"/>
      <c r="C135" s="425"/>
      <c r="D135" s="612" t="s">
        <v>33</v>
      </c>
      <c r="E135" s="611" t="s">
        <v>580</v>
      </c>
      <c r="F135" s="613">
        <v>100000</v>
      </c>
      <c r="G135" s="611" t="s">
        <v>436</v>
      </c>
      <c r="H135" s="611">
        <v>1</v>
      </c>
      <c r="I135" s="611"/>
      <c r="J135" s="614">
        <v>2.6</v>
      </c>
      <c r="K135" s="702">
        <f t="shared" si="15"/>
        <v>2.6</v>
      </c>
      <c r="L135" s="612" t="s">
        <v>192</v>
      </c>
      <c r="M135" s="615"/>
    </row>
    <row r="136" spans="1:13" s="766" customFormat="1" ht="15.6" thickBot="1">
      <c r="A136" s="756" t="s">
        <v>826</v>
      </c>
      <c r="B136" s="757" t="s">
        <v>827</v>
      </c>
      <c r="C136" s="758" t="s">
        <v>888</v>
      </c>
      <c r="D136" s="759" t="s">
        <v>889</v>
      </c>
      <c r="E136" s="760" t="s">
        <v>890</v>
      </c>
      <c r="F136" s="761">
        <v>0</v>
      </c>
      <c r="G136" s="759" t="s">
        <v>891</v>
      </c>
      <c r="H136" s="762">
        <v>1</v>
      </c>
      <c r="I136" s="762"/>
      <c r="J136" s="763">
        <v>0.64</v>
      </c>
      <c r="K136" s="764">
        <f t="shared" si="15"/>
        <v>0.64</v>
      </c>
      <c r="L136" s="765" t="s">
        <v>892</v>
      </c>
      <c r="M136" s="919" t="s">
        <v>1029</v>
      </c>
    </row>
    <row r="137" spans="1:13" s="766" customFormat="1" ht="15.6" thickBot="1">
      <c r="A137" s="767" t="str">
        <f>A136</f>
        <v>PMD0390P0101</v>
      </c>
      <c r="B137" s="768"/>
      <c r="C137" s="769"/>
      <c r="D137" s="770" t="s">
        <v>889</v>
      </c>
      <c r="E137" s="771" t="s">
        <v>890</v>
      </c>
      <c r="F137" s="772">
        <v>300000</v>
      </c>
      <c r="G137" s="770" t="s">
        <v>891</v>
      </c>
      <c r="H137" s="773">
        <v>1</v>
      </c>
      <c r="I137" s="773"/>
      <c r="J137" s="774">
        <v>0.64</v>
      </c>
      <c r="K137" s="775">
        <f>J137/H137</f>
        <v>0.64</v>
      </c>
      <c r="L137" s="776" t="s">
        <v>892</v>
      </c>
      <c r="M137" s="919" t="s">
        <v>1029</v>
      </c>
    </row>
    <row r="138" spans="1:13" s="766" customFormat="1" ht="15.6" thickBot="1">
      <c r="A138" s="756" t="s">
        <v>893</v>
      </c>
      <c r="B138" s="757" t="s">
        <v>830</v>
      </c>
      <c r="C138" s="758" t="s">
        <v>894</v>
      </c>
      <c r="D138" s="759" t="s">
        <v>889</v>
      </c>
      <c r="E138" s="760" t="s">
        <v>890</v>
      </c>
      <c r="F138" s="761">
        <v>0</v>
      </c>
      <c r="G138" s="759" t="s">
        <v>891</v>
      </c>
      <c r="H138" s="762">
        <v>1</v>
      </c>
      <c r="I138" s="762"/>
      <c r="J138" s="763">
        <v>2.6705000000000001</v>
      </c>
      <c r="K138" s="764">
        <f t="shared" ref="K138:K151" si="16">J138/H138</f>
        <v>2.6705000000000001</v>
      </c>
      <c r="L138" s="765" t="s">
        <v>892</v>
      </c>
      <c r="M138" s="919" t="s">
        <v>1029</v>
      </c>
    </row>
    <row r="139" spans="1:13" s="766" customFormat="1" ht="15.6" thickBot="1">
      <c r="A139" s="767" t="str">
        <f>A138</f>
        <v>PBD1534P0101</v>
      </c>
      <c r="B139" s="768"/>
      <c r="C139" s="769"/>
      <c r="D139" s="770"/>
      <c r="E139" s="771" t="s">
        <v>890</v>
      </c>
      <c r="F139" s="772">
        <v>200000</v>
      </c>
      <c r="G139" s="770" t="s">
        <v>891</v>
      </c>
      <c r="H139" s="773">
        <v>1</v>
      </c>
      <c r="I139" s="773"/>
      <c r="J139" s="774">
        <v>2.6705000000000001</v>
      </c>
      <c r="K139" s="775">
        <f t="shared" si="16"/>
        <v>2.6705000000000001</v>
      </c>
      <c r="L139" s="776" t="s">
        <v>892</v>
      </c>
      <c r="M139" s="919" t="s">
        <v>1029</v>
      </c>
    </row>
    <row r="140" spans="1:13" s="766" customFormat="1" ht="15.6" thickBot="1">
      <c r="A140" s="777" t="s">
        <v>901</v>
      </c>
      <c r="B140" s="778" t="s">
        <v>834</v>
      </c>
      <c r="C140" s="779" t="s">
        <v>902</v>
      </c>
      <c r="D140" s="780" t="s">
        <v>828</v>
      </c>
      <c r="E140" s="781" t="s">
        <v>829</v>
      </c>
      <c r="F140" s="782">
        <v>0</v>
      </c>
      <c r="G140" s="780" t="s">
        <v>763</v>
      </c>
      <c r="H140" s="783">
        <v>1</v>
      </c>
      <c r="I140" s="783"/>
      <c r="J140" s="784">
        <v>2.8340000000000001</v>
      </c>
      <c r="K140" s="785">
        <f>J140/H140</f>
        <v>2.8340000000000001</v>
      </c>
      <c r="L140" s="786" t="s">
        <v>553</v>
      </c>
      <c r="M140" s="919" t="s">
        <v>1029</v>
      </c>
    </row>
    <row r="141" spans="1:13" s="766" customFormat="1" ht="15.6" thickBot="1">
      <c r="A141" s="787" t="str">
        <f t="shared" ref="A141:A144" si="17">A140</f>
        <v>PBD1535P0101</v>
      </c>
      <c r="B141" s="788"/>
      <c r="C141" s="789"/>
      <c r="D141" s="790" t="s">
        <v>828</v>
      </c>
      <c r="E141" s="791" t="s">
        <v>829</v>
      </c>
      <c r="F141" s="792">
        <v>30000</v>
      </c>
      <c r="G141" s="790" t="s">
        <v>763</v>
      </c>
      <c r="H141" s="793">
        <v>1</v>
      </c>
      <c r="I141" s="793"/>
      <c r="J141" s="794"/>
      <c r="K141" s="754"/>
      <c r="L141" s="795" t="s">
        <v>553</v>
      </c>
      <c r="M141" s="919" t="s">
        <v>1029</v>
      </c>
    </row>
    <row r="142" spans="1:13" s="766" customFormat="1" ht="15.6" thickBot="1">
      <c r="A142" s="787" t="str">
        <f t="shared" si="17"/>
        <v>PBD1535P0101</v>
      </c>
      <c r="B142" s="788"/>
      <c r="C142" s="789"/>
      <c r="D142" s="790" t="s">
        <v>828</v>
      </c>
      <c r="E142" s="791" t="s">
        <v>829</v>
      </c>
      <c r="F142" s="792">
        <v>50000</v>
      </c>
      <c r="G142" s="790" t="s">
        <v>763</v>
      </c>
      <c r="H142" s="793">
        <v>1</v>
      </c>
      <c r="I142" s="793"/>
      <c r="J142" s="794">
        <v>2.8340000000000001</v>
      </c>
      <c r="K142" s="754">
        <f t="shared" ref="K142:K144" si="18">J142/H142</f>
        <v>2.8340000000000001</v>
      </c>
      <c r="L142" s="795" t="s">
        <v>553</v>
      </c>
      <c r="M142" s="919" t="s">
        <v>1029</v>
      </c>
    </row>
    <row r="143" spans="1:13" s="766" customFormat="1" ht="15.6" thickBot="1">
      <c r="A143" s="787" t="str">
        <f t="shared" si="17"/>
        <v>PBD1535P0101</v>
      </c>
      <c r="B143" s="788"/>
      <c r="C143" s="789"/>
      <c r="D143" s="790" t="s">
        <v>828</v>
      </c>
      <c r="E143" s="791" t="s">
        <v>829</v>
      </c>
      <c r="F143" s="792">
        <v>100000</v>
      </c>
      <c r="G143" s="790" t="s">
        <v>763</v>
      </c>
      <c r="H143" s="793">
        <v>1</v>
      </c>
      <c r="I143" s="793"/>
      <c r="J143" s="794">
        <v>2.7250000000000001</v>
      </c>
      <c r="K143" s="754">
        <f t="shared" si="18"/>
        <v>2.7250000000000001</v>
      </c>
      <c r="L143" s="795" t="s">
        <v>553</v>
      </c>
      <c r="M143" s="919" t="s">
        <v>1029</v>
      </c>
    </row>
    <row r="144" spans="1:13" s="766" customFormat="1" ht="15.6" thickBot="1">
      <c r="A144" s="796" t="str">
        <f t="shared" si="17"/>
        <v>PBD1535P0101</v>
      </c>
      <c r="B144" s="797"/>
      <c r="C144" s="798"/>
      <c r="D144" s="799" t="s">
        <v>828</v>
      </c>
      <c r="E144" s="800" t="s">
        <v>829</v>
      </c>
      <c r="F144" s="801">
        <v>200000</v>
      </c>
      <c r="G144" s="799" t="s">
        <v>763</v>
      </c>
      <c r="H144" s="802">
        <v>1</v>
      </c>
      <c r="I144" s="802"/>
      <c r="J144" s="803">
        <v>2.6705000000000001</v>
      </c>
      <c r="K144" s="804">
        <f t="shared" si="18"/>
        <v>2.6705000000000001</v>
      </c>
      <c r="L144" s="805" t="s">
        <v>553</v>
      </c>
      <c r="M144" s="919" t="s">
        <v>1029</v>
      </c>
    </row>
    <row r="145" spans="1:13" s="766" customFormat="1" ht="15.6" thickBot="1">
      <c r="A145" s="777" t="s">
        <v>895</v>
      </c>
      <c r="B145" s="778" t="s">
        <v>831</v>
      </c>
      <c r="C145" s="779" t="s">
        <v>896</v>
      </c>
      <c r="D145" s="780" t="s">
        <v>889</v>
      </c>
      <c r="E145" s="781" t="s">
        <v>890</v>
      </c>
      <c r="F145" s="782">
        <v>0</v>
      </c>
      <c r="G145" s="780" t="s">
        <v>891</v>
      </c>
      <c r="H145" s="783">
        <v>1</v>
      </c>
      <c r="I145" s="783"/>
      <c r="J145" s="784">
        <v>2.5070000000000001</v>
      </c>
      <c r="K145" s="785">
        <f t="shared" si="16"/>
        <v>2.5070000000000001</v>
      </c>
      <c r="L145" s="786" t="s">
        <v>892</v>
      </c>
      <c r="M145" s="919" t="s">
        <v>1029</v>
      </c>
    </row>
    <row r="146" spans="1:13" s="766" customFormat="1" ht="15.6" thickBot="1">
      <c r="A146" s="787" t="str">
        <f t="shared" ref="A146:A150" si="19">A145</f>
        <v>PBD1536P0101</v>
      </c>
      <c r="B146" s="788"/>
      <c r="C146" s="789"/>
      <c r="D146" s="790" t="s">
        <v>889</v>
      </c>
      <c r="E146" s="791" t="s">
        <v>890</v>
      </c>
      <c r="F146" s="792">
        <v>20000</v>
      </c>
      <c r="G146" s="790" t="s">
        <v>891</v>
      </c>
      <c r="H146" s="793">
        <v>1</v>
      </c>
      <c r="I146" s="793"/>
      <c r="J146" s="794">
        <v>2.5070000000000001</v>
      </c>
      <c r="K146" s="754">
        <f t="shared" ref="K146:K150" si="20">J146/H146</f>
        <v>2.5070000000000001</v>
      </c>
      <c r="L146" s="795" t="s">
        <v>892</v>
      </c>
      <c r="M146" s="919" t="s">
        <v>1029</v>
      </c>
    </row>
    <row r="147" spans="1:13" s="766" customFormat="1" ht="15.6" thickBot="1">
      <c r="A147" s="787" t="str">
        <f t="shared" si="19"/>
        <v>PBD1536P0101</v>
      </c>
      <c r="B147" s="788"/>
      <c r="C147" s="789"/>
      <c r="D147" s="790" t="s">
        <v>889</v>
      </c>
      <c r="E147" s="791" t="s">
        <v>890</v>
      </c>
      <c r="F147" s="792">
        <v>30000</v>
      </c>
      <c r="G147" s="790" t="s">
        <v>891</v>
      </c>
      <c r="H147" s="793">
        <v>1</v>
      </c>
      <c r="I147" s="793"/>
      <c r="J147" s="794">
        <v>2.5070000000000001</v>
      </c>
      <c r="K147" s="754">
        <f t="shared" si="20"/>
        <v>2.5070000000000001</v>
      </c>
      <c r="L147" s="795" t="s">
        <v>892</v>
      </c>
      <c r="M147" s="919" t="s">
        <v>1029</v>
      </c>
    </row>
    <row r="148" spans="1:13" s="766" customFormat="1" ht="15.6" thickBot="1">
      <c r="A148" s="787" t="str">
        <f t="shared" si="19"/>
        <v>PBD1536P0101</v>
      </c>
      <c r="B148" s="788"/>
      <c r="C148" s="789"/>
      <c r="D148" s="790" t="s">
        <v>889</v>
      </c>
      <c r="E148" s="791" t="s">
        <v>890</v>
      </c>
      <c r="F148" s="792">
        <v>50000</v>
      </c>
      <c r="G148" s="790" t="s">
        <v>891</v>
      </c>
      <c r="H148" s="793">
        <v>1</v>
      </c>
      <c r="I148" s="793"/>
      <c r="J148" s="794">
        <v>2.3435000000000001</v>
      </c>
      <c r="K148" s="754">
        <f t="shared" si="20"/>
        <v>2.3435000000000001</v>
      </c>
      <c r="L148" s="795" t="s">
        <v>892</v>
      </c>
      <c r="M148" s="919" t="s">
        <v>1029</v>
      </c>
    </row>
    <row r="149" spans="1:13" s="766" customFormat="1" ht="15.6" thickBot="1">
      <c r="A149" s="787" t="str">
        <f t="shared" si="19"/>
        <v>PBD1536P0101</v>
      </c>
      <c r="B149" s="788"/>
      <c r="C149" s="789"/>
      <c r="D149" s="790" t="s">
        <v>889</v>
      </c>
      <c r="E149" s="791" t="s">
        <v>890</v>
      </c>
      <c r="F149" s="792">
        <v>100000</v>
      </c>
      <c r="G149" s="790" t="s">
        <v>891</v>
      </c>
      <c r="H149" s="793">
        <v>1</v>
      </c>
      <c r="I149" s="793"/>
      <c r="J149" s="794">
        <v>2.2345000000000002</v>
      </c>
      <c r="K149" s="754">
        <f t="shared" si="20"/>
        <v>2.2345000000000002</v>
      </c>
      <c r="L149" s="795" t="s">
        <v>892</v>
      </c>
      <c r="M149" s="919" t="s">
        <v>1029</v>
      </c>
    </row>
    <row r="150" spans="1:13" s="766" customFormat="1" ht="15.6" thickBot="1">
      <c r="A150" s="796" t="str">
        <f t="shared" si="19"/>
        <v>PBD1536P0101</v>
      </c>
      <c r="B150" s="797"/>
      <c r="C150" s="798"/>
      <c r="D150" s="799" t="s">
        <v>889</v>
      </c>
      <c r="E150" s="800" t="s">
        <v>890</v>
      </c>
      <c r="F150" s="801">
        <v>200000</v>
      </c>
      <c r="G150" s="799" t="s">
        <v>891</v>
      </c>
      <c r="H150" s="802">
        <v>1</v>
      </c>
      <c r="I150" s="802"/>
      <c r="J150" s="803">
        <v>2.2345000000000002</v>
      </c>
      <c r="K150" s="804">
        <f t="shared" si="20"/>
        <v>2.2345000000000002</v>
      </c>
      <c r="L150" s="805" t="s">
        <v>892</v>
      </c>
      <c r="M150" s="919" t="s">
        <v>1029</v>
      </c>
    </row>
    <row r="151" spans="1:13" s="766" customFormat="1" ht="15.6" thickBot="1">
      <c r="A151" s="777" t="s">
        <v>897</v>
      </c>
      <c r="B151" s="778" t="s">
        <v>832</v>
      </c>
      <c r="C151" s="779" t="s">
        <v>898</v>
      </c>
      <c r="D151" s="780" t="s">
        <v>889</v>
      </c>
      <c r="E151" s="781" t="s">
        <v>890</v>
      </c>
      <c r="F151" s="782">
        <v>0</v>
      </c>
      <c r="G151" s="780" t="s">
        <v>891</v>
      </c>
      <c r="H151" s="783">
        <v>1</v>
      </c>
      <c r="I151" s="783"/>
      <c r="J151" s="784">
        <v>2.8340000000000001</v>
      </c>
      <c r="K151" s="785">
        <f t="shared" si="16"/>
        <v>2.8340000000000001</v>
      </c>
      <c r="L151" s="786" t="s">
        <v>892</v>
      </c>
      <c r="M151" s="919" t="s">
        <v>1029</v>
      </c>
    </row>
    <row r="152" spans="1:13" s="766" customFormat="1" ht="15.6" thickBot="1">
      <c r="A152" s="787" t="str">
        <f t="shared" ref="A152:A158" si="21">A151</f>
        <v>PBD1537P0101</v>
      </c>
      <c r="B152" s="788"/>
      <c r="C152" s="789"/>
      <c r="D152" s="790" t="s">
        <v>889</v>
      </c>
      <c r="E152" s="791" t="s">
        <v>890</v>
      </c>
      <c r="F152" s="792">
        <v>5000</v>
      </c>
      <c r="G152" s="790" t="s">
        <v>891</v>
      </c>
      <c r="H152" s="793">
        <v>1</v>
      </c>
      <c r="I152" s="793"/>
      <c r="J152" s="794">
        <v>2.8340000000000001</v>
      </c>
      <c r="K152" s="754">
        <f t="shared" ref="K152:K159" si="22">J152/H152</f>
        <v>2.8340000000000001</v>
      </c>
      <c r="L152" s="795" t="s">
        <v>892</v>
      </c>
      <c r="M152" s="919" t="s">
        <v>1029</v>
      </c>
    </row>
    <row r="153" spans="1:13" s="766" customFormat="1" ht="15.6" thickBot="1">
      <c r="A153" s="787" t="str">
        <f t="shared" si="21"/>
        <v>PBD1537P0101</v>
      </c>
      <c r="B153" s="788"/>
      <c r="C153" s="789"/>
      <c r="D153" s="790" t="s">
        <v>889</v>
      </c>
      <c r="E153" s="791" t="s">
        <v>890</v>
      </c>
      <c r="F153" s="792">
        <v>10000</v>
      </c>
      <c r="G153" s="790" t="s">
        <v>891</v>
      </c>
      <c r="H153" s="793">
        <v>1</v>
      </c>
      <c r="I153" s="793"/>
      <c r="J153" s="794">
        <v>2.4525000000000001</v>
      </c>
      <c r="K153" s="754">
        <f t="shared" si="22"/>
        <v>2.4525000000000001</v>
      </c>
      <c r="L153" s="795" t="s">
        <v>892</v>
      </c>
      <c r="M153" s="919" t="s">
        <v>1029</v>
      </c>
    </row>
    <row r="154" spans="1:13" s="766" customFormat="1" ht="15.6" thickBot="1">
      <c r="A154" s="787" t="str">
        <f t="shared" si="21"/>
        <v>PBD1537P0101</v>
      </c>
      <c r="B154" s="788"/>
      <c r="C154" s="789"/>
      <c r="D154" s="790" t="s">
        <v>889</v>
      </c>
      <c r="E154" s="791" t="s">
        <v>890</v>
      </c>
      <c r="F154" s="792">
        <v>20000</v>
      </c>
      <c r="G154" s="790" t="s">
        <v>891</v>
      </c>
      <c r="H154" s="793">
        <v>1</v>
      </c>
      <c r="I154" s="793"/>
      <c r="J154" s="794">
        <v>2.2890000000000001</v>
      </c>
      <c r="K154" s="754">
        <f t="shared" si="22"/>
        <v>2.2890000000000001</v>
      </c>
      <c r="L154" s="795" t="s">
        <v>892</v>
      </c>
      <c r="M154" s="919" t="s">
        <v>1029</v>
      </c>
    </row>
    <row r="155" spans="1:13" s="766" customFormat="1" ht="15.6" thickBot="1">
      <c r="A155" s="787" t="str">
        <f t="shared" si="21"/>
        <v>PBD1537P0101</v>
      </c>
      <c r="B155" s="788"/>
      <c r="C155" s="789"/>
      <c r="D155" s="790" t="s">
        <v>889</v>
      </c>
      <c r="E155" s="791" t="s">
        <v>890</v>
      </c>
      <c r="F155" s="792">
        <v>30000</v>
      </c>
      <c r="G155" s="790" t="s">
        <v>891</v>
      </c>
      <c r="H155" s="793">
        <v>1</v>
      </c>
      <c r="I155" s="793"/>
      <c r="J155" s="794">
        <v>2.2890000000000001</v>
      </c>
      <c r="K155" s="754">
        <f t="shared" si="22"/>
        <v>2.2890000000000001</v>
      </c>
      <c r="L155" s="795" t="s">
        <v>892</v>
      </c>
      <c r="M155" s="919" t="s">
        <v>1029</v>
      </c>
    </row>
    <row r="156" spans="1:13" s="766" customFormat="1" ht="15.6" thickBot="1">
      <c r="A156" s="787" t="str">
        <f t="shared" si="21"/>
        <v>PBD1537P0101</v>
      </c>
      <c r="B156" s="788"/>
      <c r="C156" s="789"/>
      <c r="D156" s="790" t="s">
        <v>889</v>
      </c>
      <c r="E156" s="791" t="s">
        <v>890</v>
      </c>
      <c r="F156" s="792">
        <v>50000</v>
      </c>
      <c r="G156" s="790" t="s">
        <v>891</v>
      </c>
      <c r="H156" s="793">
        <v>1</v>
      </c>
      <c r="I156" s="793"/>
      <c r="J156" s="794">
        <v>2.1255000000000002</v>
      </c>
      <c r="K156" s="754">
        <f t="shared" si="22"/>
        <v>2.1255000000000002</v>
      </c>
      <c r="L156" s="795" t="s">
        <v>892</v>
      </c>
      <c r="M156" s="919" t="s">
        <v>1029</v>
      </c>
    </row>
    <row r="157" spans="1:13" s="766" customFormat="1" ht="15.6" thickBot="1">
      <c r="A157" s="787" t="str">
        <f t="shared" si="21"/>
        <v>PBD1537P0101</v>
      </c>
      <c r="B157" s="788"/>
      <c r="C157" s="789"/>
      <c r="D157" s="790" t="s">
        <v>889</v>
      </c>
      <c r="E157" s="791" t="s">
        <v>890</v>
      </c>
      <c r="F157" s="792">
        <v>100000</v>
      </c>
      <c r="G157" s="790" t="s">
        <v>891</v>
      </c>
      <c r="H157" s="793">
        <v>1</v>
      </c>
      <c r="I157" s="793"/>
      <c r="J157" s="794">
        <v>2.0710000000000002</v>
      </c>
      <c r="K157" s="754">
        <f t="shared" si="22"/>
        <v>2.0710000000000002</v>
      </c>
      <c r="L157" s="795" t="s">
        <v>892</v>
      </c>
      <c r="M157" s="919" t="s">
        <v>1029</v>
      </c>
    </row>
    <row r="158" spans="1:13" s="766" customFormat="1" ht="15.6" thickBot="1">
      <c r="A158" s="796" t="str">
        <f t="shared" si="21"/>
        <v>PBD1537P0101</v>
      </c>
      <c r="B158" s="797"/>
      <c r="C158" s="798"/>
      <c r="D158" s="799" t="s">
        <v>889</v>
      </c>
      <c r="E158" s="800" t="s">
        <v>890</v>
      </c>
      <c r="F158" s="801">
        <v>200000</v>
      </c>
      <c r="G158" s="799" t="s">
        <v>891</v>
      </c>
      <c r="H158" s="802">
        <v>1</v>
      </c>
      <c r="I158" s="802"/>
      <c r="J158" s="803">
        <v>2.0165000000000002</v>
      </c>
      <c r="K158" s="804">
        <f t="shared" si="22"/>
        <v>2.0165000000000002</v>
      </c>
      <c r="L158" s="805" t="s">
        <v>892</v>
      </c>
      <c r="M158" s="919" t="s">
        <v>1029</v>
      </c>
    </row>
    <row r="159" spans="1:13" s="766" customFormat="1" ht="15.6" thickBot="1">
      <c r="A159" s="777" t="s">
        <v>899</v>
      </c>
      <c r="B159" s="778" t="s">
        <v>833</v>
      </c>
      <c r="C159" s="779" t="s">
        <v>900</v>
      </c>
      <c r="D159" s="780" t="s">
        <v>828</v>
      </c>
      <c r="E159" s="781" t="s">
        <v>829</v>
      </c>
      <c r="F159" s="782">
        <v>0</v>
      </c>
      <c r="G159" s="780" t="s">
        <v>763</v>
      </c>
      <c r="H159" s="783">
        <v>1</v>
      </c>
      <c r="I159" s="783"/>
      <c r="J159" s="784">
        <v>2.8340000000000001</v>
      </c>
      <c r="K159" s="785">
        <f t="shared" si="22"/>
        <v>2.8340000000000001</v>
      </c>
      <c r="L159" s="786" t="s">
        <v>553</v>
      </c>
      <c r="M159" s="919" t="s">
        <v>1029</v>
      </c>
    </row>
    <row r="160" spans="1:13" s="766" customFormat="1" ht="15.6" thickBot="1">
      <c r="A160" s="787" t="str">
        <f t="shared" ref="A160:A166" si="23">A159</f>
        <v>PBD1538P0101</v>
      </c>
      <c r="B160" s="788"/>
      <c r="C160" s="789"/>
      <c r="D160" s="790" t="s">
        <v>828</v>
      </c>
      <c r="E160" s="791" t="s">
        <v>829</v>
      </c>
      <c r="F160" s="792">
        <v>5000</v>
      </c>
      <c r="G160" s="790" t="s">
        <v>763</v>
      </c>
      <c r="H160" s="793">
        <v>1</v>
      </c>
      <c r="I160" s="793"/>
      <c r="J160" s="794">
        <v>2.8340000000000001</v>
      </c>
      <c r="K160" s="754">
        <f t="shared" ref="K160:K166" si="24">J160/H160</f>
        <v>2.8340000000000001</v>
      </c>
      <c r="L160" s="795" t="s">
        <v>553</v>
      </c>
      <c r="M160" s="919" t="s">
        <v>1029</v>
      </c>
    </row>
    <row r="161" spans="1:13" s="766" customFormat="1" ht="15.6" thickBot="1">
      <c r="A161" s="787" t="str">
        <f t="shared" si="23"/>
        <v>PBD1538P0101</v>
      </c>
      <c r="B161" s="788"/>
      <c r="C161" s="789"/>
      <c r="D161" s="790" t="s">
        <v>828</v>
      </c>
      <c r="E161" s="791" t="s">
        <v>829</v>
      </c>
      <c r="F161" s="792">
        <v>10000</v>
      </c>
      <c r="G161" s="790" t="s">
        <v>763</v>
      </c>
      <c r="H161" s="793">
        <v>1</v>
      </c>
      <c r="I161" s="793"/>
      <c r="J161" s="794">
        <v>2.4525000000000001</v>
      </c>
      <c r="K161" s="754">
        <f t="shared" si="24"/>
        <v>2.4525000000000001</v>
      </c>
      <c r="L161" s="795" t="s">
        <v>553</v>
      </c>
      <c r="M161" s="919" t="s">
        <v>1029</v>
      </c>
    </row>
    <row r="162" spans="1:13" s="766" customFormat="1" ht="15.6" thickBot="1">
      <c r="A162" s="787" t="str">
        <f t="shared" si="23"/>
        <v>PBD1538P0101</v>
      </c>
      <c r="B162" s="788"/>
      <c r="C162" s="789"/>
      <c r="D162" s="790" t="s">
        <v>828</v>
      </c>
      <c r="E162" s="791" t="s">
        <v>829</v>
      </c>
      <c r="F162" s="792">
        <v>20000</v>
      </c>
      <c r="G162" s="790" t="s">
        <v>763</v>
      </c>
      <c r="H162" s="793">
        <v>1</v>
      </c>
      <c r="I162" s="793"/>
      <c r="J162" s="794">
        <v>2.2890000000000001</v>
      </c>
      <c r="K162" s="754">
        <f t="shared" si="24"/>
        <v>2.2890000000000001</v>
      </c>
      <c r="L162" s="795" t="s">
        <v>553</v>
      </c>
      <c r="M162" s="919" t="s">
        <v>1029</v>
      </c>
    </row>
    <row r="163" spans="1:13" s="766" customFormat="1" ht="15.6" thickBot="1">
      <c r="A163" s="787" t="str">
        <f t="shared" si="23"/>
        <v>PBD1538P0101</v>
      </c>
      <c r="B163" s="788"/>
      <c r="C163" s="789"/>
      <c r="D163" s="790" t="s">
        <v>828</v>
      </c>
      <c r="E163" s="791" t="s">
        <v>829</v>
      </c>
      <c r="F163" s="792">
        <v>30000</v>
      </c>
      <c r="G163" s="790" t="s">
        <v>763</v>
      </c>
      <c r="H163" s="793">
        <v>1</v>
      </c>
      <c r="I163" s="793"/>
      <c r="J163" s="794">
        <v>2.2890000000000001</v>
      </c>
      <c r="K163" s="754">
        <f t="shared" si="24"/>
        <v>2.2890000000000001</v>
      </c>
      <c r="L163" s="795" t="s">
        <v>553</v>
      </c>
      <c r="M163" s="919" t="s">
        <v>1029</v>
      </c>
    </row>
    <row r="164" spans="1:13" s="766" customFormat="1" ht="15.6" thickBot="1">
      <c r="A164" s="787" t="str">
        <f t="shared" si="23"/>
        <v>PBD1538P0101</v>
      </c>
      <c r="B164" s="788"/>
      <c r="C164" s="789"/>
      <c r="D164" s="790" t="s">
        <v>828</v>
      </c>
      <c r="E164" s="791" t="s">
        <v>829</v>
      </c>
      <c r="F164" s="792">
        <v>50000</v>
      </c>
      <c r="G164" s="790" t="s">
        <v>763</v>
      </c>
      <c r="H164" s="793">
        <v>1</v>
      </c>
      <c r="I164" s="793"/>
      <c r="J164" s="794">
        <v>2.1255000000000002</v>
      </c>
      <c r="K164" s="754">
        <f t="shared" si="24"/>
        <v>2.1255000000000002</v>
      </c>
      <c r="L164" s="795" t="s">
        <v>553</v>
      </c>
      <c r="M164" s="919" t="s">
        <v>1029</v>
      </c>
    </row>
    <row r="165" spans="1:13" s="766" customFormat="1" ht="15.6" thickBot="1">
      <c r="A165" s="787" t="str">
        <f t="shared" si="23"/>
        <v>PBD1538P0101</v>
      </c>
      <c r="B165" s="788"/>
      <c r="C165" s="789"/>
      <c r="D165" s="790" t="s">
        <v>828</v>
      </c>
      <c r="E165" s="791" t="s">
        <v>829</v>
      </c>
      <c r="F165" s="792">
        <v>100000</v>
      </c>
      <c r="G165" s="790" t="s">
        <v>763</v>
      </c>
      <c r="H165" s="793">
        <v>1</v>
      </c>
      <c r="I165" s="793"/>
      <c r="J165" s="794">
        <v>2.0710000000000002</v>
      </c>
      <c r="K165" s="754">
        <f t="shared" si="24"/>
        <v>2.0710000000000002</v>
      </c>
      <c r="L165" s="795" t="s">
        <v>553</v>
      </c>
      <c r="M165" s="919" t="s">
        <v>1029</v>
      </c>
    </row>
    <row r="166" spans="1:13" s="766" customFormat="1" ht="15.6" thickBot="1">
      <c r="A166" s="796" t="str">
        <f t="shared" si="23"/>
        <v>PBD1538P0101</v>
      </c>
      <c r="B166" s="797"/>
      <c r="C166" s="798"/>
      <c r="D166" s="799" t="s">
        <v>828</v>
      </c>
      <c r="E166" s="800" t="s">
        <v>829</v>
      </c>
      <c r="F166" s="801">
        <v>200000</v>
      </c>
      <c r="G166" s="799" t="s">
        <v>763</v>
      </c>
      <c r="H166" s="802">
        <v>1</v>
      </c>
      <c r="I166" s="802"/>
      <c r="J166" s="803">
        <v>2.0165000000000002</v>
      </c>
      <c r="K166" s="804">
        <f t="shared" si="24"/>
        <v>2.0165000000000002</v>
      </c>
      <c r="L166" s="805" t="s">
        <v>553</v>
      </c>
      <c r="M166" s="919" t="s">
        <v>1029</v>
      </c>
    </row>
    <row r="167" spans="1:13" s="603" customFormat="1" ht="15.6" hidden="1" thickBot="1">
      <c r="A167" s="597" t="s">
        <v>657</v>
      </c>
      <c r="B167" s="598" t="s">
        <v>658</v>
      </c>
      <c r="C167" s="423" t="s">
        <v>654</v>
      </c>
      <c r="D167" s="599" t="s">
        <v>48</v>
      </c>
      <c r="E167" s="598" t="s">
        <v>581</v>
      </c>
      <c r="F167" s="600">
        <v>0</v>
      </c>
      <c r="G167" s="598" t="s">
        <v>436</v>
      </c>
      <c r="H167" s="598">
        <v>1</v>
      </c>
      <c r="I167" s="598"/>
      <c r="J167" s="601">
        <v>2.62</v>
      </c>
      <c r="K167" s="701">
        <f>J167/H167</f>
        <v>2.62</v>
      </c>
      <c r="L167" s="599" t="s">
        <v>192</v>
      </c>
      <c r="M167" s="919"/>
    </row>
    <row r="168" spans="1:13" s="603" customFormat="1" ht="15.6" hidden="1" thickBot="1">
      <c r="A168" s="610" t="str">
        <f>A167</f>
        <v>PCDA452P0101</v>
      </c>
      <c r="B168" s="611"/>
      <c r="C168" s="425"/>
      <c r="D168" s="612" t="s">
        <v>48</v>
      </c>
      <c r="E168" s="611" t="s">
        <v>581</v>
      </c>
      <c r="F168" s="613">
        <v>2300</v>
      </c>
      <c r="G168" s="611" t="s">
        <v>436</v>
      </c>
      <c r="H168" s="611">
        <v>1</v>
      </c>
      <c r="I168" s="611"/>
      <c r="J168" s="614">
        <v>2.62</v>
      </c>
      <c r="K168" s="702">
        <f t="shared" ref="K168:K174" si="25">J168/H168</f>
        <v>2.62</v>
      </c>
      <c r="L168" s="612" t="s">
        <v>192</v>
      </c>
      <c r="M168" s="919"/>
    </row>
    <row r="169" spans="1:13" s="603" customFormat="1" ht="15.6" hidden="1" thickBot="1">
      <c r="A169" s="597" t="s">
        <v>660</v>
      </c>
      <c r="B169" s="598" t="s">
        <v>661</v>
      </c>
      <c r="C169" s="423" t="s">
        <v>662</v>
      </c>
      <c r="D169" s="599" t="s">
        <v>48</v>
      </c>
      <c r="E169" s="598" t="s">
        <v>581</v>
      </c>
      <c r="F169" s="600">
        <v>0</v>
      </c>
      <c r="G169" s="598" t="s">
        <v>659</v>
      </c>
      <c r="H169" s="598">
        <v>1</v>
      </c>
      <c r="I169" s="598"/>
      <c r="J169" s="601">
        <v>3.31</v>
      </c>
      <c r="K169" s="701">
        <f t="shared" si="25"/>
        <v>3.31</v>
      </c>
      <c r="L169" s="599" t="s">
        <v>663</v>
      </c>
      <c r="M169" s="919"/>
    </row>
    <row r="170" spans="1:13" s="603" customFormat="1" ht="15.6" hidden="1" thickBot="1">
      <c r="A170" s="610" t="str">
        <f>A169</f>
        <v>PCDA453P0101</v>
      </c>
      <c r="B170" s="611"/>
      <c r="C170" s="425"/>
      <c r="D170" s="612" t="s">
        <v>48</v>
      </c>
      <c r="E170" s="611" t="s">
        <v>581</v>
      </c>
      <c r="F170" s="613">
        <v>2100</v>
      </c>
      <c r="G170" s="611" t="s">
        <v>436</v>
      </c>
      <c r="H170" s="611">
        <v>1</v>
      </c>
      <c r="I170" s="611"/>
      <c r="J170" s="614">
        <v>3.31</v>
      </c>
      <c r="K170" s="702">
        <f t="shared" si="25"/>
        <v>3.31</v>
      </c>
      <c r="L170" s="612" t="s">
        <v>192</v>
      </c>
      <c r="M170" s="919"/>
    </row>
    <row r="171" spans="1:13" s="603" customFormat="1" ht="15.6" hidden="1" thickBot="1">
      <c r="A171" s="597" t="s">
        <v>603</v>
      </c>
      <c r="B171" s="598" t="s">
        <v>664</v>
      </c>
      <c r="C171" s="423" t="s">
        <v>665</v>
      </c>
      <c r="D171" s="599" t="s">
        <v>48</v>
      </c>
      <c r="E171" s="598" t="s">
        <v>581</v>
      </c>
      <c r="F171" s="600">
        <v>0</v>
      </c>
      <c r="G171" s="598" t="s">
        <v>659</v>
      </c>
      <c r="H171" s="598">
        <v>1</v>
      </c>
      <c r="I171" s="598"/>
      <c r="J171" s="601">
        <v>3.31</v>
      </c>
      <c r="K171" s="701">
        <f t="shared" si="25"/>
        <v>3.31</v>
      </c>
      <c r="L171" s="599" t="s">
        <v>663</v>
      </c>
      <c r="M171" s="919"/>
    </row>
    <row r="172" spans="1:13" s="603" customFormat="1" ht="15.6" hidden="1" thickBot="1">
      <c r="A172" s="610" t="str">
        <f>A171</f>
        <v>PCDA475P0101</v>
      </c>
      <c r="B172" s="611"/>
      <c r="C172" s="425"/>
      <c r="D172" s="612" t="s">
        <v>48</v>
      </c>
      <c r="E172" s="611" t="s">
        <v>581</v>
      </c>
      <c r="F172" s="613">
        <v>2100</v>
      </c>
      <c r="G172" s="611" t="s">
        <v>763</v>
      </c>
      <c r="H172" s="611">
        <v>1</v>
      </c>
      <c r="I172" s="611"/>
      <c r="J172" s="614">
        <v>3.31</v>
      </c>
      <c r="K172" s="702">
        <f t="shared" si="25"/>
        <v>3.31</v>
      </c>
      <c r="L172" s="612" t="s">
        <v>764</v>
      </c>
      <c r="M172" s="919"/>
    </row>
    <row r="173" spans="1:13" s="603" customFormat="1" ht="15.6" hidden="1" thickBot="1">
      <c r="A173" s="597" t="s">
        <v>780</v>
      </c>
      <c r="B173" s="598" t="s">
        <v>781</v>
      </c>
      <c r="C173" s="423" t="s">
        <v>773</v>
      </c>
      <c r="D173" s="599" t="s">
        <v>48</v>
      </c>
      <c r="E173" s="598" t="s">
        <v>581</v>
      </c>
      <c r="F173" s="600">
        <v>0</v>
      </c>
      <c r="G173" s="598" t="s">
        <v>763</v>
      </c>
      <c r="H173" s="598">
        <v>1</v>
      </c>
      <c r="I173" s="598"/>
      <c r="J173" s="601">
        <v>2.62</v>
      </c>
      <c r="K173" s="701">
        <f t="shared" si="25"/>
        <v>2.62</v>
      </c>
      <c r="L173" s="599" t="s">
        <v>764</v>
      </c>
      <c r="M173" s="919"/>
    </row>
    <row r="174" spans="1:13" s="603" customFormat="1" ht="15.6" hidden="1" thickBot="1">
      <c r="A174" s="610" t="str">
        <f>A173</f>
        <v>PCDA478P0101</v>
      </c>
      <c r="B174" s="611"/>
      <c r="C174" s="425"/>
      <c r="D174" s="612" t="s">
        <v>48</v>
      </c>
      <c r="E174" s="611" t="s">
        <v>581</v>
      </c>
      <c r="F174" s="613">
        <v>2300</v>
      </c>
      <c r="G174" s="611" t="s">
        <v>763</v>
      </c>
      <c r="H174" s="611">
        <v>1</v>
      </c>
      <c r="I174" s="611"/>
      <c r="J174" s="614">
        <v>2.62</v>
      </c>
      <c r="K174" s="702">
        <f t="shared" si="25"/>
        <v>2.62</v>
      </c>
      <c r="L174" s="612" t="s">
        <v>764</v>
      </c>
      <c r="M174" s="919"/>
    </row>
    <row r="175" spans="1:13" s="603" customFormat="1" ht="15.6" hidden="1" thickBot="1">
      <c r="A175" s="610" t="s">
        <v>782</v>
      </c>
      <c r="B175" s="611" t="s">
        <v>783</v>
      </c>
      <c r="C175" s="425" t="s">
        <v>655</v>
      </c>
      <c r="D175" s="612" t="s">
        <v>48</v>
      </c>
      <c r="E175" s="611" t="s">
        <v>581</v>
      </c>
      <c r="F175" s="613">
        <v>0</v>
      </c>
      <c r="G175" s="611" t="s">
        <v>436</v>
      </c>
      <c r="H175" s="611">
        <v>1</v>
      </c>
      <c r="I175" s="611"/>
      <c r="J175" s="614">
        <v>2.11</v>
      </c>
      <c r="K175" s="702">
        <f t="shared" ref="K175" si="26">J175/H175</f>
        <v>2.11</v>
      </c>
      <c r="L175" s="612" t="s">
        <v>192</v>
      </c>
      <c r="M175" s="919"/>
    </row>
    <row r="176" spans="1:13" s="603" customFormat="1" ht="15.6" hidden="1" thickBot="1">
      <c r="A176" s="597" t="s">
        <v>784</v>
      </c>
      <c r="B176" s="598" t="s">
        <v>785</v>
      </c>
      <c r="C176" s="423" t="s">
        <v>767</v>
      </c>
      <c r="D176" s="599" t="s">
        <v>48</v>
      </c>
      <c r="E176" s="598" t="s">
        <v>581</v>
      </c>
      <c r="F176" s="600">
        <v>0</v>
      </c>
      <c r="G176" s="598" t="s">
        <v>763</v>
      </c>
      <c r="H176" s="598">
        <v>1</v>
      </c>
      <c r="I176" s="598"/>
      <c r="J176" s="601">
        <v>2.11</v>
      </c>
      <c r="K176" s="701">
        <f t="shared" ref="K176" si="27">J176/H176</f>
        <v>2.11</v>
      </c>
      <c r="L176" s="599" t="s">
        <v>764</v>
      </c>
      <c r="M176" s="919"/>
    </row>
    <row r="177" spans="1:13" s="603" customFormat="1" ht="15.6" hidden="1" thickBot="1">
      <c r="A177" s="597" t="s">
        <v>786</v>
      </c>
      <c r="B177" s="598" t="s">
        <v>787</v>
      </c>
      <c r="C177" s="423" t="s">
        <v>779</v>
      </c>
      <c r="D177" s="599" t="s">
        <v>48</v>
      </c>
      <c r="E177" s="598" t="s">
        <v>581</v>
      </c>
      <c r="F177" s="600">
        <v>0</v>
      </c>
      <c r="G177" s="598" t="s">
        <v>763</v>
      </c>
      <c r="H177" s="598">
        <v>1</v>
      </c>
      <c r="I177" s="598"/>
      <c r="J177" s="601">
        <v>2.11</v>
      </c>
      <c r="K177" s="701">
        <f t="shared" ref="K177" si="28">J177/H177</f>
        <v>2.11</v>
      </c>
      <c r="L177" s="599" t="s">
        <v>764</v>
      </c>
      <c r="M177" s="919"/>
    </row>
    <row r="178" spans="1:13" s="603" customFormat="1" ht="15.6" hidden="1" thickBot="1">
      <c r="A178" s="597" t="s">
        <v>666</v>
      </c>
      <c r="B178" s="598" t="s">
        <v>667</v>
      </c>
      <c r="C178" s="423" t="s">
        <v>788</v>
      </c>
      <c r="D178" s="599" t="s">
        <v>48</v>
      </c>
      <c r="E178" s="598" t="s">
        <v>581</v>
      </c>
      <c r="F178" s="600">
        <v>0</v>
      </c>
      <c r="G178" s="598" t="s">
        <v>436</v>
      </c>
      <c r="H178" s="598">
        <v>1</v>
      </c>
      <c r="I178" s="598"/>
      <c r="J178" s="601">
        <v>2.62</v>
      </c>
      <c r="K178" s="701">
        <f t="shared" ref="K178:K179" si="29">J178/H178</f>
        <v>2.62</v>
      </c>
      <c r="L178" s="599" t="s">
        <v>192</v>
      </c>
      <c r="M178" s="919"/>
    </row>
    <row r="179" spans="1:13" s="603" customFormat="1" ht="15.6" hidden="1" thickBot="1">
      <c r="A179" s="610" t="str">
        <f>A178</f>
        <v>PCDA583P0101</v>
      </c>
      <c r="B179" s="611"/>
      <c r="C179" s="425"/>
      <c r="D179" s="612" t="s">
        <v>48</v>
      </c>
      <c r="E179" s="611" t="s">
        <v>581</v>
      </c>
      <c r="F179" s="613">
        <v>2300</v>
      </c>
      <c r="G179" s="611" t="s">
        <v>763</v>
      </c>
      <c r="H179" s="611">
        <v>1</v>
      </c>
      <c r="I179" s="611"/>
      <c r="J179" s="614">
        <v>2.62</v>
      </c>
      <c r="K179" s="702">
        <f t="shared" si="29"/>
        <v>2.62</v>
      </c>
      <c r="L179" s="612" t="s">
        <v>764</v>
      </c>
      <c r="M179" s="919"/>
    </row>
    <row r="180" spans="1:13" s="603" customFormat="1" ht="15.6" hidden="1" thickBot="1">
      <c r="A180" s="597" t="s">
        <v>789</v>
      </c>
      <c r="B180" s="598" t="s">
        <v>790</v>
      </c>
      <c r="C180" s="423" t="s">
        <v>791</v>
      </c>
      <c r="D180" s="599" t="s">
        <v>33</v>
      </c>
      <c r="E180" s="598" t="s">
        <v>580</v>
      </c>
      <c r="F180" s="600">
        <v>0</v>
      </c>
      <c r="G180" s="598" t="s">
        <v>763</v>
      </c>
      <c r="H180" s="598">
        <v>1</v>
      </c>
      <c r="I180" s="598"/>
      <c r="J180" s="601">
        <v>0.64</v>
      </c>
      <c r="K180" s="701">
        <f>J180/H180</f>
        <v>0.64</v>
      </c>
      <c r="L180" s="599" t="s">
        <v>764</v>
      </c>
      <c r="M180" s="919"/>
    </row>
    <row r="181" spans="1:13" s="603" customFormat="1" ht="15.6" hidden="1" thickBot="1">
      <c r="A181" s="610" t="str">
        <f>A180</f>
        <v>PMD0356P0101</v>
      </c>
      <c r="B181" s="611"/>
      <c r="C181" s="425"/>
      <c r="D181" s="612" t="s">
        <v>33</v>
      </c>
      <c r="E181" s="611" t="s">
        <v>580</v>
      </c>
      <c r="F181" s="613">
        <v>300000</v>
      </c>
      <c r="G181" s="611" t="s">
        <v>436</v>
      </c>
      <c r="H181" s="611">
        <v>1</v>
      </c>
      <c r="I181" s="611"/>
      <c r="J181" s="614">
        <v>0.64</v>
      </c>
      <c r="K181" s="702">
        <f t="shared" ref="K181" si="30">J181/H181</f>
        <v>0.64</v>
      </c>
      <c r="L181" s="612" t="s">
        <v>192</v>
      </c>
      <c r="M181" s="919"/>
    </row>
    <row r="182" spans="1:13" s="603" customFormat="1" ht="15.6" hidden="1" thickBot="1">
      <c r="A182" s="597" t="s">
        <v>792</v>
      </c>
      <c r="B182" s="598" t="s">
        <v>793</v>
      </c>
      <c r="C182" s="423" t="s">
        <v>794</v>
      </c>
      <c r="D182" s="599" t="s">
        <v>48</v>
      </c>
      <c r="E182" s="598" t="s">
        <v>581</v>
      </c>
      <c r="F182" s="600">
        <v>0</v>
      </c>
      <c r="G182" s="598" t="s">
        <v>436</v>
      </c>
      <c r="H182" s="598">
        <v>1</v>
      </c>
      <c r="I182" s="598"/>
      <c r="J182" s="601">
        <v>0.68</v>
      </c>
      <c r="K182" s="701">
        <f>J182/H182</f>
        <v>0.68</v>
      </c>
      <c r="L182" s="599" t="s">
        <v>192</v>
      </c>
      <c r="M182" s="919"/>
    </row>
    <row r="183" spans="1:13" s="845" customFormat="1" ht="15.6" thickBot="1">
      <c r="A183" s="836" t="s">
        <v>987</v>
      </c>
      <c r="B183" s="837" t="s">
        <v>997</v>
      </c>
      <c r="C183" s="838" t="s">
        <v>994</v>
      </c>
      <c r="D183" s="839" t="s">
        <v>995</v>
      </c>
      <c r="E183" s="840" t="s">
        <v>829</v>
      </c>
      <c r="F183" s="841">
        <v>1</v>
      </c>
      <c r="G183" s="839" t="s">
        <v>190</v>
      </c>
      <c r="H183" s="842">
        <v>1</v>
      </c>
      <c r="I183" s="842"/>
      <c r="J183" s="843">
        <v>0.64</v>
      </c>
      <c r="K183" s="738">
        <f t="shared" ref="K183" si="31">J183/H183</f>
        <v>0.64</v>
      </c>
      <c r="L183" s="844" t="s">
        <v>192</v>
      </c>
      <c r="M183" s="919" t="s">
        <v>1029</v>
      </c>
    </row>
    <row r="184" spans="1:13" s="845" customFormat="1" ht="15.6" thickBot="1">
      <c r="A184" s="846" t="str">
        <f>A183</f>
        <v>PMD0409P0101</v>
      </c>
      <c r="B184" s="847"/>
      <c r="C184" s="848"/>
      <c r="D184" s="849" t="s">
        <v>995</v>
      </c>
      <c r="E184" s="850" t="s">
        <v>829</v>
      </c>
      <c r="F184" s="851">
        <v>300000</v>
      </c>
      <c r="G184" s="849" t="s">
        <v>190</v>
      </c>
      <c r="H184" s="852">
        <v>1</v>
      </c>
      <c r="I184" s="852"/>
      <c r="J184" s="853">
        <v>0.64</v>
      </c>
      <c r="K184" s="743">
        <f>J184/H184</f>
        <v>0.64</v>
      </c>
      <c r="L184" s="854" t="s">
        <v>192</v>
      </c>
      <c r="M184" s="919" t="s">
        <v>1029</v>
      </c>
    </row>
    <row r="185" spans="1:13" s="845" customFormat="1" ht="15.6" thickBot="1">
      <c r="A185" s="836" t="s">
        <v>988</v>
      </c>
      <c r="B185" s="837" t="s">
        <v>998</v>
      </c>
      <c r="C185" s="838" t="s">
        <v>989</v>
      </c>
      <c r="D185" s="839" t="s">
        <v>995</v>
      </c>
      <c r="E185" s="840" t="s">
        <v>829</v>
      </c>
      <c r="F185" s="841">
        <v>1</v>
      </c>
      <c r="G185" s="839" t="s">
        <v>190</v>
      </c>
      <c r="H185" s="842">
        <v>1</v>
      </c>
      <c r="I185" s="842"/>
      <c r="J185" s="843">
        <v>2.5070000000000001</v>
      </c>
      <c r="K185" s="738">
        <f t="shared" ref="K185:K189" si="32">J185/H185</f>
        <v>2.5070000000000001</v>
      </c>
      <c r="L185" s="844" t="s">
        <v>192</v>
      </c>
      <c r="M185" s="919" t="s">
        <v>1029</v>
      </c>
    </row>
    <row r="186" spans="1:13" s="845" customFormat="1" ht="15.6" thickBot="1">
      <c r="A186" s="873" t="str">
        <f t="shared" ref="A186:A190" si="33">A185</f>
        <v>PBD1573P0101</v>
      </c>
      <c r="B186" s="865"/>
      <c r="C186" s="866"/>
      <c r="D186" s="867" t="s">
        <v>995</v>
      </c>
      <c r="E186" s="868" t="s">
        <v>829</v>
      </c>
      <c r="F186" s="869">
        <v>20000</v>
      </c>
      <c r="G186" s="867" t="s">
        <v>190</v>
      </c>
      <c r="H186" s="870">
        <v>1</v>
      </c>
      <c r="I186" s="870"/>
      <c r="J186" s="871">
        <v>2.5070000000000001</v>
      </c>
      <c r="K186" s="752">
        <f t="shared" si="32"/>
        <v>2.5070000000000001</v>
      </c>
      <c r="L186" s="872" t="s">
        <v>192</v>
      </c>
      <c r="M186" s="919" t="s">
        <v>1029</v>
      </c>
    </row>
    <row r="187" spans="1:13" s="845" customFormat="1" ht="15.6" thickBot="1">
      <c r="A187" s="873" t="str">
        <f t="shared" si="33"/>
        <v>PBD1573P0101</v>
      </c>
      <c r="B187" s="865"/>
      <c r="C187" s="866"/>
      <c r="D187" s="867" t="s">
        <v>995</v>
      </c>
      <c r="E187" s="868" t="s">
        <v>829</v>
      </c>
      <c r="F187" s="869">
        <v>30000</v>
      </c>
      <c r="G187" s="867" t="s">
        <v>190</v>
      </c>
      <c r="H187" s="870">
        <v>1</v>
      </c>
      <c r="I187" s="870"/>
      <c r="J187" s="871">
        <v>2.5070000000000001</v>
      </c>
      <c r="K187" s="752">
        <f t="shared" si="32"/>
        <v>2.5070000000000001</v>
      </c>
      <c r="L187" s="872" t="s">
        <v>192</v>
      </c>
      <c r="M187" s="919" t="s">
        <v>1029</v>
      </c>
    </row>
    <row r="188" spans="1:13" s="845" customFormat="1" ht="15.6" thickBot="1">
      <c r="A188" s="873" t="str">
        <f t="shared" si="33"/>
        <v>PBD1573P0101</v>
      </c>
      <c r="B188" s="865"/>
      <c r="C188" s="866"/>
      <c r="D188" s="867" t="s">
        <v>995</v>
      </c>
      <c r="E188" s="868" t="s">
        <v>829</v>
      </c>
      <c r="F188" s="869">
        <v>50000</v>
      </c>
      <c r="G188" s="867" t="s">
        <v>190</v>
      </c>
      <c r="H188" s="870">
        <v>1</v>
      </c>
      <c r="I188" s="870"/>
      <c r="J188" s="871">
        <v>2.3435000000000001</v>
      </c>
      <c r="K188" s="752">
        <f t="shared" si="32"/>
        <v>2.3435000000000001</v>
      </c>
      <c r="L188" s="872" t="s">
        <v>192</v>
      </c>
      <c r="M188" s="919" t="s">
        <v>1029</v>
      </c>
    </row>
    <row r="189" spans="1:13" s="845" customFormat="1" ht="15.6" thickBot="1">
      <c r="A189" s="873" t="str">
        <f t="shared" si="33"/>
        <v>PBD1573P0101</v>
      </c>
      <c r="B189" s="865"/>
      <c r="C189" s="866"/>
      <c r="D189" s="867" t="s">
        <v>995</v>
      </c>
      <c r="E189" s="868" t="s">
        <v>829</v>
      </c>
      <c r="F189" s="869">
        <v>100000</v>
      </c>
      <c r="G189" s="867" t="s">
        <v>996</v>
      </c>
      <c r="H189" s="870">
        <v>1</v>
      </c>
      <c r="I189" s="870"/>
      <c r="J189" s="871">
        <v>2.2345000000000002</v>
      </c>
      <c r="K189" s="752">
        <f t="shared" si="32"/>
        <v>2.2345000000000002</v>
      </c>
      <c r="L189" s="872" t="s">
        <v>192</v>
      </c>
      <c r="M189" s="919" t="s">
        <v>1029</v>
      </c>
    </row>
    <row r="190" spans="1:13" s="845" customFormat="1" ht="15.6" thickBot="1">
      <c r="A190" s="846" t="str">
        <f t="shared" si="33"/>
        <v>PBD1573P0101</v>
      </c>
      <c r="B190" s="847"/>
      <c r="C190" s="848"/>
      <c r="D190" s="849" t="s">
        <v>995</v>
      </c>
      <c r="E190" s="850" t="s">
        <v>829</v>
      </c>
      <c r="F190" s="851">
        <v>200000</v>
      </c>
      <c r="G190" s="849" t="s">
        <v>190</v>
      </c>
      <c r="H190" s="852">
        <v>1</v>
      </c>
      <c r="I190" s="852"/>
      <c r="J190" s="853">
        <v>2.2345000000000002</v>
      </c>
      <c r="K190" s="743">
        <f>J190/H190</f>
        <v>2.2345000000000002</v>
      </c>
      <c r="L190" s="854" t="s">
        <v>192</v>
      </c>
      <c r="M190" s="919" t="s">
        <v>1029</v>
      </c>
    </row>
    <row r="191" spans="1:13" s="845" customFormat="1" ht="15.6" thickBot="1">
      <c r="A191" s="836" t="s">
        <v>990</v>
      </c>
      <c r="B191" s="837" t="s">
        <v>999</v>
      </c>
      <c r="C191" s="838" t="s">
        <v>992</v>
      </c>
      <c r="D191" s="839" t="s">
        <v>995</v>
      </c>
      <c r="E191" s="840" t="s">
        <v>829</v>
      </c>
      <c r="F191" s="841">
        <v>1</v>
      </c>
      <c r="G191" s="839" t="s">
        <v>190</v>
      </c>
      <c r="H191" s="842">
        <v>1</v>
      </c>
      <c r="I191" s="842"/>
      <c r="J191" s="843">
        <v>2.6705000000000001</v>
      </c>
      <c r="K191" s="738">
        <f t="shared" ref="K191" si="34">J191/H191</f>
        <v>2.6705000000000001</v>
      </c>
      <c r="L191" s="844" t="s">
        <v>192</v>
      </c>
      <c r="M191" s="919" t="s">
        <v>1029</v>
      </c>
    </row>
    <row r="192" spans="1:13" s="845" customFormat="1" ht="15.6" thickBot="1">
      <c r="A192" s="846" t="str">
        <f>A191</f>
        <v>PBD1572P0101</v>
      </c>
      <c r="B192" s="847"/>
      <c r="C192" s="848"/>
      <c r="D192" s="849" t="s">
        <v>995</v>
      </c>
      <c r="E192" s="850" t="s">
        <v>829</v>
      </c>
      <c r="F192" s="851">
        <v>200000</v>
      </c>
      <c r="G192" s="849" t="s">
        <v>190</v>
      </c>
      <c r="H192" s="852">
        <v>1</v>
      </c>
      <c r="I192" s="852"/>
      <c r="J192" s="853">
        <v>2.6705000000000001</v>
      </c>
      <c r="K192" s="743">
        <f>J192/H192</f>
        <v>2.6705000000000001</v>
      </c>
      <c r="L192" s="854" t="s">
        <v>192</v>
      </c>
      <c r="M192" s="919" t="s">
        <v>1029</v>
      </c>
    </row>
    <row r="193" spans="1:13" s="845" customFormat="1" ht="15.6" thickBot="1">
      <c r="A193" s="836" t="s">
        <v>991</v>
      </c>
      <c r="B193" s="865" t="s">
        <v>1000</v>
      </c>
      <c r="C193" s="866" t="s">
        <v>993</v>
      </c>
      <c r="D193" s="867" t="s">
        <v>995</v>
      </c>
      <c r="E193" s="868" t="s">
        <v>829</v>
      </c>
      <c r="F193" s="869">
        <v>1</v>
      </c>
      <c r="G193" s="867" t="s">
        <v>190</v>
      </c>
      <c r="H193" s="870">
        <v>1</v>
      </c>
      <c r="I193" s="870"/>
      <c r="J193" s="871">
        <v>2.8340000000000001</v>
      </c>
      <c r="K193" s="752">
        <f t="shared" ref="K193:K195" si="35">J193/H193</f>
        <v>2.8340000000000001</v>
      </c>
      <c r="L193" s="872" t="s">
        <v>192</v>
      </c>
      <c r="M193" s="919" t="s">
        <v>1029</v>
      </c>
    </row>
    <row r="194" spans="1:13" s="845" customFormat="1" ht="15.6" thickBot="1">
      <c r="A194" s="873" t="str">
        <f t="shared" ref="A194:A196" si="36">A193</f>
        <v>PBD1571P0101</v>
      </c>
      <c r="B194" s="865"/>
      <c r="C194" s="866"/>
      <c r="D194" s="867" t="s">
        <v>995</v>
      </c>
      <c r="E194" s="868" t="s">
        <v>829</v>
      </c>
      <c r="F194" s="869">
        <v>50000</v>
      </c>
      <c r="G194" s="867" t="s">
        <v>190</v>
      </c>
      <c r="H194" s="870">
        <v>1</v>
      </c>
      <c r="I194" s="870"/>
      <c r="J194" s="871">
        <v>2.8340000000000001</v>
      </c>
      <c r="K194" s="752">
        <f t="shared" si="35"/>
        <v>2.8340000000000001</v>
      </c>
      <c r="L194" s="872" t="s">
        <v>192</v>
      </c>
      <c r="M194" s="919" t="s">
        <v>1029</v>
      </c>
    </row>
    <row r="195" spans="1:13" s="845" customFormat="1" ht="15.6" thickBot="1">
      <c r="A195" s="855" t="str">
        <f t="shared" si="36"/>
        <v>PBD1571P0101</v>
      </c>
      <c r="B195" s="856"/>
      <c r="C195" s="857"/>
      <c r="D195" s="858" t="s">
        <v>995</v>
      </c>
      <c r="E195" s="859" t="s">
        <v>829</v>
      </c>
      <c r="F195" s="860">
        <v>100000</v>
      </c>
      <c r="G195" s="858" t="s">
        <v>190</v>
      </c>
      <c r="H195" s="861">
        <v>1</v>
      </c>
      <c r="I195" s="861"/>
      <c r="J195" s="862">
        <v>2.7250000000000001</v>
      </c>
      <c r="K195" s="863">
        <f t="shared" si="35"/>
        <v>2.7250000000000001</v>
      </c>
      <c r="L195" s="864" t="s">
        <v>192</v>
      </c>
      <c r="M195" s="919" t="s">
        <v>1029</v>
      </c>
    </row>
    <row r="196" spans="1:13" s="845" customFormat="1" ht="15.6" thickBot="1">
      <c r="A196" s="846" t="str">
        <f t="shared" si="36"/>
        <v>PBD1571P0101</v>
      </c>
      <c r="B196" s="847"/>
      <c r="C196" s="848"/>
      <c r="D196" s="849" t="s">
        <v>995</v>
      </c>
      <c r="E196" s="850" t="s">
        <v>829</v>
      </c>
      <c r="F196" s="851">
        <v>200000</v>
      </c>
      <c r="G196" s="849" t="s">
        <v>190</v>
      </c>
      <c r="H196" s="852">
        <v>1</v>
      </c>
      <c r="I196" s="852"/>
      <c r="J196" s="853">
        <v>2.6705000000000001</v>
      </c>
      <c r="K196" s="743">
        <f>J196/H196</f>
        <v>2.6705000000000001</v>
      </c>
      <c r="L196" s="854" t="s">
        <v>192</v>
      </c>
      <c r="M196" s="919" t="s">
        <v>1029</v>
      </c>
    </row>
    <row r="197" spans="1:13" ht="15.6" thickBot="1">
      <c r="A197" s="562" t="s">
        <v>908</v>
      </c>
      <c r="B197" s="563" t="s">
        <v>909</v>
      </c>
      <c r="C197" s="382" t="s">
        <v>933</v>
      </c>
      <c r="D197" s="564" t="s">
        <v>48</v>
      </c>
      <c r="E197" s="563" t="s">
        <v>581</v>
      </c>
      <c r="F197" s="565">
        <v>0</v>
      </c>
      <c r="G197" s="563" t="s">
        <v>473</v>
      </c>
      <c r="H197" s="563">
        <v>1</v>
      </c>
      <c r="I197" s="563"/>
      <c r="J197" s="566">
        <v>0.16569999999999999</v>
      </c>
      <c r="K197" s="691">
        <f>J197/H197</f>
        <v>0.16569999999999999</v>
      </c>
      <c r="L197" s="564" t="s">
        <v>764</v>
      </c>
      <c r="M197" s="919" t="s">
        <v>1029</v>
      </c>
    </row>
    <row r="198" spans="1:13" ht="15.6" thickBot="1">
      <c r="A198" s="580" t="str">
        <f>A197</f>
        <v>PSD4894P0101</v>
      </c>
      <c r="B198" s="581"/>
      <c r="C198" s="384"/>
      <c r="D198" s="582" t="s">
        <v>48</v>
      </c>
      <c r="E198" s="581" t="s">
        <v>581</v>
      </c>
      <c r="F198" s="583">
        <v>80000</v>
      </c>
      <c r="G198" s="581" t="s">
        <v>659</v>
      </c>
      <c r="H198" s="581">
        <v>1</v>
      </c>
      <c r="I198" s="581"/>
      <c r="J198" s="584">
        <v>0.16569999999999999</v>
      </c>
      <c r="K198" s="693">
        <f t="shared" ref="K198" si="37">J198/H198</f>
        <v>0.16569999999999999</v>
      </c>
      <c r="L198" s="582" t="s">
        <v>663</v>
      </c>
      <c r="M198" s="919" t="s">
        <v>1029</v>
      </c>
    </row>
    <row r="199" spans="1:13" s="603" customFormat="1" ht="16.95" customHeight="1" thickBot="1">
      <c r="A199" s="705" t="s">
        <v>795</v>
      </c>
      <c r="B199" s="706" t="s">
        <v>796</v>
      </c>
      <c r="C199" s="707" t="s">
        <v>797</v>
      </c>
      <c r="D199" s="708" t="s">
        <v>48</v>
      </c>
      <c r="E199" s="706" t="s">
        <v>581</v>
      </c>
      <c r="F199" s="709">
        <v>0</v>
      </c>
      <c r="G199" s="706" t="s">
        <v>763</v>
      </c>
      <c r="H199" s="706">
        <v>1</v>
      </c>
      <c r="I199" s="706"/>
      <c r="J199" s="710">
        <v>0.59899999999999998</v>
      </c>
      <c r="K199" s="711">
        <f>J199/H199</f>
        <v>0.59899999999999998</v>
      </c>
      <c r="L199" s="708" t="s">
        <v>764</v>
      </c>
      <c r="M199" s="919" t="s">
        <v>1029</v>
      </c>
    </row>
    <row r="200" spans="1:13" ht="15.6" thickBot="1">
      <c r="A200" s="733" t="s">
        <v>605</v>
      </c>
      <c r="B200" s="712" t="s">
        <v>934</v>
      </c>
      <c r="C200" s="650" t="s">
        <v>604</v>
      </c>
      <c r="D200" s="734" t="s">
        <v>48</v>
      </c>
      <c r="E200" s="712" t="s">
        <v>581</v>
      </c>
      <c r="F200" s="735">
        <v>0</v>
      </c>
      <c r="G200" s="712" t="s">
        <v>473</v>
      </c>
      <c r="H200" s="712">
        <v>1</v>
      </c>
      <c r="I200" s="712"/>
      <c r="J200" s="736">
        <v>0.47149999999999997</v>
      </c>
      <c r="K200" s="713">
        <f>J200/H200</f>
        <v>0.47149999999999997</v>
      </c>
      <c r="L200" s="734" t="s">
        <v>764</v>
      </c>
      <c r="M200" s="919" t="s">
        <v>1029</v>
      </c>
    </row>
    <row r="201" spans="1:13" s="766" customFormat="1" ht="15.6" thickBot="1">
      <c r="A201" s="806" t="s">
        <v>859</v>
      </c>
      <c r="B201" s="807" t="s">
        <v>835</v>
      </c>
      <c r="C201" s="808" t="s">
        <v>982</v>
      </c>
      <c r="D201" s="809" t="s">
        <v>860</v>
      </c>
      <c r="E201" s="810" t="s">
        <v>581</v>
      </c>
      <c r="F201" s="811">
        <v>0</v>
      </c>
      <c r="G201" s="809" t="s">
        <v>861</v>
      </c>
      <c r="H201" s="812">
        <v>1</v>
      </c>
      <c r="I201" s="812"/>
      <c r="J201" s="813">
        <v>2.6890000000000001</v>
      </c>
      <c r="K201" s="814">
        <f t="shared" ref="K201" si="38">J201/H201</f>
        <v>2.6890000000000001</v>
      </c>
      <c r="L201" s="815" t="s">
        <v>862</v>
      </c>
      <c r="M201" s="919" t="s">
        <v>1029</v>
      </c>
    </row>
    <row r="202" spans="1:13" s="766" customFormat="1" ht="15.6" thickBot="1">
      <c r="A202" s="806" t="s">
        <v>863</v>
      </c>
      <c r="B202" s="807" t="s">
        <v>839</v>
      </c>
      <c r="C202" s="808" t="s">
        <v>864</v>
      </c>
      <c r="D202" s="809" t="s">
        <v>860</v>
      </c>
      <c r="E202" s="810" t="s">
        <v>581</v>
      </c>
      <c r="F202" s="811">
        <v>0</v>
      </c>
      <c r="G202" s="809" t="s">
        <v>861</v>
      </c>
      <c r="H202" s="812">
        <v>1</v>
      </c>
      <c r="I202" s="812"/>
      <c r="J202" s="813">
        <v>2.6890000000000001</v>
      </c>
      <c r="K202" s="814">
        <f>J202/H202</f>
        <v>2.6890000000000001</v>
      </c>
      <c r="L202" s="815" t="s">
        <v>862</v>
      </c>
      <c r="M202" s="919" t="s">
        <v>1029</v>
      </c>
    </row>
    <row r="203" spans="1:13" s="766" customFormat="1" ht="15.6" thickBot="1">
      <c r="A203" s="777" t="s">
        <v>865</v>
      </c>
      <c r="B203" s="778" t="s">
        <v>836</v>
      </c>
      <c r="C203" s="779" t="s">
        <v>866</v>
      </c>
      <c r="D203" s="780" t="s">
        <v>860</v>
      </c>
      <c r="E203" s="781" t="s">
        <v>581</v>
      </c>
      <c r="F203" s="782">
        <v>0</v>
      </c>
      <c r="G203" s="780" t="s">
        <v>861</v>
      </c>
      <c r="H203" s="783">
        <v>1</v>
      </c>
      <c r="I203" s="783"/>
      <c r="J203" s="784">
        <v>3.3389000000000002</v>
      </c>
      <c r="K203" s="785">
        <f t="shared" ref="K203:K211" si="39">J203/H203</f>
        <v>3.3389000000000002</v>
      </c>
      <c r="L203" s="786" t="s">
        <v>862</v>
      </c>
      <c r="M203" s="919" t="s">
        <v>1029</v>
      </c>
    </row>
    <row r="204" spans="1:13" s="766" customFormat="1" ht="15.6" thickBot="1">
      <c r="A204" s="796" t="str">
        <f>A203</f>
        <v>PCDA898P0101</v>
      </c>
      <c r="B204" s="797"/>
      <c r="C204" s="798"/>
      <c r="D204" s="799" t="s">
        <v>860</v>
      </c>
      <c r="E204" s="800" t="s">
        <v>581</v>
      </c>
      <c r="F204" s="801">
        <v>2300</v>
      </c>
      <c r="G204" s="799" t="s">
        <v>861</v>
      </c>
      <c r="H204" s="802">
        <v>1</v>
      </c>
      <c r="I204" s="802"/>
      <c r="J204" s="803">
        <v>3.3389000000000002</v>
      </c>
      <c r="K204" s="804">
        <f t="shared" ref="K204" si="40">J204/H204</f>
        <v>3.3389000000000002</v>
      </c>
      <c r="L204" s="805" t="s">
        <v>862</v>
      </c>
      <c r="M204" s="919" t="s">
        <v>1029</v>
      </c>
    </row>
    <row r="205" spans="1:13" s="766" customFormat="1" ht="15.6" thickBot="1">
      <c r="A205" s="777" t="s">
        <v>867</v>
      </c>
      <c r="B205" s="778" t="s">
        <v>837</v>
      </c>
      <c r="C205" s="779" t="s">
        <v>868</v>
      </c>
      <c r="D205" s="780" t="s">
        <v>860</v>
      </c>
      <c r="E205" s="781" t="s">
        <v>581</v>
      </c>
      <c r="F205" s="782">
        <v>0</v>
      </c>
      <c r="G205" s="780" t="s">
        <v>861</v>
      </c>
      <c r="H205" s="783">
        <v>1</v>
      </c>
      <c r="I205" s="783"/>
      <c r="J205" s="784">
        <v>3.3389000000000002</v>
      </c>
      <c r="K205" s="785">
        <f t="shared" si="39"/>
        <v>3.3389000000000002</v>
      </c>
      <c r="L205" s="786" t="s">
        <v>862</v>
      </c>
      <c r="M205" s="919" t="s">
        <v>1029</v>
      </c>
    </row>
    <row r="206" spans="1:13" s="766" customFormat="1" ht="15.6" thickBot="1">
      <c r="A206" s="796" t="str">
        <f>A205</f>
        <v>PCDA899P0101</v>
      </c>
      <c r="B206" s="797"/>
      <c r="C206" s="798"/>
      <c r="D206" s="799" t="s">
        <v>860</v>
      </c>
      <c r="E206" s="800" t="s">
        <v>581</v>
      </c>
      <c r="F206" s="801">
        <v>2300</v>
      </c>
      <c r="G206" s="799" t="s">
        <v>861</v>
      </c>
      <c r="H206" s="802">
        <v>1</v>
      </c>
      <c r="I206" s="802"/>
      <c r="J206" s="803">
        <v>3.3389000000000002</v>
      </c>
      <c r="K206" s="804">
        <f t="shared" ref="K206" si="41">J206/H206</f>
        <v>3.3389000000000002</v>
      </c>
      <c r="L206" s="805" t="s">
        <v>862</v>
      </c>
      <c r="M206" s="919" t="s">
        <v>1029</v>
      </c>
    </row>
    <row r="207" spans="1:13" s="766" customFormat="1" ht="15.6" thickBot="1">
      <c r="A207" s="777" t="s">
        <v>869</v>
      </c>
      <c r="B207" s="778" t="s">
        <v>838</v>
      </c>
      <c r="C207" s="779" t="s">
        <v>870</v>
      </c>
      <c r="D207" s="780" t="s">
        <v>871</v>
      </c>
      <c r="E207" s="781" t="s">
        <v>581</v>
      </c>
      <c r="F207" s="782">
        <v>0</v>
      </c>
      <c r="G207" s="780" t="s">
        <v>872</v>
      </c>
      <c r="H207" s="783">
        <v>1</v>
      </c>
      <c r="I207" s="783"/>
      <c r="J207" s="784">
        <v>3.3389000000000002</v>
      </c>
      <c r="K207" s="785">
        <f t="shared" si="39"/>
        <v>3.3389000000000002</v>
      </c>
      <c r="L207" s="786" t="s">
        <v>873</v>
      </c>
      <c r="M207" s="919" t="s">
        <v>1029</v>
      </c>
    </row>
    <row r="208" spans="1:13" s="766" customFormat="1" ht="15.6" thickBot="1">
      <c r="A208" s="796" t="str">
        <f>A207</f>
        <v>PCDA900P0101</v>
      </c>
      <c r="B208" s="797"/>
      <c r="C208" s="798"/>
      <c r="D208" s="799" t="s">
        <v>871</v>
      </c>
      <c r="E208" s="800" t="s">
        <v>581</v>
      </c>
      <c r="F208" s="801">
        <v>2300</v>
      </c>
      <c r="G208" s="799" t="s">
        <v>872</v>
      </c>
      <c r="H208" s="802">
        <v>1</v>
      </c>
      <c r="I208" s="802"/>
      <c r="J208" s="803">
        <v>3.3389000000000002</v>
      </c>
      <c r="K208" s="804">
        <f t="shared" ref="K208" si="42">J208/H208</f>
        <v>3.3389000000000002</v>
      </c>
      <c r="L208" s="805" t="s">
        <v>873</v>
      </c>
      <c r="M208" s="919" t="s">
        <v>1029</v>
      </c>
    </row>
    <row r="209" spans="1:13" s="723" customFormat="1" ht="15.6" thickBot="1">
      <c r="A209" s="714" t="s">
        <v>875</v>
      </c>
      <c r="B209" s="715" t="s">
        <v>840</v>
      </c>
      <c r="C209" s="716" t="s">
        <v>876</v>
      </c>
      <c r="D209" s="717" t="s">
        <v>871</v>
      </c>
      <c r="E209" s="718" t="s">
        <v>581</v>
      </c>
      <c r="F209" s="719">
        <v>0</v>
      </c>
      <c r="G209" s="717" t="s">
        <v>872</v>
      </c>
      <c r="H209" s="720">
        <v>1</v>
      </c>
      <c r="I209" s="720"/>
      <c r="J209" s="721">
        <v>0.86660000000000004</v>
      </c>
      <c r="K209" s="713">
        <f t="shared" si="39"/>
        <v>0.86660000000000004</v>
      </c>
      <c r="L209" s="722" t="s">
        <v>873</v>
      </c>
      <c r="M209" s="919" t="s">
        <v>1029</v>
      </c>
    </row>
    <row r="210" spans="1:13" s="723" customFormat="1" ht="15.6" thickBot="1">
      <c r="A210" s="714" t="s">
        <v>878</v>
      </c>
      <c r="B210" s="715" t="s">
        <v>842</v>
      </c>
      <c r="C210" s="716" t="s">
        <v>874</v>
      </c>
      <c r="D210" s="717" t="s">
        <v>871</v>
      </c>
      <c r="E210" s="718" t="s">
        <v>581</v>
      </c>
      <c r="F210" s="719">
        <v>0</v>
      </c>
      <c r="G210" s="717" t="s">
        <v>872</v>
      </c>
      <c r="H210" s="720">
        <v>1</v>
      </c>
      <c r="I210" s="720"/>
      <c r="J210" s="721">
        <v>0.1784</v>
      </c>
      <c r="K210" s="713">
        <f>J210/H210</f>
        <v>0.1784</v>
      </c>
      <c r="L210" s="722" t="s">
        <v>873</v>
      </c>
      <c r="M210" s="919" t="s">
        <v>1029</v>
      </c>
    </row>
    <row r="211" spans="1:13" s="723" customFormat="1" ht="15.6" thickBot="1">
      <c r="A211" s="714" t="s">
        <v>877</v>
      </c>
      <c r="B211" s="715" t="s">
        <v>841</v>
      </c>
      <c r="C211" s="716" t="s">
        <v>676</v>
      </c>
      <c r="D211" s="717" t="s">
        <v>460</v>
      </c>
      <c r="E211" s="718" t="s">
        <v>581</v>
      </c>
      <c r="F211" s="719">
        <v>0</v>
      </c>
      <c r="G211" s="717" t="s">
        <v>190</v>
      </c>
      <c r="H211" s="720">
        <v>1</v>
      </c>
      <c r="I211" s="720"/>
      <c r="J211" s="721">
        <v>0.28039999999999998</v>
      </c>
      <c r="K211" s="713">
        <f t="shared" si="39"/>
        <v>0.28039999999999998</v>
      </c>
      <c r="L211" s="722" t="s">
        <v>192</v>
      </c>
      <c r="M211" s="919" t="s">
        <v>1029</v>
      </c>
    </row>
    <row r="212" spans="1:13" s="826" customFormat="1" ht="15.6" thickBot="1">
      <c r="A212" s="816" t="s">
        <v>986</v>
      </c>
      <c r="B212" s="817" t="s">
        <v>1006</v>
      </c>
      <c r="C212" s="818" t="s">
        <v>676</v>
      </c>
      <c r="D212" s="819" t="s">
        <v>460</v>
      </c>
      <c r="E212" s="820" t="s">
        <v>581</v>
      </c>
      <c r="F212" s="821">
        <v>0</v>
      </c>
      <c r="G212" s="819" t="s">
        <v>190</v>
      </c>
      <c r="H212" s="822">
        <v>1</v>
      </c>
      <c r="I212" s="822"/>
      <c r="J212" s="823">
        <v>0.72640000000000005</v>
      </c>
      <c r="K212" s="824">
        <f t="shared" ref="K212" si="43">J212/H212</f>
        <v>0.72640000000000005</v>
      </c>
      <c r="L212" s="825" t="s">
        <v>192</v>
      </c>
      <c r="M212" s="919" t="s">
        <v>1029</v>
      </c>
    </row>
    <row r="213" spans="1:13" s="826" customFormat="1" ht="15.6" thickBot="1">
      <c r="A213" s="827" t="s">
        <v>985</v>
      </c>
      <c r="B213" s="828" t="s">
        <v>1007</v>
      </c>
      <c r="C213" s="829" t="s">
        <v>984</v>
      </c>
      <c r="D213" s="830" t="s">
        <v>460</v>
      </c>
      <c r="E213" s="831" t="s">
        <v>581</v>
      </c>
      <c r="F213" s="832">
        <v>0</v>
      </c>
      <c r="G213" s="830" t="s">
        <v>190</v>
      </c>
      <c r="H213" s="833">
        <v>1</v>
      </c>
      <c r="I213" s="833"/>
      <c r="J213" s="834">
        <v>3.3389000000000002</v>
      </c>
      <c r="K213" s="738">
        <f t="shared" ref="K213" si="44">J213/H213</f>
        <v>3.3389000000000002</v>
      </c>
      <c r="L213" s="835" t="s">
        <v>192</v>
      </c>
      <c r="M213" s="919" t="s">
        <v>1029</v>
      </c>
    </row>
    <row r="214" spans="1:13" s="826" customFormat="1" ht="15.6" thickBot="1">
      <c r="A214" s="827" t="s">
        <v>981</v>
      </c>
      <c r="B214" s="828" t="s">
        <v>1008</v>
      </c>
      <c r="C214" s="829" t="s">
        <v>983</v>
      </c>
      <c r="D214" s="830" t="s">
        <v>460</v>
      </c>
      <c r="E214" s="831" t="s">
        <v>581</v>
      </c>
      <c r="F214" s="832">
        <v>0</v>
      </c>
      <c r="G214" s="830" t="s">
        <v>190</v>
      </c>
      <c r="H214" s="833">
        <v>1</v>
      </c>
      <c r="I214" s="833"/>
      <c r="J214" s="834">
        <v>2.6890000000000001</v>
      </c>
      <c r="K214" s="738">
        <f t="shared" ref="K214" si="45">J214/H214</f>
        <v>2.6890000000000001</v>
      </c>
      <c r="L214" s="835" t="s">
        <v>192</v>
      </c>
      <c r="M214" s="919" t="s">
        <v>1029</v>
      </c>
    </row>
    <row r="215" spans="1:13" s="826" customFormat="1" ht="15.6" thickBot="1">
      <c r="A215" s="816" t="s">
        <v>1001</v>
      </c>
      <c r="B215" s="817" t="s">
        <v>1009</v>
      </c>
      <c r="C215" s="818" t="s">
        <v>1002</v>
      </c>
      <c r="D215" s="819" t="s">
        <v>1003</v>
      </c>
      <c r="E215" s="820" t="s">
        <v>581</v>
      </c>
      <c r="F215" s="821">
        <v>0</v>
      </c>
      <c r="G215" s="819" t="s">
        <v>1004</v>
      </c>
      <c r="H215" s="822">
        <v>1</v>
      </c>
      <c r="I215" s="822"/>
      <c r="J215" s="823">
        <v>2.6890000000000001</v>
      </c>
      <c r="K215" s="824">
        <f t="shared" ref="K215" si="46">J215/H215</f>
        <v>2.6890000000000001</v>
      </c>
      <c r="L215" s="825" t="s">
        <v>1005</v>
      </c>
      <c r="M215" s="919" t="s">
        <v>1029</v>
      </c>
    </row>
  </sheetData>
  <autoFilter ref="A2:M174"/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L54"/>
  <sheetViews>
    <sheetView showGridLines="0" workbookViewId="0">
      <pane xSplit="4" ySplit="2" topLeftCell="F17" activePane="bottomRight" state="frozen"/>
      <selection activeCell="A47" sqref="A47"/>
      <selection pane="topRight" activeCell="A47" sqref="A47"/>
      <selection pane="bottomLeft" activeCell="A47" sqref="A47"/>
      <selection pane="bottomRight" activeCell="J53" sqref="J53"/>
    </sheetView>
  </sheetViews>
  <sheetFormatPr defaultColWidth="9" defaultRowHeight="12"/>
  <cols>
    <col min="1" max="1" width="12.19921875" style="7" bestFit="1" customWidth="1"/>
    <col min="2" max="2" width="26.19921875" style="62" customWidth="1"/>
    <col min="3" max="3" width="6.59765625" style="5" customWidth="1"/>
    <col min="4" max="4" width="6" style="5" customWidth="1"/>
    <col min="5" max="5" width="26" style="5" customWidth="1"/>
    <col min="6" max="6" width="7.8984375" style="40" customWidth="1"/>
    <col min="7" max="7" width="3.5" style="5" customWidth="1"/>
    <col min="8" max="8" width="6" style="5" customWidth="1"/>
    <col min="9" max="9" width="8" style="5" hidden="1" customWidth="1"/>
    <col min="10" max="10" width="9.59765625" style="146" customWidth="1"/>
    <col min="11" max="11" width="6.19921875" style="6" customWidth="1"/>
    <col min="12" max="12" width="11.8984375" style="5" customWidth="1"/>
    <col min="13" max="16384" width="9" style="5"/>
  </cols>
  <sheetData>
    <row r="1" spans="1:12" ht="12.6" thickBot="1"/>
    <row r="2" spans="1:12" s="6" customFormat="1" ht="20.25" customHeight="1" thickBot="1">
      <c r="A2" s="335" t="s">
        <v>22</v>
      </c>
      <c r="B2" s="336" t="s">
        <v>23</v>
      </c>
      <c r="C2" s="337" t="s">
        <v>151</v>
      </c>
      <c r="D2" s="337" t="s">
        <v>24</v>
      </c>
      <c r="E2" s="337" t="s">
        <v>25</v>
      </c>
      <c r="F2" s="338" t="s">
        <v>191</v>
      </c>
      <c r="G2" s="337" t="s">
        <v>27</v>
      </c>
      <c r="H2" s="337" t="s">
        <v>28</v>
      </c>
      <c r="I2" s="337" t="s">
        <v>152</v>
      </c>
      <c r="J2" s="338" t="s">
        <v>29</v>
      </c>
      <c r="K2" s="337" t="s">
        <v>30</v>
      </c>
      <c r="L2" s="339" t="s">
        <v>153</v>
      </c>
    </row>
    <row r="3" spans="1:12" s="17" customFormat="1" ht="15" customHeight="1">
      <c r="A3" s="31" t="s">
        <v>587</v>
      </c>
      <c r="B3" s="138" t="s">
        <v>161</v>
      </c>
      <c r="C3" s="14" t="s">
        <v>179</v>
      </c>
      <c r="D3" s="14" t="s">
        <v>180</v>
      </c>
      <c r="E3" s="12" t="s">
        <v>183</v>
      </c>
      <c r="F3" s="41">
        <v>2.3999999999999998E-3</v>
      </c>
      <c r="G3" s="14" t="s">
        <v>190</v>
      </c>
      <c r="H3" s="340">
        <v>1</v>
      </c>
      <c r="I3" s="15"/>
      <c r="J3" s="41">
        <f>212.41*1.17</f>
        <v>248.51969999999997</v>
      </c>
      <c r="K3" s="16" t="s">
        <v>154</v>
      </c>
      <c r="L3" s="13" t="s">
        <v>193</v>
      </c>
    </row>
    <row r="4" spans="1:12" s="17" customFormat="1" ht="15" customHeight="1" thickBot="1">
      <c r="A4" s="32" t="s">
        <v>588</v>
      </c>
      <c r="B4" s="139" t="s">
        <v>162</v>
      </c>
      <c r="C4" s="26" t="s">
        <v>178</v>
      </c>
      <c r="D4" s="26" t="s">
        <v>180</v>
      </c>
      <c r="E4" s="33" t="s">
        <v>183</v>
      </c>
      <c r="F4" s="42">
        <v>2.3999999999999998E-3</v>
      </c>
      <c r="G4" s="26" t="s">
        <v>190</v>
      </c>
      <c r="H4" s="341">
        <v>1</v>
      </c>
      <c r="I4" s="28"/>
      <c r="J4" s="65">
        <f>212.41*1.17</f>
        <v>248.51969999999997</v>
      </c>
      <c r="K4" s="29" t="s">
        <v>154</v>
      </c>
      <c r="L4" s="45" t="s">
        <v>193</v>
      </c>
    </row>
    <row r="5" spans="1:12" s="17" customFormat="1" ht="15" customHeight="1">
      <c r="A5" s="23" t="s">
        <v>247</v>
      </c>
      <c r="B5" s="142" t="s">
        <v>540</v>
      </c>
      <c r="C5" s="14" t="s">
        <v>178</v>
      </c>
      <c r="D5" s="14" t="s">
        <v>848</v>
      </c>
      <c r="E5" s="12" t="s">
        <v>849</v>
      </c>
      <c r="F5" s="41">
        <v>8.0000000000000004E-4</v>
      </c>
      <c r="G5" s="14" t="s">
        <v>850</v>
      </c>
      <c r="H5" s="340">
        <v>1</v>
      </c>
      <c r="I5" s="15"/>
      <c r="J5" s="874">
        <v>180</v>
      </c>
      <c r="K5" s="16" t="s">
        <v>851</v>
      </c>
      <c r="L5" s="13" t="s">
        <v>193</v>
      </c>
    </row>
    <row r="6" spans="1:12" s="17" customFormat="1" ht="15" customHeight="1">
      <c r="A6" s="24" t="s">
        <v>163</v>
      </c>
      <c r="B6" s="145" t="s">
        <v>541</v>
      </c>
      <c r="C6" s="18" t="s">
        <v>178</v>
      </c>
      <c r="D6" s="18" t="s">
        <v>848</v>
      </c>
      <c r="E6" s="280" t="s">
        <v>849</v>
      </c>
      <c r="F6" s="43">
        <v>2.1999999999999999E-2</v>
      </c>
      <c r="G6" s="18" t="s">
        <v>852</v>
      </c>
      <c r="H6" s="342">
        <v>1</v>
      </c>
      <c r="I6" s="19"/>
      <c r="J6" s="43">
        <f>160.683*1.17/1000</f>
        <v>0.18799910999999997</v>
      </c>
      <c r="K6" s="20" t="s">
        <v>851</v>
      </c>
      <c r="L6" s="281" t="s">
        <v>193</v>
      </c>
    </row>
    <row r="7" spans="1:12" s="17" customFormat="1" ht="15" customHeight="1" thickBot="1">
      <c r="A7" s="25" t="s">
        <v>155</v>
      </c>
      <c r="B7" s="140" t="s">
        <v>164</v>
      </c>
      <c r="C7" s="26" t="s">
        <v>178</v>
      </c>
      <c r="D7" s="26" t="s">
        <v>848</v>
      </c>
      <c r="E7" s="33" t="s">
        <v>849</v>
      </c>
      <c r="F7" s="42">
        <v>2.5999999999999999E-2</v>
      </c>
      <c r="G7" s="26" t="s">
        <v>853</v>
      </c>
      <c r="H7" s="341">
        <v>1</v>
      </c>
      <c r="I7" s="28"/>
      <c r="J7" s="42">
        <f>23.9316*1.17/1000</f>
        <v>2.7999971999999995E-2</v>
      </c>
      <c r="K7" s="29" t="s">
        <v>851</v>
      </c>
      <c r="L7" s="45" t="s">
        <v>193</v>
      </c>
    </row>
    <row r="8" spans="1:12" s="17" customFormat="1" ht="15" customHeight="1" thickBot="1">
      <c r="A8" s="34" t="s">
        <v>165</v>
      </c>
      <c r="B8" s="35" t="s">
        <v>166</v>
      </c>
      <c r="C8" s="36" t="s">
        <v>178</v>
      </c>
      <c r="D8" s="36" t="s">
        <v>854</v>
      </c>
      <c r="E8" s="39" t="s">
        <v>855</v>
      </c>
      <c r="F8" s="44">
        <f>33*1.45</f>
        <v>47.85</v>
      </c>
      <c r="G8" s="36" t="s">
        <v>853</v>
      </c>
      <c r="H8" s="343">
        <v>1</v>
      </c>
      <c r="I8" s="37"/>
      <c r="J8" s="44">
        <f>3*1.17/1000</f>
        <v>3.5099999999999997E-3</v>
      </c>
      <c r="K8" s="38" t="s">
        <v>851</v>
      </c>
      <c r="L8" s="46" t="s">
        <v>194</v>
      </c>
    </row>
    <row r="9" spans="1:12" s="17" customFormat="1" ht="15" customHeight="1" thickBot="1">
      <c r="A9" s="34" t="s">
        <v>586</v>
      </c>
      <c r="B9" s="141" t="s">
        <v>167</v>
      </c>
      <c r="C9" s="36" t="s">
        <v>178</v>
      </c>
      <c r="D9" s="36" t="s">
        <v>748</v>
      </c>
      <c r="E9" s="39" t="s">
        <v>856</v>
      </c>
      <c r="F9" s="44">
        <v>1</v>
      </c>
      <c r="G9" s="36" t="s">
        <v>857</v>
      </c>
      <c r="H9" s="343">
        <v>1</v>
      </c>
      <c r="I9" s="37"/>
      <c r="J9" s="44">
        <f>0.8547*1.17</f>
        <v>0.99999899999999997</v>
      </c>
      <c r="K9" s="38" t="s">
        <v>858</v>
      </c>
      <c r="L9" s="46" t="s">
        <v>194</v>
      </c>
    </row>
    <row r="10" spans="1:12" s="518" customFormat="1" ht="15" hidden="1" customHeight="1">
      <c r="A10" s="512" t="s">
        <v>214</v>
      </c>
      <c r="B10" s="513" t="s">
        <v>168</v>
      </c>
      <c r="C10" s="514" t="s">
        <v>178</v>
      </c>
      <c r="D10" s="514" t="s">
        <v>181</v>
      </c>
      <c r="E10" s="514" t="s">
        <v>185</v>
      </c>
      <c r="F10" s="515">
        <v>2</v>
      </c>
      <c r="G10" s="514" t="s">
        <v>190</v>
      </c>
      <c r="H10" s="514">
        <v>1</v>
      </c>
      <c r="I10" s="514"/>
      <c r="J10" s="515">
        <v>0.12</v>
      </c>
      <c r="K10" s="516" t="s">
        <v>192</v>
      </c>
      <c r="L10" s="517"/>
    </row>
    <row r="11" spans="1:12" s="518" customFormat="1" ht="15" hidden="1" customHeight="1">
      <c r="A11" s="519" t="s">
        <v>215</v>
      </c>
      <c r="B11" s="520" t="s">
        <v>169</v>
      </c>
      <c r="C11" s="521" t="s">
        <v>178</v>
      </c>
      <c r="D11" s="521" t="s">
        <v>181</v>
      </c>
      <c r="E11" s="521" t="s">
        <v>184</v>
      </c>
      <c r="F11" s="522">
        <v>1</v>
      </c>
      <c r="G11" s="521" t="s">
        <v>190</v>
      </c>
      <c r="H11" s="521">
        <v>1</v>
      </c>
      <c r="I11" s="521"/>
      <c r="J11" s="522">
        <v>0.11</v>
      </c>
      <c r="K11" s="523" t="s">
        <v>192</v>
      </c>
      <c r="L11" s="524"/>
    </row>
    <row r="12" spans="1:12" s="518" customFormat="1" ht="15" hidden="1" customHeight="1">
      <c r="A12" s="519" t="s">
        <v>216</v>
      </c>
      <c r="B12" s="520" t="s">
        <v>170</v>
      </c>
      <c r="C12" s="521" t="s">
        <v>178</v>
      </c>
      <c r="D12" s="521" t="s">
        <v>181</v>
      </c>
      <c r="E12" s="521" t="s">
        <v>185</v>
      </c>
      <c r="F12" s="522">
        <v>1</v>
      </c>
      <c r="G12" s="521" t="s">
        <v>190</v>
      </c>
      <c r="H12" s="521">
        <v>1</v>
      </c>
      <c r="I12" s="521"/>
      <c r="J12" s="522">
        <v>0.13</v>
      </c>
      <c r="K12" s="523" t="s">
        <v>192</v>
      </c>
      <c r="L12" s="524"/>
    </row>
    <row r="13" spans="1:12" s="518" customFormat="1" ht="15" hidden="1" customHeight="1">
      <c r="A13" s="519" t="s">
        <v>217</v>
      </c>
      <c r="B13" s="525" t="s">
        <v>171</v>
      </c>
      <c r="C13" s="521" t="s">
        <v>178</v>
      </c>
      <c r="D13" s="521" t="s">
        <v>181</v>
      </c>
      <c r="E13" s="521" t="s">
        <v>184</v>
      </c>
      <c r="F13" s="522">
        <v>1</v>
      </c>
      <c r="G13" s="521" t="s">
        <v>190</v>
      </c>
      <c r="H13" s="521">
        <v>1</v>
      </c>
      <c r="I13" s="521"/>
      <c r="J13" s="522">
        <v>0.128</v>
      </c>
      <c r="K13" s="523" t="s">
        <v>192</v>
      </c>
      <c r="L13" s="524"/>
    </row>
    <row r="14" spans="1:12" s="518" customFormat="1" ht="15" hidden="1" customHeight="1">
      <c r="A14" s="519" t="s">
        <v>218</v>
      </c>
      <c r="B14" s="526" t="s">
        <v>172</v>
      </c>
      <c r="C14" s="521" t="s">
        <v>178</v>
      </c>
      <c r="D14" s="521" t="s">
        <v>181</v>
      </c>
      <c r="E14" s="521" t="s">
        <v>185</v>
      </c>
      <c r="F14" s="522">
        <v>1</v>
      </c>
      <c r="G14" s="521" t="s">
        <v>190</v>
      </c>
      <c r="H14" s="521">
        <v>1</v>
      </c>
      <c r="I14" s="521"/>
      <c r="J14" s="522">
        <v>0.105</v>
      </c>
      <c r="K14" s="523" t="s">
        <v>192</v>
      </c>
      <c r="L14" s="524"/>
    </row>
    <row r="15" spans="1:12" s="518" customFormat="1" ht="15" hidden="1" customHeight="1">
      <c r="A15" s="519" t="s">
        <v>173</v>
      </c>
      <c r="B15" s="520" t="s">
        <v>174</v>
      </c>
      <c r="C15" s="521" t="s">
        <v>178</v>
      </c>
      <c r="D15" s="521" t="s">
        <v>181</v>
      </c>
      <c r="E15" s="521" t="s">
        <v>185</v>
      </c>
      <c r="F15" s="522">
        <v>1</v>
      </c>
      <c r="G15" s="521" t="s">
        <v>190</v>
      </c>
      <c r="H15" s="521">
        <v>1</v>
      </c>
      <c r="I15" s="47"/>
      <c r="J15" s="522">
        <v>0.215</v>
      </c>
      <c r="K15" s="523" t="s">
        <v>192</v>
      </c>
      <c r="L15" s="524"/>
    </row>
    <row r="16" spans="1:12" s="518" customFormat="1" ht="15" hidden="1" customHeight="1">
      <c r="A16" s="519" t="s">
        <v>816</v>
      </c>
      <c r="B16" s="520" t="s">
        <v>817</v>
      </c>
      <c r="C16" s="521" t="s">
        <v>818</v>
      </c>
      <c r="D16" s="521" t="s">
        <v>819</v>
      </c>
      <c r="E16" s="521" t="s">
        <v>820</v>
      </c>
      <c r="F16" s="522">
        <v>1</v>
      </c>
      <c r="G16" s="521" t="s">
        <v>763</v>
      </c>
      <c r="H16" s="521">
        <v>1</v>
      </c>
      <c r="I16" s="47"/>
      <c r="J16" s="522">
        <v>3.1E-2</v>
      </c>
      <c r="K16" s="523" t="s">
        <v>764</v>
      </c>
      <c r="L16" s="524"/>
    </row>
    <row r="17" spans="1:12" s="17" customFormat="1" ht="15" customHeight="1">
      <c r="A17" s="24" t="s">
        <v>589</v>
      </c>
      <c r="B17" s="143" t="s">
        <v>175</v>
      </c>
      <c r="C17" s="18" t="s">
        <v>178</v>
      </c>
      <c r="D17" s="18" t="s">
        <v>181</v>
      </c>
      <c r="E17" s="18" t="s">
        <v>185</v>
      </c>
      <c r="F17" s="43">
        <v>1</v>
      </c>
      <c r="G17" s="18" t="s">
        <v>190</v>
      </c>
      <c r="H17" s="342">
        <v>1</v>
      </c>
      <c r="I17" s="19"/>
      <c r="J17" s="43">
        <v>0.03</v>
      </c>
      <c r="K17" s="20" t="s">
        <v>192</v>
      </c>
      <c r="L17" s="22"/>
    </row>
    <row r="18" spans="1:12" s="17" customFormat="1" ht="15" customHeight="1">
      <c r="A18" s="24" t="s">
        <v>590</v>
      </c>
      <c r="B18" s="143" t="s">
        <v>176</v>
      </c>
      <c r="C18" s="18" t="s">
        <v>178</v>
      </c>
      <c r="D18" s="18" t="s">
        <v>181</v>
      </c>
      <c r="E18" s="18" t="s">
        <v>185</v>
      </c>
      <c r="F18" s="43">
        <v>1</v>
      </c>
      <c r="G18" s="18" t="s">
        <v>190</v>
      </c>
      <c r="H18" s="342">
        <v>1</v>
      </c>
      <c r="I18" s="19"/>
      <c r="J18" s="43">
        <v>0.43</v>
      </c>
      <c r="K18" s="20" t="s">
        <v>192</v>
      </c>
      <c r="L18" s="22"/>
    </row>
    <row r="19" spans="1:12" s="17" customFormat="1" ht="15" customHeight="1" thickBot="1">
      <c r="A19" s="25" t="s">
        <v>591</v>
      </c>
      <c r="B19" s="144" t="s">
        <v>177</v>
      </c>
      <c r="C19" s="26" t="s">
        <v>178</v>
      </c>
      <c r="D19" s="26" t="s">
        <v>181</v>
      </c>
      <c r="E19" s="26" t="s">
        <v>185</v>
      </c>
      <c r="F19" s="42">
        <v>1</v>
      </c>
      <c r="G19" s="26" t="s">
        <v>190</v>
      </c>
      <c r="H19" s="344">
        <v>1</v>
      </c>
      <c r="I19" s="27"/>
      <c r="J19" s="42">
        <v>5.1299999999999998E-2</v>
      </c>
      <c r="K19" s="29" t="s">
        <v>192</v>
      </c>
      <c r="L19" s="30"/>
    </row>
    <row r="20" spans="1:12" s="518" customFormat="1" ht="15" hidden="1" customHeight="1">
      <c r="A20" s="512" t="s">
        <v>214</v>
      </c>
      <c r="B20" s="513" t="s">
        <v>168</v>
      </c>
      <c r="C20" s="514" t="s">
        <v>178</v>
      </c>
      <c r="D20" s="514" t="s">
        <v>182</v>
      </c>
      <c r="E20" s="514" t="s">
        <v>187</v>
      </c>
      <c r="F20" s="515">
        <v>2</v>
      </c>
      <c r="G20" s="514" t="s">
        <v>190</v>
      </c>
      <c r="H20" s="514">
        <v>1</v>
      </c>
      <c r="I20" s="514"/>
      <c r="J20" s="515">
        <v>0.12</v>
      </c>
      <c r="K20" s="516" t="s">
        <v>192</v>
      </c>
      <c r="L20" s="517"/>
    </row>
    <row r="21" spans="1:12" s="518" customFormat="1" ht="15" hidden="1" customHeight="1">
      <c r="A21" s="519" t="s">
        <v>215</v>
      </c>
      <c r="B21" s="520" t="s">
        <v>169</v>
      </c>
      <c r="C21" s="521" t="s">
        <v>178</v>
      </c>
      <c r="D21" s="521" t="s">
        <v>182</v>
      </c>
      <c r="E21" s="521" t="s">
        <v>187</v>
      </c>
      <c r="F21" s="522">
        <v>1</v>
      </c>
      <c r="G21" s="521" t="s">
        <v>190</v>
      </c>
      <c r="H21" s="521">
        <v>1</v>
      </c>
      <c r="I21" s="521"/>
      <c r="J21" s="522">
        <v>0.12</v>
      </c>
      <c r="K21" s="523" t="s">
        <v>192</v>
      </c>
      <c r="L21" s="524"/>
    </row>
    <row r="22" spans="1:12" s="518" customFormat="1" ht="15" hidden="1" customHeight="1">
      <c r="A22" s="519" t="s">
        <v>216</v>
      </c>
      <c r="B22" s="520" t="s">
        <v>170</v>
      </c>
      <c r="C22" s="521" t="s">
        <v>178</v>
      </c>
      <c r="D22" s="521" t="s">
        <v>182</v>
      </c>
      <c r="E22" s="521" t="s">
        <v>187</v>
      </c>
      <c r="F22" s="522">
        <v>1</v>
      </c>
      <c r="G22" s="521" t="s">
        <v>190</v>
      </c>
      <c r="H22" s="521">
        <v>1</v>
      </c>
      <c r="I22" s="521"/>
      <c r="J22" s="522">
        <v>0.13</v>
      </c>
      <c r="K22" s="523" t="s">
        <v>192</v>
      </c>
      <c r="L22" s="524"/>
    </row>
    <row r="23" spans="1:12" s="518" customFormat="1" ht="15" hidden="1" customHeight="1">
      <c r="A23" s="519" t="s">
        <v>217</v>
      </c>
      <c r="B23" s="525" t="s">
        <v>171</v>
      </c>
      <c r="C23" s="521" t="s">
        <v>178</v>
      </c>
      <c r="D23" s="521" t="s">
        <v>182</v>
      </c>
      <c r="E23" s="521" t="s">
        <v>186</v>
      </c>
      <c r="F23" s="522">
        <v>1</v>
      </c>
      <c r="G23" s="521" t="s">
        <v>190</v>
      </c>
      <c r="H23" s="521">
        <v>1</v>
      </c>
      <c r="I23" s="521"/>
      <c r="J23" s="522">
        <v>0.127</v>
      </c>
      <c r="K23" s="523" t="s">
        <v>192</v>
      </c>
      <c r="L23" s="524"/>
    </row>
    <row r="24" spans="1:12" s="518" customFormat="1" ht="15" hidden="1" customHeight="1">
      <c r="A24" s="519" t="s">
        <v>218</v>
      </c>
      <c r="B24" s="526" t="s">
        <v>172</v>
      </c>
      <c r="C24" s="521" t="s">
        <v>178</v>
      </c>
      <c r="D24" s="521" t="s">
        <v>182</v>
      </c>
      <c r="E24" s="521" t="s">
        <v>187</v>
      </c>
      <c r="F24" s="522">
        <v>1</v>
      </c>
      <c r="G24" s="521" t="s">
        <v>190</v>
      </c>
      <c r="H24" s="521">
        <v>1</v>
      </c>
      <c r="I24" s="521"/>
      <c r="J24" s="522">
        <v>0.1</v>
      </c>
      <c r="K24" s="523" t="s">
        <v>192</v>
      </c>
      <c r="L24" s="524"/>
    </row>
    <row r="25" spans="1:12" s="518" customFormat="1" ht="15" hidden="1" customHeight="1">
      <c r="A25" s="519" t="s">
        <v>173</v>
      </c>
      <c r="B25" s="520" t="s">
        <v>174</v>
      </c>
      <c r="C25" s="521" t="s">
        <v>178</v>
      </c>
      <c r="D25" s="521" t="s">
        <v>181</v>
      </c>
      <c r="E25" s="521" t="s">
        <v>185</v>
      </c>
      <c r="F25" s="522">
        <v>1</v>
      </c>
      <c r="G25" s="521" t="s">
        <v>190</v>
      </c>
      <c r="H25" s="521">
        <v>1</v>
      </c>
      <c r="I25" s="47"/>
      <c r="J25" s="522">
        <v>0.215</v>
      </c>
      <c r="K25" s="523" t="s">
        <v>192</v>
      </c>
      <c r="L25" s="524"/>
    </row>
    <row r="26" spans="1:12" s="518" customFormat="1" ht="15" hidden="1" customHeight="1">
      <c r="A26" s="519" t="s">
        <v>816</v>
      </c>
      <c r="B26" s="520" t="s">
        <v>817</v>
      </c>
      <c r="C26" s="521" t="s">
        <v>818</v>
      </c>
      <c r="D26" s="521" t="s">
        <v>819</v>
      </c>
      <c r="E26" s="521" t="s">
        <v>820</v>
      </c>
      <c r="F26" s="522">
        <v>1</v>
      </c>
      <c r="G26" s="521" t="s">
        <v>763</v>
      </c>
      <c r="H26" s="521">
        <v>1</v>
      </c>
      <c r="I26" s="47"/>
      <c r="J26" s="522">
        <v>3.1E-2</v>
      </c>
      <c r="K26" s="523" t="s">
        <v>764</v>
      </c>
      <c r="L26" s="524"/>
    </row>
    <row r="27" spans="1:12" s="17" customFormat="1" ht="15" customHeight="1">
      <c r="A27" s="24" t="s">
        <v>685</v>
      </c>
      <c r="B27" s="143" t="s">
        <v>686</v>
      </c>
      <c r="C27" s="18" t="s">
        <v>682</v>
      </c>
      <c r="D27" s="18" t="s">
        <v>687</v>
      </c>
      <c r="E27" s="18" t="s">
        <v>936</v>
      </c>
      <c r="F27" s="43">
        <v>1</v>
      </c>
      <c r="G27" s="18" t="s">
        <v>683</v>
      </c>
      <c r="H27" s="342">
        <v>1</v>
      </c>
      <c r="I27" s="19"/>
      <c r="J27" s="43">
        <v>2.9000000000000001E-2</v>
      </c>
      <c r="K27" s="20" t="s">
        <v>684</v>
      </c>
      <c r="L27" s="22"/>
    </row>
    <row r="28" spans="1:12" s="17" customFormat="1" ht="15" customHeight="1">
      <c r="A28" s="24" t="s">
        <v>689</v>
      </c>
      <c r="B28" s="143" t="s">
        <v>690</v>
      </c>
      <c r="C28" s="18" t="s">
        <v>682</v>
      </c>
      <c r="D28" s="18" t="s">
        <v>687</v>
      </c>
      <c r="E28" s="18" t="s">
        <v>688</v>
      </c>
      <c r="F28" s="43">
        <v>1</v>
      </c>
      <c r="G28" s="18" t="s">
        <v>683</v>
      </c>
      <c r="H28" s="342">
        <v>1</v>
      </c>
      <c r="I28" s="19"/>
      <c r="J28" s="43">
        <v>0.42499999999999999</v>
      </c>
      <c r="K28" s="20" t="s">
        <v>684</v>
      </c>
      <c r="L28" s="22"/>
    </row>
    <row r="29" spans="1:12" s="17" customFormat="1" ht="15" customHeight="1" thickBot="1">
      <c r="A29" s="25" t="s">
        <v>691</v>
      </c>
      <c r="B29" s="144" t="s">
        <v>692</v>
      </c>
      <c r="C29" s="26" t="s">
        <v>682</v>
      </c>
      <c r="D29" s="26" t="s">
        <v>687</v>
      </c>
      <c r="E29" s="26" t="s">
        <v>688</v>
      </c>
      <c r="F29" s="42">
        <v>1</v>
      </c>
      <c r="G29" s="26" t="s">
        <v>683</v>
      </c>
      <c r="H29" s="344">
        <v>1</v>
      </c>
      <c r="I29" s="27"/>
      <c r="J29" s="42">
        <v>0.05</v>
      </c>
      <c r="K29" s="29" t="s">
        <v>684</v>
      </c>
      <c r="L29" s="30"/>
    </row>
    <row r="30" spans="1:12" s="518" customFormat="1" ht="15" hidden="1" customHeight="1">
      <c r="A30" s="512" t="s">
        <v>156</v>
      </c>
      <c r="B30" s="513" t="s">
        <v>693</v>
      </c>
      <c r="C30" s="514" t="s">
        <v>682</v>
      </c>
      <c r="D30" s="514" t="s">
        <v>694</v>
      </c>
      <c r="E30" s="514" t="s">
        <v>695</v>
      </c>
      <c r="F30" s="515">
        <v>4</v>
      </c>
      <c r="G30" s="514" t="s">
        <v>683</v>
      </c>
      <c r="H30" s="514">
        <v>1</v>
      </c>
      <c r="I30" s="368"/>
      <c r="J30" s="515">
        <v>1.7999999999999999E-2</v>
      </c>
      <c r="K30" s="516" t="s">
        <v>684</v>
      </c>
      <c r="L30" s="549" t="s">
        <v>696</v>
      </c>
    </row>
    <row r="31" spans="1:12" s="518" customFormat="1" ht="15" hidden="1" customHeight="1">
      <c r="A31" s="519" t="s">
        <v>157</v>
      </c>
      <c r="B31" s="525" t="s">
        <v>697</v>
      </c>
      <c r="C31" s="521" t="s">
        <v>682</v>
      </c>
      <c r="D31" s="521" t="s">
        <v>694</v>
      </c>
      <c r="E31" s="521" t="s">
        <v>695</v>
      </c>
      <c r="F31" s="522">
        <v>2</v>
      </c>
      <c r="G31" s="521" t="s">
        <v>683</v>
      </c>
      <c r="H31" s="521">
        <v>1</v>
      </c>
      <c r="I31" s="521"/>
      <c r="J31" s="522">
        <v>2.0400000000000001E-2</v>
      </c>
      <c r="K31" s="523" t="s">
        <v>684</v>
      </c>
      <c r="L31" s="524"/>
    </row>
    <row r="32" spans="1:12" s="17" customFormat="1" ht="15" customHeight="1">
      <c r="A32" s="370" t="s">
        <v>556</v>
      </c>
      <c r="B32" s="371" t="s">
        <v>557</v>
      </c>
      <c r="C32" s="18" t="s">
        <v>682</v>
      </c>
      <c r="D32" s="18" t="s">
        <v>694</v>
      </c>
      <c r="E32" s="18" t="s">
        <v>695</v>
      </c>
      <c r="F32" s="372">
        <v>3</v>
      </c>
      <c r="G32" s="18" t="s">
        <v>683</v>
      </c>
      <c r="H32" s="342">
        <v>1</v>
      </c>
      <c r="I32" s="373"/>
      <c r="J32" s="372">
        <v>1.7000000000000001E-2</v>
      </c>
      <c r="K32" s="20" t="s">
        <v>684</v>
      </c>
      <c r="L32" s="374"/>
    </row>
    <row r="33" spans="1:12" s="17" customFormat="1" ht="15" customHeight="1" thickBot="1">
      <c r="A33" s="25" t="s">
        <v>903</v>
      </c>
      <c r="B33" s="144" t="s">
        <v>904</v>
      </c>
      <c r="C33" s="26" t="s">
        <v>905</v>
      </c>
      <c r="D33" s="26" t="s">
        <v>906</v>
      </c>
      <c r="E33" s="26" t="s">
        <v>907</v>
      </c>
      <c r="F33" s="42">
        <v>1</v>
      </c>
      <c r="G33" s="26" t="s">
        <v>763</v>
      </c>
      <c r="H33" s="344">
        <v>1</v>
      </c>
      <c r="I33" s="27"/>
      <c r="J33" s="42">
        <v>2.1999999999999999E-2</v>
      </c>
      <c r="K33" s="29" t="s">
        <v>553</v>
      </c>
      <c r="L33" s="30" t="s">
        <v>698</v>
      </c>
    </row>
    <row r="34" spans="1:12" s="518" customFormat="1" ht="15" hidden="1" customHeight="1">
      <c r="A34" s="519" t="s">
        <v>158</v>
      </c>
      <c r="B34" s="520" t="s">
        <v>699</v>
      </c>
      <c r="C34" s="521" t="s">
        <v>682</v>
      </c>
      <c r="D34" s="521" t="s">
        <v>694</v>
      </c>
      <c r="E34" s="521" t="s">
        <v>695</v>
      </c>
      <c r="F34" s="522">
        <v>4</v>
      </c>
      <c r="G34" s="521" t="s">
        <v>683</v>
      </c>
      <c r="H34" s="521">
        <v>1</v>
      </c>
      <c r="I34" s="521"/>
      <c r="J34" s="522">
        <v>3.6600000000000001E-2</v>
      </c>
      <c r="K34" s="523" t="s">
        <v>684</v>
      </c>
      <c r="L34" s="524"/>
    </row>
    <row r="35" spans="1:12" s="518" customFormat="1" ht="15" hidden="1" customHeight="1">
      <c r="A35" s="519" t="s">
        <v>700</v>
      </c>
      <c r="B35" s="520" t="s">
        <v>701</v>
      </c>
      <c r="C35" s="521" t="s">
        <v>682</v>
      </c>
      <c r="D35" s="521" t="s">
        <v>694</v>
      </c>
      <c r="E35" s="521" t="s">
        <v>695</v>
      </c>
      <c r="F35" s="522">
        <v>4</v>
      </c>
      <c r="G35" s="521" t="s">
        <v>683</v>
      </c>
      <c r="H35" s="521">
        <v>1</v>
      </c>
      <c r="I35" s="521"/>
      <c r="J35" s="522">
        <v>4.1000000000000002E-2</v>
      </c>
      <c r="K35" s="523" t="s">
        <v>684</v>
      </c>
      <c r="L35" s="524"/>
    </row>
    <row r="36" spans="1:12" s="518" customFormat="1" ht="15" hidden="1" customHeight="1">
      <c r="A36" s="519" t="s">
        <v>159</v>
      </c>
      <c r="B36" s="520" t="s">
        <v>702</v>
      </c>
      <c r="C36" s="521" t="s">
        <v>682</v>
      </c>
      <c r="D36" s="521" t="s">
        <v>694</v>
      </c>
      <c r="E36" s="521" t="s">
        <v>188</v>
      </c>
      <c r="F36" s="522">
        <v>1</v>
      </c>
      <c r="G36" s="521" t="s">
        <v>683</v>
      </c>
      <c r="H36" s="521">
        <v>1</v>
      </c>
      <c r="I36" s="521"/>
      <c r="J36" s="522">
        <v>3.0099999999999998E-2</v>
      </c>
      <c r="K36" s="523" t="s">
        <v>684</v>
      </c>
      <c r="L36" s="524"/>
    </row>
    <row r="37" spans="1:12" s="518" customFormat="1" ht="15" hidden="1" customHeight="1">
      <c r="A37" s="519" t="s">
        <v>703</v>
      </c>
      <c r="B37" s="520" t="s">
        <v>704</v>
      </c>
      <c r="C37" s="521" t="s">
        <v>682</v>
      </c>
      <c r="D37" s="521" t="s">
        <v>694</v>
      </c>
      <c r="E37" s="521" t="s">
        <v>695</v>
      </c>
      <c r="F37" s="522">
        <v>3</v>
      </c>
      <c r="G37" s="521" t="s">
        <v>683</v>
      </c>
      <c r="H37" s="521">
        <v>1</v>
      </c>
      <c r="I37" s="521"/>
      <c r="J37" s="522">
        <v>7.1999999999999995E-2</v>
      </c>
      <c r="K37" s="523" t="s">
        <v>684</v>
      </c>
      <c r="L37" s="524"/>
    </row>
    <row r="38" spans="1:12" s="518" customFormat="1" ht="15" hidden="1" customHeight="1" thickBot="1">
      <c r="A38" s="527" t="s">
        <v>705</v>
      </c>
      <c r="B38" s="528" t="s">
        <v>706</v>
      </c>
      <c r="C38" s="529" t="s">
        <v>682</v>
      </c>
      <c r="D38" s="529" t="s">
        <v>694</v>
      </c>
      <c r="E38" s="529" t="s">
        <v>695</v>
      </c>
      <c r="F38" s="530">
        <v>6</v>
      </c>
      <c r="G38" s="529" t="s">
        <v>683</v>
      </c>
      <c r="H38" s="529">
        <v>1</v>
      </c>
      <c r="I38" s="529"/>
      <c r="J38" s="530">
        <v>4.3999999999999997E-2</v>
      </c>
      <c r="K38" s="531" t="s">
        <v>684</v>
      </c>
      <c r="L38" s="532"/>
    </row>
    <row r="39" spans="1:12" s="518" customFormat="1" ht="15" hidden="1" customHeight="1">
      <c r="A39" s="512" t="s">
        <v>707</v>
      </c>
      <c r="B39" s="513" t="s">
        <v>708</v>
      </c>
      <c r="C39" s="514" t="s">
        <v>682</v>
      </c>
      <c r="D39" s="514" t="s">
        <v>709</v>
      </c>
      <c r="E39" s="514" t="s">
        <v>710</v>
      </c>
      <c r="F39" s="515">
        <v>4.0000000000000001E-3</v>
      </c>
      <c r="G39" s="514" t="s">
        <v>711</v>
      </c>
      <c r="H39" s="514">
        <v>1</v>
      </c>
      <c r="I39" s="61"/>
      <c r="J39" s="515">
        <v>0.58299999999999996</v>
      </c>
      <c r="K39" s="516" t="s">
        <v>684</v>
      </c>
      <c r="L39" s="550"/>
    </row>
    <row r="40" spans="1:12" s="518" customFormat="1" ht="15" hidden="1" customHeight="1" thickBot="1">
      <c r="A40" s="527" t="s">
        <v>712</v>
      </c>
      <c r="B40" s="533" t="s">
        <v>713</v>
      </c>
      <c r="C40" s="529" t="s">
        <v>682</v>
      </c>
      <c r="D40" s="529" t="s">
        <v>709</v>
      </c>
      <c r="E40" s="529" t="s">
        <v>710</v>
      </c>
      <c r="F40" s="530">
        <v>0.09</v>
      </c>
      <c r="G40" s="529" t="s">
        <v>711</v>
      </c>
      <c r="H40" s="529">
        <v>1</v>
      </c>
      <c r="I40" s="529"/>
      <c r="J40" s="530">
        <v>0.126</v>
      </c>
      <c r="K40" s="531" t="s">
        <v>684</v>
      </c>
      <c r="L40" s="534"/>
    </row>
    <row r="41" spans="1:12" s="518" customFormat="1" ht="15" hidden="1" customHeight="1" thickBot="1">
      <c r="A41" s="527" t="s">
        <v>712</v>
      </c>
      <c r="B41" s="533" t="s">
        <v>713</v>
      </c>
      <c r="C41" s="529" t="s">
        <v>682</v>
      </c>
      <c r="D41" s="529" t="s">
        <v>714</v>
      </c>
      <c r="E41" s="535" t="s">
        <v>567</v>
      </c>
      <c r="F41" s="530">
        <v>0.09</v>
      </c>
      <c r="G41" s="529" t="s">
        <v>711</v>
      </c>
      <c r="H41" s="529">
        <v>1</v>
      </c>
      <c r="I41" s="529"/>
      <c r="J41" s="530">
        <v>0.1134</v>
      </c>
      <c r="K41" s="531" t="s">
        <v>715</v>
      </c>
      <c r="L41" s="536" t="s">
        <v>716</v>
      </c>
    </row>
    <row r="42" spans="1:12" s="518" customFormat="1" ht="15" hidden="1" customHeight="1">
      <c r="A42" s="512" t="s">
        <v>717</v>
      </c>
      <c r="B42" s="513" t="s">
        <v>160</v>
      </c>
      <c r="C42" s="514" t="s">
        <v>682</v>
      </c>
      <c r="D42" s="514" t="s">
        <v>718</v>
      </c>
      <c r="E42" s="537" t="s">
        <v>719</v>
      </c>
      <c r="F42" s="515">
        <v>3.5000000000000001E-3</v>
      </c>
      <c r="G42" s="514" t="s">
        <v>711</v>
      </c>
      <c r="H42" s="514">
        <v>1</v>
      </c>
      <c r="I42" s="514"/>
      <c r="J42" s="515">
        <f>786.3248*1.17/1000</f>
        <v>0.92000001599999992</v>
      </c>
      <c r="K42" s="516" t="s">
        <v>715</v>
      </c>
      <c r="L42" s="536" t="s">
        <v>716</v>
      </c>
    </row>
    <row r="43" spans="1:12" s="518" customFormat="1" ht="15" hidden="1" customHeight="1" thickBot="1">
      <c r="A43" s="538" t="s">
        <v>248</v>
      </c>
      <c r="B43" s="539" t="s">
        <v>160</v>
      </c>
      <c r="C43" s="540" t="s">
        <v>682</v>
      </c>
      <c r="D43" s="540" t="s">
        <v>718</v>
      </c>
      <c r="E43" s="668" t="s">
        <v>719</v>
      </c>
      <c r="F43" s="541">
        <v>4.0000000000000001E-3</v>
      </c>
      <c r="G43" s="540" t="s">
        <v>711</v>
      </c>
      <c r="H43" s="540">
        <v>1</v>
      </c>
      <c r="I43" s="540"/>
      <c r="J43" s="541">
        <f>794.8718*1.17/1000</f>
        <v>0.93000000599999999</v>
      </c>
      <c r="K43" s="542" t="s">
        <v>715</v>
      </c>
      <c r="L43" s="669" t="s">
        <v>716</v>
      </c>
    </row>
    <row r="44" spans="1:12" s="518" customFormat="1" ht="15" hidden="1" customHeight="1">
      <c r="A44" s="543" t="s">
        <v>720</v>
      </c>
      <c r="B44" s="544" t="s">
        <v>721</v>
      </c>
      <c r="C44" s="514" t="s">
        <v>682</v>
      </c>
      <c r="D44" s="514" t="s">
        <v>722</v>
      </c>
      <c r="E44" s="537" t="s">
        <v>189</v>
      </c>
      <c r="F44" s="515">
        <v>6.16</v>
      </c>
      <c r="G44" s="514" t="s">
        <v>711</v>
      </c>
      <c r="H44" s="514">
        <v>1</v>
      </c>
      <c r="I44" s="514"/>
      <c r="J44" s="515">
        <f>28.2051*1.17/1000</f>
        <v>3.2999966999999998E-2</v>
      </c>
      <c r="K44" s="516" t="s">
        <v>715</v>
      </c>
      <c r="L44" s="536" t="s">
        <v>716</v>
      </c>
    </row>
    <row r="45" spans="1:12" s="518" customFormat="1" ht="15" hidden="1" customHeight="1" thickBot="1">
      <c r="A45" s="545" t="s">
        <v>723</v>
      </c>
      <c r="B45" s="546" t="s">
        <v>724</v>
      </c>
      <c r="C45" s="529" t="s">
        <v>682</v>
      </c>
      <c r="D45" s="529" t="s">
        <v>722</v>
      </c>
      <c r="E45" s="535" t="s">
        <v>725</v>
      </c>
      <c r="F45" s="530">
        <v>0.1</v>
      </c>
      <c r="G45" s="529" t="s">
        <v>711</v>
      </c>
      <c r="H45" s="529">
        <v>1</v>
      </c>
      <c r="I45" s="529"/>
      <c r="J45" s="530">
        <f>24.7857*1.17/1000</f>
        <v>2.8999268999999998E-2</v>
      </c>
      <c r="K45" s="531" t="s">
        <v>715</v>
      </c>
      <c r="L45" s="547" t="s">
        <v>716</v>
      </c>
    </row>
    <row r="46" spans="1:12" s="369" customFormat="1" ht="15" hidden="1" customHeight="1" thickBot="1">
      <c r="A46" s="375" t="s">
        <v>726</v>
      </c>
      <c r="B46" s="376" t="s">
        <v>727</v>
      </c>
      <c r="C46" s="377" t="s">
        <v>682</v>
      </c>
      <c r="D46" s="377" t="s">
        <v>728</v>
      </c>
      <c r="E46" s="378" t="s">
        <v>569</v>
      </c>
      <c r="F46" s="379">
        <v>3.0999999999999999E-3</v>
      </c>
      <c r="G46" s="377" t="s">
        <v>729</v>
      </c>
      <c r="H46" s="377">
        <v>1</v>
      </c>
      <c r="I46" s="377"/>
      <c r="J46" s="379">
        <f>34.188*1.17</f>
        <v>39.999960000000002</v>
      </c>
      <c r="K46" s="380" t="s">
        <v>715</v>
      </c>
      <c r="L46" s="381" t="s">
        <v>716</v>
      </c>
    </row>
    <row r="47" spans="1:12" s="17" customFormat="1" ht="15" customHeight="1">
      <c r="A47" s="370" t="s">
        <v>556</v>
      </c>
      <c r="B47" s="371" t="s">
        <v>557</v>
      </c>
      <c r="C47" s="18" t="s">
        <v>179</v>
      </c>
      <c r="D47" s="18" t="s">
        <v>931</v>
      </c>
      <c r="E47" s="280" t="s">
        <v>935</v>
      </c>
      <c r="F47" s="372">
        <v>3</v>
      </c>
      <c r="G47" s="18" t="s">
        <v>190</v>
      </c>
      <c r="H47" s="342">
        <v>1</v>
      </c>
      <c r="I47" s="373"/>
      <c r="J47" s="372">
        <f>0.0154*1.17</f>
        <v>1.8017999999999999E-2</v>
      </c>
      <c r="K47" s="20" t="s">
        <v>120</v>
      </c>
      <c r="L47" s="374" t="s">
        <v>145</v>
      </c>
    </row>
    <row r="48" spans="1:12" s="17" customFormat="1" ht="15" customHeight="1" thickBot="1">
      <c r="A48" s="25" t="s">
        <v>903</v>
      </c>
      <c r="B48" s="144" t="s">
        <v>932</v>
      </c>
      <c r="C48" s="26" t="s">
        <v>179</v>
      </c>
      <c r="D48" s="26" t="s">
        <v>931</v>
      </c>
      <c r="E48" s="33" t="s">
        <v>935</v>
      </c>
      <c r="F48" s="42">
        <v>1</v>
      </c>
      <c r="G48" s="26" t="s">
        <v>190</v>
      </c>
      <c r="H48" s="344">
        <v>1</v>
      </c>
      <c r="I48" s="27"/>
      <c r="J48" s="42">
        <f>0.0197*1.17</f>
        <v>2.3048999999999997E-2</v>
      </c>
      <c r="K48" s="29" t="s">
        <v>120</v>
      </c>
      <c r="L48" s="30" t="s">
        <v>145</v>
      </c>
    </row>
    <row r="49" spans="1:12" s="17" customFormat="1" ht="15" customHeight="1" thickBot="1">
      <c r="A49" s="426" t="s">
        <v>568</v>
      </c>
      <c r="B49" s="427" t="s">
        <v>730</v>
      </c>
      <c r="C49" s="14" t="s">
        <v>682</v>
      </c>
      <c r="D49" s="14" t="s">
        <v>728</v>
      </c>
      <c r="E49" s="39" t="s">
        <v>569</v>
      </c>
      <c r="F49" s="428">
        <v>1.555E-3</v>
      </c>
      <c r="G49" s="429" t="s">
        <v>729</v>
      </c>
      <c r="H49" s="430">
        <v>1</v>
      </c>
      <c r="I49" s="431"/>
      <c r="J49" s="670">
        <f>60.683*1.17</f>
        <v>70.999110000000002</v>
      </c>
      <c r="K49" s="432" t="s">
        <v>715</v>
      </c>
      <c r="L49" s="732" t="s">
        <v>716</v>
      </c>
    </row>
    <row r="50" spans="1:12" s="17" customFormat="1" ht="15" customHeight="1">
      <c r="A50" s="11" t="s">
        <v>731</v>
      </c>
      <c r="B50" s="145" t="s">
        <v>732</v>
      </c>
      <c r="C50" s="671" t="s">
        <v>682</v>
      </c>
      <c r="D50" s="671" t="s">
        <v>733</v>
      </c>
      <c r="E50" s="280" t="s">
        <v>734</v>
      </c>
      <c r="F50" s="43">
        <v>2</v>
      </c>
      <c r="G50" s="18" t="s">
        <v>683</v>
      </c>
      <c r="H50" s="342">
        <v>1</v>
      </c>
      <c r="I50" s="19"/>
      <c r="J50" s="43">
        <f>0.0137*1.17</f>
        <v>1.6028999999999998E-2</v>
      </c>
      <c r="K50" s="20" t="s">
        <v>715</v>
      </c>
      <c r="L50" s="731" t="s">
        <v>716</v>
      </c>
    </row>
    <row r="51" spans="1:12" s="17" customFormat="1" ht="15" customHeight="1">
      <c r="A51" s="11" t="s">
        <v>735</v>
      </c>
      <c r="B51" s="145" t="s">
        <v>736</v>
      </c>
      <c r="C51" s="18" t="s">
        <v>682</v>
      </c>
      <c r="D51" s="18" t="s">
        <v>737</v>
      </c>
      <c r="E51" s="280" t="s">
        <v>249</v>
      </c>
      <c r="F51" s="43">
        <v>0.35</v>
      </c>
      <c r="G51" s="18" t="s">
        <v>711</v>
      </c>
      <c r="H51" s="342">
        <v>1</v>
      </c>
      <c r="I51" s="19"/>
      <c r="J51" s="43">
        <f>130.5/1000</f>
        <v>0.1305</v>
      </c>
      <c r="K51" s="20" t="s">
        <v>684</v>
      </c>
      <c r="L51" s="21"/>
    </row>
    <row r="52" spans="1:12" s="17" customFormat="1" ht="15" customHeight="1">
      <c r="A52" s="11" t="s">
        <v>738</v>
      </c>
      <c r="B52" s="145" t="s">
        <v>739</v>
      </c>
      <c r="C52" s="18" t="s">
        <v>682</v>
      </c>
      <c r="D52" s="18" t="s">
        <v>740</v>
      </c>
      <c r="E52" s="280" t="s">
        <v>741</v>
      </c>
      <c r="F52" s="43">
        <f>0.0002+0.00005</f>
        <v>2.5000000000000001E-4</v>
      </c>
      <c r="G52" s="18" t="s">
        <v>729</v>
      </c>
      <c r="H52" s="342">
        <v>1</v>
      </c>
      <c r="I52" s="19"/>
      <c r="J52" s="43">
        <f>248.23*1.03</f>
        <v>255.67689999999999</v>
      </c>
      <c r="K52" s="20" t="s">
        <v>715</v>
      </c>
      <c r="L52" s="281" t="s">
        <v>606</v>
      </c>
    </row>
    <row r="53" spans="1:12" s="17" customFormat="1" ht="15" customHeight="1">
      <c r="A53" s="11" t="s">
        <v>742</v>
      </c>
      <c r="B53" s="145" t="s">
        <v>743</v>
      </c>
      <c r="C53" s="18" t="s">
        <v>682</v>
      </c>
      <c r="D53" s="18" t="s">
        <v>740</v>
      </c>
      <c r="E53" s="280" t="s">
        <v>741</v>
      </c>
      <c r="F53" s="43">
        <v>4.0000000000000002E-4</v>
      </c>
      <c r="G53" s="18" t="s">
        <v>729</v>
      </c>
      <c r="H53" s="342">
        <v>1</v>
      </c>
      <c r="I53" s="19"/>
      <c r="J53" s="43">
        <f>131.42*1.03</f>
        <v>135.36259999999999</v>
      </c>
      <c r="K53" s="20" t="s">
        <v>715</v>
      </c>
      <c r="L53" s="281" t="s">
        <v>606</v>
      </c>
    </row>
    <row r="54" spans="1:12" s="17" customFormat="1" ht="15" customHeight="1">
      <c r="A54" s="11" t="s">
        <v>744</v>
      </c>
      <c r="B54" s="145" t="s">
        <v>745</v>
      </c>
      <c r="C54" s="18" t="s">
        <v>682</v>
      </c>
      <c r="D54" s="18" t="s">
        <v>746</v>
      </c>
      <c r="E54" s="280" t="s">
        <v>747</v>
      </c>
      <c r="F54" s="43">
        <v>1</v>
      </c>
      <c r="G54" s="18" t="s">
        <v>683</v>
      </c>
      <c r="H54" s="342">
        <v>1</v>
      </c>
      <c r="I54" s="19"/>
      <c r="J54" s="43">
        <f>0.1111*1.17</f>
        <v>0.12998699999999999</v>
      </c>
      <c r="K54" s="20" t="s">
        <v>715</v>
      </c>
      <c r="L54" s="281" t="s">
        <v>716</v>
      </c>
    </row>
  </sheetData>
  <autoFilter ref="A2:L54"/>
  <phoneticPr fontId="3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3:E5"/>
  <sheetViews>
    <sheetView showGridLines="0" workbookViewId="0">
      <selection activeCell="D26" sqref="D26"/>
    </sheetView>
  </sheetViews>
  <sheetFormatPr defaultRowHeight="15.6"/>
  <cols>
    <col min="1" max="1" width="18" bestFit="1" customWidth="1"/>
    <col min="2" max="2" width="23.8984375" bestFit="1" customWidth="1"/>
    <col min="3" max="3" width="19" bestFit="1" customWidth="1"/>
    <col min="4" max="4" width="16.09765625" bestFit="1" customWidth="1"/>
    <col min="5" max="5" width="11.19921875" bestFit="1" customWidth="1"/>
  </cols>
  <sheetData>
    <row r="3" spans="1:5">
      <c r="A3" s="252"/>
      <c r="B3" s="250" t="s">
        <v>517</v>
      </c>
      <c r="C3" s="249" t="s">
        <v>515</v>
      </c>
      <c r="D3" s="948" t="s">
        <v>518</v>
      </c>
      <c r="E3" s="948" t="s">
        <v>519</v>
      </c>
    </row>
    <row r="4" spans="1:5">
      <c r="A4" s="251"/>
      <c r="B4" s="250" t="s">
        <v>521</v>
      </c>
      <c r="C4" s="255" t="s">
        <v>520</v>
      </c>
      <c r="D4" s="949"/>
      <c r="E4" s="949"/>
    </row>
    <row r="5" spans="1:5">
      <c r="A5" s="251" t="s">
        <v>516</v>
      </c>
      <c r="B5" s="248">
        <v>0.23499999999999999</v>
      </c>
      <c r="C5" s="248">
        <v>0.27429999999999999</v>
      </c>
      <c r="D5" s="253">
        <f>C5-B5</f>
        <v>3.9300000000000002E-2</v>
      </c>
      <c r="E5" s="254">
        <f>D5/B5</f>
        <v>0.16723404255319149</v>
      </c>
    </row>
  </sheetData>
  <mergeCells count="2">
    <mergeCell ref="D3:D4"/>
    <mergeCell ref="E3:E4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refill</vt:lpstr>
      <vt:lpstr>Packing Materials-Jack Dwight</vt:lpstr>
      <vt:lpstr>Infinity new part</vt:lpstr>
      <vt:lpstr>Others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uyi</dc:creator>
  <cp:lastModifiedBy>duanchangfen</cp:lastModifiedBy>
  <cp:lastPrinted>2013-05-14T01:46:55Z</cp:lastPrinted>
  <dcterms:created xsi:type="dcterms:W3CDTF">2009-10-07T05:22:35Z</dcterms:created>
  <dcterms:modified xsi:type="dcterms:W3CDTF">2017-05-22T05:33:56Z</dcterms:modified>
</cp:coreProperties>
</file>