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C:\University\BusinessDataAnalyst\Lab4\"/>
    </mc:Choice>
  </mc:AlternateContent>
  <xr:revisionPtr revIDLastSave="0" documentId="13_ncr:1_{3D7D3825-7B8B-4EF6-8409-F95F5B8B35C2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Gas and Electric" sheetId="1" r:id="rId1"/>
    <sheet name="ACF &amp; PACF Charts" sheetId="4" r:id="rId2"/>
    <sheet name="Sheet1" sheetId="9" r:id="rId3"/>
    <sheet name="Train-Test" sheetId="5" r:id="rId4"/>
  </sheets>
  <externalReferences>
    <externalReference r:id="rId5"/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9" l="1"/>
  <c r="S4" i="9" a="1"/>
  <c r="S4" i="9"/>
  <c r="K5" i="9"/>
  <c r="S5" i="9"/>
  <c r="K4" i="9"/>
  <c r="L5" i="9"/>
  <c r="B5" i="9"/>
  <c r="B4" i="9"/>
  <c r="S6" i="9"/>
  <c r="L4" i="9"/>
  <c r="C5" i="9"/>
  <c r="E5" i="9"/>
  <c r="F5" i="9"/>
  <c r="B6" i="9"/>
  <c r="C6" i="9"/>
  <c r="E6" i="9"/>
  <c r="F6" i="9"/>
  <c r="B7" i="9"/>
  <c r="C7" i="9"/>
  <c r="E7" i="9"/>
  <c r="F7" i="9"/>
  <c r="B8" i="9"/>
  <c r="C8" i="9"/>
  <c r="E8" i="9"/>
  <c r="F8" i="9"/>
  <c r="B9" i="9"/>
  <c r="C9" i="9"/>
  <c r="E9" i="9"/>
  <c r="F9" i="9"/>
  <c r="B10" i="9"/>
  <c r="C10" i="9"/>
  <c r="E10" i="9"/>
  <c r="F10" i="9"/>
  <c r="B11" i="9"/>
  <c r="C11" i="9"/>
  <c r="E11" i="9"/>
  <c r="F11" i="9"/>
  <c r="B12" i="9"/>
  <c r="C12" i="9"/>
  <c r="E12" i="9"/>
  <c r="F12" i="9"/>
  <c r="B13" i="9"/>
  <c r="C13" i="9"/>
  <c r="E13" i="9"/>
  <c r="F13" i="9"/>
  <c r="B14" i="9"/>
  <c r="C14" i="9"/>
  <c r="E14" i="9"/>
  <c r="F14" i="9"/>
  <c r="B15" i="9"/>
  <c r="C15" i="9"/>
  <c r="E15" i="9"/>
  <c r="F15" i="9"/>
  <c r="B16" i="9"/>
  <c r="C16" i="9"/>
  <c r="E16" i="9"/>
  <c r="F16" i="9"/>
  <c r="B17" i="9"/>
  <c r="C17" i="9"/>
  <c r="E17" i="9"/>
  <c r="F17" i="9"/>
  <c r="B18" i="9"/>
  <c r="C18" i="9"/>
  <c r="E18" i="9"/>
  <c r="F18" i="9"/>
  <c r="B19" i="9"/>
  <c r="C19" i="9"/>
  <c r="E19" i="9"/>
  <c r="F19" i="9"/>
  <c r="B20" i="9"/>
  <c r="C20" i="9"/>
  <c r="E20" i="9"/>
  <c r="F20" i="9"/>
  <c r="B21" i="9"/>
  <c r="C21" i="9"/>
  <c r="E21" i="9"/>
  <c r="F21" i="9"/>
  <c r="B22" i="9"/>
  <c r="C22" i="9"/>
  <c r="E22" i="9"/>
  <c r="F22" i="9"/>
  <c r="B23" i="9"/>
  <c r="C23" i="9"/>
  <c r="E23" i="9"/>
  <c r="F23" i="9"/>
  <c r="B24" i="9"/>
  <c r="C24" i="9"/>
  <c r="E24" i="9"/>
  <c r="F24" i="9"/>
  <c r="B25" i="9"/>
  <c r="C25" i="9"/>
  <c r="E25" i="9"/>
  <c r="F25" i="9"/>
  <c r="B26" i="9"/>
  <c r="C26" i="9"/>
  <c r="E26" i="9"/>
  <c r="F26" i="9"/>
  <c r="B27" i="9"/>
  <c r="C27" i="9"/>
  <c r="E27" i="9"/>
  <c r="F27" i="9"/>
  <c r="E4" i="9"/>
  <c r="F4" i="9"/>
  <c r="Y27" i="9"/>
  <c r="Z27" i="9"/>
  <c r="AA27" i="9"/>
  <c r="AH27" i="9"/>
  <c r="Y26" i="9"/>
  <c r="Z26" i="9"/>
  <c r="AA26" i="9"/>
  <c r="AH26" i="9"/>
  <c r="Y25" i="9"/>
  <c r="Z25" i="9"/>
  <c r="AA25" i="9"/>
  <c r="AH25" i="9"/>
  <c r="Y24" i="9"/>
  <c r="Z24" i="9"/>
  <c r="AA24" i="9"/>
  <c r="AH24" i="9"/>
  <c r="Y23" i="9"/>
  <c r="Z23" i="9"/>
  <c r="AA23" i="9"/>
  <c r="AH23" i="9"/>
  <c r="Y22" i="9"/>
  <c r="Z22" i="9"/>
  <c r="AA22" i="9"/>
  <c r="AH22" i="9"/>
  <c r="Y21" i="9"/>
  <c r="Z21" i="9"/>
  <c r="AA21" i="9"/>
  <c r="AH21" i="9"/>
  <c r="Y20" i="9"/>
  <c r="Z20" i="9"/>
  <c r="AA20" i="9"/>
  <c r="AH20" i="9"/>
  <c r="Y19" i="9"/>
  <c r="Z19" i="9"/>
  <c r="AA19" i="9"/>
  <c r="AH19" i="9"/>
  <c r="Y18" i="9"/>
  <c r="Z18" i="9"/>
  <c r="AA18" i="9"/>
  <c r="AH18" i="9"/>
  <c r="Y17" i="9"/>
  <c r="Z17" i="9"/>
  <c r="AA17" i="9"/>
  <c r="AH17" i="9"/>
  <c r="Y16" i="9"/>
  <c r="Z16" i="9"/>
  <c r="AA16" i="9"/>
  <c r="AH16" i="9"/>
  <c r="Y15" i="9"/>
  <c r="Z15" i="9"/>
  <c r="AA15" i="9"/>
  <c r="AH15" i="9"/>
  <c r="Y14" i="9"/>
  <c r="Z14" i="9"/>
  <c r="AA14" i="9"/>
  <c r="AH14" i="9"/>
  <c r="Y13" i="9"/>
  <c r="Z13" i="9"/>
  <c r="AA13" i="9"/>
  <c r="AH13" i="9"/>
  <c r="Y12" i="9"/>
  <c r="Z12" i="9"/>
  <c r="AA12" i="9"/>
  <c r="AH12" i="9"/>
  <c r="Y11" i="9"/>
  <c r="Z11" i="9"/>
  <c r="AA11" i="9"/>
  <c r="AH11" i="9"/>
  <c r="Y10" i="9"/>
  <c r="Z10" i="9"/>
  <c r="AA10" i="9"/>
  <c r="AH10" i="9"/>
  <c r="Y9" i="9"/>
  <c r="Z9" i="9"/>
  <c r="AA9" i="9"/>
  <c r="AH9" i="9"/>
  <c r="Y8" i="9"/>
  <c r="Z8" i="9"/>
  <c r="AA8" i="9"/>
  <c r="AH8" i="9"/>
  <c r="Y7" i="9"/>
  <c r="Z7" i="9"/>
  <c r="AA7" i="9"/>
  <c r="AH7" i="9"/>
  <c r="Y6" i="9"/>
  <c r="Z6" i="9"/>
  <c r="AA6" i="9"/>
  <c r="AH6" i="9"/>
  <c r="Y5" i="9"/>
  <c r="Z5" i="9"/>
  <c r="AA5" i="9"/>
  <c r="AH5" i="9"/>
  <c r="Y4" i="9"/>
  <c r="Z4" i="9"/>
  <c r="AA4" i="9"/>
  <c r="AH4" i="9"/>
  <c r="AA28" i="9"/>
  <c r="AA29" i="9"/>
  <c r="AG29" i="9"/>
  <c r="AA30" i="9"/>
  <c r="AG30" i="9"/>
  <c r="AA31" i="9"/>
  <c r="AG31" i="9"/>
  <c r="AA32" i="9"/>
  <c r="AG32" i="9"/>
  <c r="AG28" i="9"/>
  <c r="AF5" i="9"/>
  <c r="AF6" i="9"/>
  <c r="AF7" i="9"/>
  <c r="AF8" i="9"/>
  <c r="AF9" i="9"/>
  <c r="AF10" i="9"/>
  <c r="AF11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0" i="9"/>
  <c r="AF31" i="9"/>
  <c r="AF32" i="9"/>
  <c r="AG6" i="9"/>
  <c r="AG7" i="9"/>
  <c r="AG8" i="9"/>
  <c r="AG9" i="9"/>
  <c r="AG10" i="9"/>
  <c r="AG11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5" i="9"/>
  <c r="AG4" i="9"/>
  <c r="L7" i="9"/>
  <c r="L17" i="9"/>
  <c r="L14" i="9"/>
  <c r="O14" i="9" a="1"/>
  <c r="O14" i="9"/>
  <c r="O15" i="9"/>
  <c r="AB29" i="9"/>
  <c r="AC29" i="9"/>
  <c r="AD29" i="9"/>
  <c r="O16" i="9"/>
  <c r="AB30" i="9"/>
  <c r="AC30" i="9"/>
  <c r="AD30" i="9"/>
  <c r="O17" i="9"/>
  <c r="AB31" i="9"/>
  <c r="AC31" i="9"/>
  <c r="AD31" i="9"/>
  <c r="O18" i="9"/>
  <c r="AB32" i="9"/>
  <c r="AC32" i="9"/>
  <c r="AD32" i="9"/>
  <c r="AB28" i="9"/>
  <c r="AD28" i="9"/>
  <c r="AC28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X27" i="9"/>
  <c r="X28" i="9"/>
  <c r="X29" i="9"/>
  <c r="X30" i="9"/>
  <c r="X31" i="9"/>
  <c r="X32" i="9"/>
  <c r="AB5" i="9"/>
  <c r="AC5" i="9"/>
  <c r="AD5" i="9"/>
  <c r="AB6" i="9"/>
  <c r="AC6" i="9"/>
  <c r="AD6" i="9"/>
  <c r="AB7" i="9"/>
  <c r="AC7" i="9"/>
  <c r="AD7" i="9"/>
  <c r="AB8" i="9"/>
  <c r="AC8" i="9"/>
  <c r="AD8" i="9"/>
  <c r="AB9" i="9"/>
  <c r="AC9" i="9"/>
  <c r="AD9" i="9"/>
  <c r="AB10" i="9"/>
  <c r="AC10" i="9"/>
  <c r="AD10" i="9"/>
  <c r="AB11" i="9"/>
  <c r="AC11" i="9"/>
  <c r="AD11" i="9"/>
  <c r="AB12" i="9"/>
  <c r="AC12" i="9"/>
  <c r="AD12" i="9"/>
  <c r="AB13" i="9"/>
  <c r="AC13" i="9"/>
  <c r="AD13" i="9"/>
  <c r="AB14" i="9"/>
  <c r="AC14" i="9"/>
  <c r="AD14" i="9"/>
  <c r="AB15" i="9"/>
  <c r="AC15" i="9"/>
  <c r="AD15" i="9"/>
  <c r="AB16" i="9"/>
  <c r="AC16" i="9"/>
  <c r="AD16" i="9"/>
  <c r="AB17" i="9"/>
  <c r="AC17" i="9"/>
  <c r="AD17" i="9"/>
  <c r="AB18" i="9"/>
  <c r="AC18" i="9"/>
  <c r="AD18" i="9"/>
  <c r="AB19" i="9"/>
  <c r="AC19" i="9"/>
  <c r="AD19" i="9"/>
  <c r="AB20" i="9"/>
  <c r="AC20" i="9"/>
  <c r="AD20" i="9"/>
  <c r="AB21" i="9"/>
  <c r="AC21" i="9"/>
  <c r="AD21" i="9"/>
  <c r="AB22" i="9"/>
  <c r="AC22" i="9"/>
  <c r="AD22" i="9"/>
  <c r="AB23" i="9"/>
  <c r="AC23" i="9"/>
  <c r="AD23" i="9"/>
  <c r="AB24" i="9"/>
  <c r="AC24" i="9"/>
  <c r="AD24" i="9"/>
  <c r="AB25" i="9"/>
  <c r="AC25" i="9"/>
  <c r="AD25" i="9"/>
  <c r="AB26" i="9"/>
  <c r="AC26" i="9"/>
  <c r="AD26" i="9"/>
  <c r="AB27" i="9"/>
  <c r="AC27" i="9"/>
  <c r="AD27" i="9"/>
  <c r="AB4" i="9"/>
  <c r="AD4" i="9"/>
  <c r="AC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4" i="9"/>
  <c r="N15" i="9"/>
  <c r="N16" i="9"/>
  <c r="N17" i="9"/>
  <c r="N18" i="9"/>
  <c r="N9" i="9" a="1"/>
  <c r="N9" i="9"/>
  <c r="O9" i="9"/>
  <c r="P9" i="9"/>
  <c r="N4" i="9" a="1"/>
  <c r="N4" i="9"/>
  <c r="O4" i="9"/>
  <c r="P4" i="9"/>
  <c r="T5" i="9"/>
  <c r="U5" i="9"/>
  <c r="V5" i="9"/>
  <c r="T6" i="9"/>
  <c r="U6" i="9"/>
  <c r="V6" i="9"/>
  <c r="T4" i="9"/>
  <c r="U4" i="9"/>
  <c r="V4" i="9"/>
  <c r="L21" i="9"/>
  <c r="L23" i="9"/>
  <c r="L20" i="9"/>
  <c r="L22" i="9"/>
  <c r="L19" i="9"/>
  <c r="L16" i="9"/>
  <c r="L15" i="9"/>
  <c r="L13" i="9"/>
  <c r="L12" i="9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H25" i="4"/>
  <c r="G25" i="4"/>
  <c r="G24" i="4"/>
  <c r="H24" i="4"/>
  <c r="F24" i="4"/>
  <c r="F25" i="4"/>
  <c r="F26" i="4"/>
  <c r="F27" i="4"/>
  <c r="F28" i="4"/>
  <c r="F29" i="4"/>
  <c r="F30" i="4"/>
  <c r="F31" i="4"/>
  <c r="F32" i="4"/>
  <c r="F33" i="4"/>
  <c r="F23" i="4"/>
  <c r="E25" i="4"/>
  <c r="E26" i="4"/>
  <c r="E27" i="4"/>
  <c r="E28" i="4"/>
  <c r="E29" i="4"/>
  <c r="E30" i="4"/>
  <c r="E31" i="4"/>
  <c r="E32" i="4"/>
  <c r="E33" i="4"/>
  <c r="E24" i="4"/>
  <c r="F6" i="4"/>
  <c r="F7" i="4"/>
  <c r="H8" i="4"/>
  <c r="G8" i="4"/>
  <c r="F8" i="4"/>
  <c r="H9" i="4"/>
  <c r="G9" i="4"/>
  <c r="F9" i="4"/>
  <c r="H10" i="4"/>
  <c r="G10" i="4"/>
  <c r="F10" i="4"/>
  <c r="H11" i="4"/>
  <c r="G11" i="4"/>
  <c r="F11" i="4"/>
  <c r="H12" i="4"/>
  <c r="G12" i="4"/>
  <c r="F12" i="4"/>
  <c r="H13" i="4"/>
  <c r="G13" i="4"/>
  <c r="F13" i="4"/>
  <c r="H14" i="4"/>
  <c r="G14" i="4"/>
  <c r="F14" i="4"/>
  <c r="H15" i="4"/>
  <c r="G15" i="4"/>
  <c r="H7" i="4"/>
  <c r="G7" i="4"/>
  <c r="G6" i="4"/>
  <c r="H6" i="4"/>
  <c r="F15" i="4"/>
  <c r="F5" i="4"/>
  <c r="E7" i="4"/>
  <c r="E8" i="4"/>
  <c r="E9" i="4"/>
  <c r="E10" i="4"/>
  <c r="E11" i="4"/>
  <c r="E12" i="4"/>
  <c r="E13" i="4"/>
  <c r="E14" i="4"/>
  <c r="E15" i="4"/>
  <c r="E6" i="4"/>
  <c r="O3" i="1" a="1"/>
  <c r="O3" i="1"/>
  <c r="N3" i="1" a="1"/>
  <c r="N3" i="1"/>
  <c r="M3" i="1" a="1"/>
  <c r="M3" i="1"/>
  <c r="M4" i="1"/>
  <c r="J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J3" i="1"/>
  <c r="K3" i="1"/>
  <c r="L3" i="1"/>
  <c r="L10" i="1"/>
  <c r="L11" i="1"/>
  <c r="K10" i="1"/>
  <c r="J12" i="1"/>
  <c r="K12" i="1"/>
  <c r="J11" i="1"/>
  <c r="L9" i="1"/>
  <c r="K9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J6" i="1"/>
  <c r="K6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J5" i="1"/>
  <c r="K5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J4" i="1"/>
  <c r="K4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J2" i="1"/>
  <c r="I2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<sst xmlns="http://schemas.openxmlformats.org/spreadsheetml/2006/main" count="162" uniqueCount="81">
  <si>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</si>
  <si>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</si>
  <si>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</si>
  <si>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</si>
  <si>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</si>
  <si>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</si>
  <si>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</si>
  <si>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</si>
  <si>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</si>
  <si>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</si>
  <si>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</si>
  <si>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</si>
  <si>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</si>
  <si>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Electric Use</t>
  </si>
  <si>
    <t>Lag1</t>
  </si>
  <si>
    <t>Lag2</t>
  </si>
  <si>
    <t>Lag0</t>
  </si>
  <si>
    <t>Lag3</t>
  </si>
  <si>
    <t>Lag4</t>
  </si>
  <si>
    <t>Denominator</t>
  </si>
  <si>
    <t>Numerator</t>
  </si>
  <si>
    <t>ACF</t>
  </si>
  <si>
    <t>PACF(1)</t>
  </si>
  <si>
    <t>PACF(2)</t>
  </si>
  <si>
    <t>PACF(3)</t>
  </si>
  <si>
    <t>PACF(4)</t>
  </si>
  <si>
    <t>ARIMA Model</t>
  </si>
  <si>
    <t>time</t>
  </si>
  <si>
    <t>data</t>
  </si>
  <si>
    <t>residual</t>
  </si>
  <si>
    <t>Model statistics</t>
  </si>
  <si>
    <t>index</t>
  </si>
  <si>
    <t>phi</t>
  </si>
  <si>
    <t>theta</t>
  </si>
  <si>
    <t>const</t>
  </si>
  <si>
    <t>SSE</t>
  </si>
  <si>
    <t>p</t>
  </si>
  <si>
    <t>q</t>
  </si>
  <si>
    <t>d</t>
  </si>
  <si>
    <t>res mean</t>
  </si>
  <si>
    <t>res s.d.</t>
  </si>
  <si>
    <t>sqrt mse</t>
  </si>
  <si>
    <t>data mean</t>
  </si>
  <si>
    <t>data s.d.</t>
  </si>
  <si>
    <t>size</t>
  </si>
  <si>
    <t>LL</t>
  </si>
  <si>
    <t>AIC</t>
  </si>
  <si>
    <t>BIC</t>
  </si>
  <si>
    <t>AIC aug</t>
  </si>
  <si>
    <t>BIC aug</t>
  </si>
  <si>
    <t>Model parameters</t>
  </si>
  <si>
    <t>param</t>
  </si>
  <si>
    <t>coeff</t>
  </si>
  <si>
    <t>s.e.</t>
  </si>
  <si>
    <t>t-stat</t>
  </si>
  <si>
    <t>p-value</t>
  </si>
  <si>
    <t>phi 1</t>
  </si>
  <si>
    <t>theta 1</t>
  </si>
  <si>
    <t>Phi roots</t>
  </si>
  <si>
    <t>real</t>
  </si>
  <si>
    <t>imag</t>
  </si>
  <si>
    <t>abs val</t>
  </si>
  <si>
    <t>Theta roots</t>
  </si>
  <si>
    <t>Psi coefficients</t>
  </si>
  <si>
    <t>psi</t>
  </si>
  <si>
    <t>Forecast (reduced)</t>
  </si>
  <si>
    <t>Alpha</t>
  </si>
  <si>
    <t>pred</t>
  </si>
  <si>
    <t>lower</t>
  </si>
  <si>
    <t>upper</t>
  </si>
  <si>
    <t>Forecast</t>
  </si>
  <si>
    <t>forecast</t>
  </si>
  <si>
    <t>Correlogram</t>
  </si>
  <si>
    <t>acf</t>
  </si>
  <si>
    <t>alpha</t>
  </si>
  <si>
    <t>lags</t>
  </si>
  <si>
    <t>pacf</t>
  </si>
  <si>
    <t>Absolute Error</t>
  </si>
  <si>
    <t>Percentage Error</t>
  </si>
  <si>
    <t>Actual Value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</si>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</sst>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2" borderId="0" xfId="0" applyFill="1"/>
    <xf numFmtId="0" fontId="1" fillId="3" borderId="0" xfId="0" applyFont="1" applyFill="1" applyAlignment="1">
      <alignment horizontal="left"/>
    </xf>
    <xf numFmtId="0" fontId="0" fillId="3" borderId="2" xfId="0" applyFill="1" applyBorder="1"/>
    <xf numFmtId="0" fontId="0" fillId="4" borderId="0" xfId="0" applyFill="1"/>
    <xf numFmtId="0" fontId="1" fillId="4" borderId="0" xfId="0" applyFont="1" applyFill="1"/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vi-VN"/>
              <a:t>ACF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acf</c:v>
          </c:tx>
          <c:invertIfNegative val="0"/>
          <c:cat>
            <c:numRef>
              <c:f>'ACF &amp; PACF Charts'!$E$5:$E$15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'ACF &amp; PACF Charts'!$F$5:$F$15</c:f>
              <c:numCache>
                <c:formatCode>General</c:formatCode>
                <c:ptCount val="11"/>
                <c:pt idx="0">
                  <c:v>1</c:v>
                </c:pt>
                <c:pt idx="1">
                  <c:v>0.54141782650701553</c:v>
                </c:pt>
                <c:pt idx="2">
                  <c:v>2.5318933820777774E-2</c:v>
                </c:pt>
                <c:pt idx="3">
                  <c:v>-0.44418476371162025</c:v>
                </c:pt>
                <c:pt idx="4">
                  <c:v>-0.37843327783435071</c:v>
                </c:pt>
                <c:pt idx="5">
                  <c:v>-0.197629321682111</c:v>
                </c:pt>
                <c:pt idx="6">
                  <c:v>-2.6493137186556558E-2</c:v>
                </c:pt>
                <c:pt idx="7">
                  <c:v>-3.6460340324380364E-2</c:v>
                </c:pt>
                <c:pt idx="8">
                  <c:v>-0.12256792780370725</c:v>
                </c:pt>
                <c:pt idx="9">
                  <c:v>-0.20049308629229304</c:v>
                </c:pt>
                <c:pt idx="10">
                  <c:v>-1.5553436624452939E-2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76-4423-9354-E8208AA6E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0619615"/>
        <c:axId val="1590622015"/>
      </c:barChart>
      <c:lineChart>
        <c:grouping val="standard"/>
        <c:varyColors val="0"/>
        <c:ser>
          <c:idx val="0"/>
          <c:order val="0"/>
          <c:tx>
            <c:strRef>
              <c:f>'ACF &amp; PACF Charts'!$G$4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'ACF &amp; PACF Charts'!$E$5:$E$15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'ACF &amp; PACF Charts'!$G$5:$G$15</c:f>
              <c:numCache>
                <c:formatCode>General</c:formatCode>
                <c:ptCount val="11"/>
                <c:pt idx="1">
                  <c:v>-0.40007597302960912</c:v>
                </c:pt>
                <c:pt idx="2">
                  <c:v>-0.50388397875882163</c:v>
                </c:pt>
                <c:pt idx="3">
                  <c:v>-0.50408756924981513</c:v>
                </c:pt>
                <c:pt idx="4">
                  <c:v>-0.56326219144265577</c:v>
                </c:pt>
                <c:pt idx="5">
                  <c:v>-0.60258564949515547</c:v>
                </c:pt>
                <c:pt idx="6">
                  <c:v>-0.61287238861681825</c:v>
                </c:pt>
                <c:pt idx="7">
                  <c:v>-0.61305566931383171</c:v>
                </c:pt>
                <c:pt idx="8">
                  <c:v>-0.61340264862393068</c:v>
                </c:pt>
                <c:pt idx="9">
                  <c:v>-0.61731026450611837</c:v>
                </c:pt>
                <c:pt idx="10">
                  <c:v>-0.62764643092717742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6-4423-9354-E8208AA6E3FA}"/>
            </c:ext>
          </c:extLst>
        </c:ser>
        <c:ser>
          <c:idx val="1"/>
          <c:order val="1"/>
          <c:tx>
            <c:strRef>
              <c:f>'ACF &amp; PACF Charts'!$H$4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'ACF &amp; PACF Charts'!$H$5:$H$15</c:f>
              <c:numCache>
                <c:formatCode>General</c:formatCode>
                <c:ptCount val="11"/>
                <c:pt idx="1">
                  <c:v>0.40007597302960912</c:v>
                </c:pt>
                <c:pt idx="2">
                  <c:v>0.50388397875882163</c:v>
                </c:pt>
                <c:pt idx="3">
                  <c:v>0.50408756924981513</c:v>
                </c:pt>
                <c:pt idx="4">
                  <c:v>0.56326219144265577</c:v>
                </c:pt>
                <c:pt idx="5">
                  <c:v>0.60258564949515547</c:v>
                </c:pt>
                <c:pt idx="6">
                  <c:v>0.61287238861681825</c:v>
                </c:pt>
                <c:pt idx="7">
                  <c:v>0.61305566931383171</c:v>
                </c:pt>
                <c:pt idx="8">
                  <c:v>0.61340264862393068</c:v>
                </c:pt>
                <c:pt idx="9">
                  <c:v>0.61731026450611837</c:v>
                </c:pt>
                <c:pt idx="10">
                  <c:v>0.62764643092717742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76-4423-9354-E8208AA6E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0619615"/>
        <c:axId val="1590622015"/>
      </c:lineChart>
      <c:catAx>
        <c:axId val="15906196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90622015"/>
        <c:crosses val="autoZero"/>
        <c:auto val="1"/>
        <c:lblAlgn val="ctr"/>
        <c:lblOffset val="100"/>
        <c:noMultiLvlLbl val="0"/>
      </c:catAx>
      <c:valAx>
        <c:axId val="1590622015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061961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vi-VN"/>
              <a:t>PACF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pacf</c:v>
          </c:tx>
          <c:invertIfNegative val="0"/>
          <c:cat>
            <c:numRef>
              <c:f>'ACF &amp; PACF Charts'!$E$23:$E$33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'ACF &amp; PACF Charts'!$F$23:$F$33</c:f>
              <c:numCache>
                <c:formatCode>General</c:formatCode>
                <c:ptCount val="11"/>
                <c:pt idx="0">
                  <c:v>1</c:v>
                </c:pt>
                <c:pt idx="1">
                  <c:v>0.54141782650701553</c:v>
                </c:pt>
                <c:pt idx="2">
                  <c:v>-0.37887527445728658</c:v>
                </c:pt>
                <c:pt idx="3">
                  <c:v>-0.426094089436725</c:v>
                </c:pt>
                <c:pt idx="4">
                  <c:v>0.2294680216925904</c:v>
                </c:pt>
                <c:pt idx="5">
                  <c:v>-0.14924309464017826</c:v>
                </c:pt>
                <c:pt idx="6">
                  <c:v>-0.24781325976098265</c:v>
                </c:pt>
                <c:pt idx="7">
                  <c:v>-6.8759152066172544E-2</c:v>
                </c:pt>
                <c:pt idx="8">
                  <c:v>-0.20345963356729022</c:v>
                </c:pt>
                <c:pt idx="9">
                  <c:v>-0.27023931664928957</c:v>
                </c:pt>
                <c:pt idx="10">
                  <c:v>0.22364254676859446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CD-4D83-B067-F889220FA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5577487"/>
        <c:axId val="1575579887"/>
      </c:barChart>
      <c:lineChart>
        <c:grouping val="standard"/>
        <c:varyColors val="0"/>
        <c:ser>
          <c:idx val="0"/>
          <c:order val="0"/>
          <c:tx>
            <c:strRef>
              <c:f>'ACF &amp; PACF Charts'!$G$22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'ACF &amp; PACF Charts'!$E$23:$E$33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'ACF &amp; PACF Charts'!$G$23:$G$33</c:f>
              <c:numCache>
                <c:formatCode>General</c:formatCode>
                <c:ptCount val="11"/>
                <c:pt idx="1">
                  <c:v>-0.40007597302960912</c:v>
                </c:pt>
                <c:pt idx="2">
                  <c:v>-0.40007597302960912</c:v>
                </c:pt>
                <c:pt idx="3">
                  <c:v>-0.40007597302960912</c:v>
                </c:pt>
                <c:pt idx="4">
                  <c:v>-0.40007597302960912</c:v>
                </c:pt>
                <c:pt idx="5">
                  <c:v>-0.40007597302960912</c:v>
                </c:pt>
                <c:pt idx="6">
                  <c:v>-0.40007597302960912</c:v>
                </c:pt>
                <c:pt idx="7">
                  <c:v>-0.40007597302960912</c:v>
                </c:pt>
                <c:pt idx="8">
                  <c:v>-0.40007597302960912</c:v>
                </c:pt>
                <c:pt idx="9">
                  <c:v>-0.40007597302960912</c:v>
                </c:pt>
                <c:pt idx="10">
                  <c:v>-0.40007597302960912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CD-4D83-B067-F889220FAAD9}"/>
            </c:ext>
          </c:extLst>
        </c:ser>
        <c:ser>
          <c:idx val="1"/>
          <c:order val="1"/>
          <c:tx>
            <c:strRef>
              <c:f>'ACF &amp; PACF Charts'!$H$22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'ACF &amp; PACF Charts'!$H$23:$H$33</c:f>
              <c:numCache>
                <c:formatCode>General</c:formatCode>
                <c:ptCount val="11"/>
                <c:pt idx="1">
                  <c:v>0.40007597302960912</c:v>
                </c:pt>
                <c:pt idx="2">
                  <c:v>0.40007597302960912</c:v>
                </c:pt>
                <c:pt idx="3">
                  <c:v>0.40007597302960912</c:v>
                </c:pt>
                <c:pt idx="4">
                  <c:v>0.40007597302960912</c:v>
                </c:pt>
                <c:pt idx="5">
                  <c:v>0.40007597302960912</c:v>
                </c:pt>
                <c:pt idx="6">
                  <c:v>0.40007597302960912</c:v>
                </c:pt>
                <c:pt idx="7">
                  <c:v>0.40007597302960912</c:v>
                </c:pt>
                <c:pt idx="8">
                  <c:v>0.40007597302960912</c:v>
                </c:pt>
                <c:pt idx="9">
                  <c:v>0.40007597302960912</c:v>
                </c:pt>
                <c:pt idx="10">
                  <c:v>0.40007597302960912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CD-4D83-B067-F889220FA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577487"/>
        <c:axId val="1575579887"/>
      </c:lineChart>
      <c:catAx>
        <c:axId val="1575577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75579887"/>
        <c:crosses val="autoZero"/>
        <c:auto val="1"/>
        <c:lblAlgn val="ctr"/>
        <c:lblOffset val="100"/>
        <c:noMultiLvlLbl val="0"/>
      </c:catAx>
      <c:valAx>
        <c:axId val="1575579887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7557748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601980</xdr:colOff>
      <xdr:row>1</xdr:row>
      <xdr:rowOff>7620</xdr:rowOff>
    </xdr:from>
    <xdr:to>
      <xdr:col>16</xdr:col>
      <xdr:colOff>297180</xdr:colOff>
      <xdr:row>17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51F578-377A-2CA1-BADD-D26D23B2C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19</xdr:row>
      <xdr:rowOff>15240</xdr:rowOff>
    </xdr:from>
    <xdr:to>
      <xdr:col>16</xdr:col>
      <xdr:colOff>312420</xdr:colOff>
      <xdr:row>35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8B93286-5147-EDF9-F12F-040D2C4AB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807722</xdr:colOff>
      <xdr:row>7</xdr:row>
      <xdr:rowOff>129540</xdr:rowOff>
    </xdr:from>
    <xdr:to>
      <xdr:col>10</xdr:col>
      <xdr:colOff>160600</xdr:colOff>
      <xdr:row>17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4B6EA8-22B6-1A24-0D73-70183D380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0082" y="1325880"/>
          <a:ext cx="3063818" cy="16992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nht\AppData\Roaming\Microsoft\AddIns\XRealStats.xlam" TargetMode="External"/><Relationship Id="rId1" Type="http://schemas.openxmlformats.org/officeDocument/2006/relationships/externalLinkPath" Target="https://uithcm-my.sharepoint.com/Users/minht/AppData/Roaming/Microsoft/AddIns/XRealStats.xla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nht\AppData\Roaming\Microsoft\AddIns\XRealStats.xlam" TargetMode="External"/><Relationship Id="rId1" Type="http://schemas.openxmlformats.org/officeDocument/2006/relationships/externalLinkPath" Target="/Users/minht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XRealStats"/>
    </sheetNames>
    <definedNames>
      <definedName name="ACF"/>
      <definedName name="PAC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XRealStats"/>
    </sheetNames>
    <definedNames>
      <definedName name="ARIMA_Coeff"/>
      <definedName name="ARRoots"/>
      <definedName name="MARoots"/>
      <definedName name="PSICoef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zoomScale="96" zoomScaleNormal="96" zoomScalePageLayoutView="150" workbookViewId="0">
      <selection activeCell="B2" sqref="B2:B25"/>
    </sheetView>
  </sheetViews>
  <sheetFormatPr defaultColWidth="8.88671875" defaultRowHeight="13.2" x14ac:dyDescent="0.25"/>
  <cols>
    <col min="1" max="1" width="8" customWidth="1"/>
    <col min="2" max="2" width="12" bestFit="1" customWidth="1"/>
    <col min="3" max="3" width="11.33203125" customWidth="1"/>
    <col min="4" max="4" width="11" customWidth="1"/>
    <col min="5" max="5" width="11.33203125" customWidth="1"/>
    <col min="6" max="6" width="10.88671875" customWidth="1"/>
    <col min="7" max="7" width="11.5546875" customWidth="1"/>
    <col min="9" max="9" width="13.77734375" customWidth="1"/>
    <col min="10" max="10" width="13.44140625" customWidth="1"/>
    <col min="11" max="11" width="10.5546875" customWidth="1"/>
    <col min="12" max="12" width="10.77734375" customWidth="1"/>
    <col min="13" max="13" width="12" customWidth="1"/>
    <col min="14" max="14" width="10.109375" customWidth="1"/>
    <col min="15" max="15" width="10.44140625" customWidth="1"/>
  </cols>
  <sheetData>
    <row r="1" spans="1:15" ht="13.8" thickBot="1" x14ac:dyDescent="0.3">
      <c r="A1" s="2" t="s">
        <v>12</v>
      </c>
      <c r="B1" s="2" t="s">
        <v>13</v>
      </c>
      <c r="C1" s="4" t="s">
        <v>16</v>
      </c>
      <c r="D1" s="4" t="s">
        <v>14</v>
      </c>
      <c r="E1" s="4" t="s">
        <v>15</v>
      </c>
      <c r="F1" s="4" t="s">
        <v>17</v>
      </c>
      <c r="G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</row>
    <row r="2" spans="1:15" ht="13.8" thickTop="1" x14ac:dyDescent="0.25">
      <c r="A2" s="3" t="s">
        <v>0</v>
      </c>
      <c r="B2" s="3">
        <v>967</v>
      </c>
      <c r="C2">
        <f>(B2-AVERAGE($B$2:$B$25))*(B2-AVERAGE($B$2:$B$25))</f>
        <v>473.0625</v>
      </c>
      <c r="I2" s="1">
        <f>DEVSQ(B2:B25)</f>
        <v>1169090.5</v>
      </c>
      <c r="J2">
        <f>SUM(C2:C25)</f>
        <v>1169090.5</v>
      </c>
      <c r="K2">
        <f>J2/I2</f>
        <v>1</v>
      </c>
    </row>
    <row r="3" spans="1:15" x14ac:dyDescent="0.25">
      <c r="A3" s="3" t="s">
        <v>1</v>
      </c>
      <c r="B3" s="3">
        <v>795</v>
      </c>
      <c r="C3">
        <f t="shared" ref="C3:C25" si="0">(B3-AVERAGE($B$2:$B$25))*(B3-AVERAGE($B$2:$B$25))</f>
        <v>22575.0625</v>
      </c>
      <c r="D3">
        <f>(B3-AVERAGE($B$2:$B$25))*(B2-AVERAGE($B$2:$B$25))</f>
        <v>-3267.9375</v>
      </c>
      <c r="I3" s="1">
        <v>1169090.5</v>
      </c>
      <c r="J3">
        <f>SUM(D3:D25)</f>
        <v>632966.4375</v>
      </c>
      <c r="K3" s="7">
        <f t="shared" ref="K3:K6" si="1">J3/I3</f>
        <v>0.54141782650701553</v>
      </c>
      <c r="L3" s="7">
        <f>K3</f>
        <v>0.54141782650701553</v>
      </c>
      <c r="M3">
        <f t="array" ref="M3:M4">MMULT(MMULT(MINVERSE(MMULT(I9:J10,I9:J10)),I9:J10),K3:K4)</f>
        <v>0.74654765412092849</v>
      </c>
      <c r="N3" cm="1">
        <f t="array" ref="N3:N5">MMULT(MMULT(MINVERSE(MMULT(I9:K11,I9:K11)),I9:K11),K3:K5)</f>
        <v>0.58511113904096201</v>
      </c>
      <c r="O3" cm="1">
        <f t="array" ref="O3:O6">MMULT(MMULT(MINVERSE(MMULT(I9:L12,I9:L12)),I9:L12),K3:K6)</f>
        <v>0.68288610679891237</v>
      </c>
    </row>
    <row r="4" spans="1:15" x14ac:dyDescent="0.25">
      <c r="A4" s="3" t="s">
        <v>2</v>
      </c>
      <c r="B4" s="3">
        <v>820</v>
      </c>
      <c r="C4">
        <f t="shared" si="0"/>
        <v>15687.5625</v>
      </c>
      <c r="D4">
        <f t="shared" ref="D4:D25" si="2">(B4-AVERAGE($B$2:$B$25))*(B3-AVERAGE($B$2:$B$25))</f>
        <v>18818.8125</v>
      </c>
      <c r="E4">
        <f>(B4-AVERAGE($B$2:$B$25))*(B2-AVERAGE($B$2:$B$25))</f>
        <v>-2724.1875</v>
      </c>
      <c r="I4" s="1">
        <v>1169090.5</v>
      </c>
      <c r="J4">
        <f>SUM(E4:E25)</f>
        <v>29600.125</v>
      </c>
      <c r="K4" s="6">
        <f t="shared" si="1"/>
        <v>2.5318933820777774E-2</v>
      </c>
      <c r="M4" s="6">
        <v>-0.37887527445728658</v>
      </c>
      <c r="N4">
        <v>-6.0775731553506795E-2</v>
      </c>
      <c r="O4">
        <v>-4.682964466700399E-2</v>
      </c>
    </row>
    <row r="5" spans="1:15" x14ac:dyDescent="0.25">
      <c r="A5" s="3" t="s">
        <v>3</v>
      </c>
      <c r="B5" s="3">
        <v>672</v>
      </c>
      <c r="C5">
        <f t="shared" si="0"/>
        <v>74665.5625</v>
      </c>
      <c r="D5">
        <f t="shared" si="2"/>
        <v>34224.5625</v>
      </c>
      <c r="E5">
        <f t="shared" ref="E5:E25" si="3">(B5-AVERAGE($B$2:$B$25))*(B3-AVERAGE($B$2:$B$25))</f>
        <v>41055.8125</v>
      </c>
      <c r="F5">
        <f>(B5-AVERAGE($B$2:$B$25))*(B2-AVERAGE($B$2:$B$25))</f>
        <v>-5943.1875</v>
      </c>
      <c r="I5" s="1">
        <v>1169090.5</v>
      </c>
      <c r="J5">
        <f>SUM(F5:F25)</f>
        <v>-519292.1875</v>
      </c>
      <c r="K5" s="6">
        <f t="shared" si="1"/>
        <v>-0.44418476371162025</v>
      </c>
      <c r="N5" s="6">
        <v>-0.42609408943672494</v>
      </c>
      <c r="O5">
        <v>-0.5603583849827527</v>
      </c>
    </row>
    <row r="6" spans="1:15" x14ac:dyDescent="0.25">
      <c r="A6" s="3" t="s">
        <v>4</v>
      </c>
      <c r="B6" s="3">
        <v>722</v>
      </c>
      <c r="C6">
        <f t="shared" si="0"/>
        <v>49840.5625</v>
      </c>
      <c r="D6">
        <f t="shared" si="2"/>
        <v>61003.0625</v>
      </c>
      <c r="E6">
        <f t="shared" si="3"/>
        <v>27962.0625</v>
      </c>
      <c r="F6">
        <f t="shared" ref="F6:F25" si="4">(B6-AVERAGE($B$2:$B$25))*(B3-AVERAGE($B$2:$B$25))</f>
        <v>33543.3125</v>
      </c>
      <c r="G6">
        <f>(B6-AVERAGE($B$2:$B$25))*(B2-AVERAGE($B$2:$B$25))</f>
        <v>-4855.6875</v>
      </c>
      <c r="I6" s="1">
        <v>1169090.5</v>
      </c>
      <c r="J6">
        <f>SUM(G6:G25)</f>
        <v>-442422.75</v>
      </c>
      <c r="K6" s="6">
        <f t="shared" si="1"/>
        <v>-0.37843327783435071</v>
      </c>
      <c r="O6" s="7">
        <v>0.22946802169258873</v>
      </c>
    </row>
    <row r="7" spans="1:15" x14ac:dyDescent="0.25">
      <c r="A7" s="3" t="s">
        <v>5</v>
      </c>
      <c r="B7" s="3">
        <v>820</v>
      </c>
      <c r="C7">
        <f t="shared" si="0"/>
        <v>15687.5625</v>
      </c>
      <c r="D7">
        <f t="shared" si="2"/>
        <v>27962.0625</v>
      </c>
      <c r="E7">
        <f t="shared" si="3"/>
        <v>34224.5625</v>
      </c>
      <c r="F7">
        <f t="shared" si="4"/>
        <v>15687.5625</v>
      </c>
      <c r="G7">
        <f t="shared" ref="G7:G25" si="5">(B7-AVERAGE($B$2:$B$25))*(B3-AVERAGE($B$2:$B$25))</f>
        <v>18818.8125</v>
      </c>
    </row>
    <row r="8" spans="1:15" x14ac:dyDescent="0.25">
      <c r="A8" s="3" t="s">
        <v>6</v>
      </c>
      <c r="B8" s="3">
        <v>1326</v>
      </c>
      <c r="C8">
        <f t="shared" si="0"/>
        <v>144970.5625</v>
      </c>
      <c r="D8">
        <f t="shared" si="2"/>
        <v>-47688.9375</v>
      </c>
      <c r="E8">
        <f t="shared" si="3"/>
        <v>-85002.4375</v>
      </c>
      <c r="F8">
        <f t="shared" si="4"/>
        <v>-104039.9375</v>
      </c>
      <c r="G8">
        <f t="shared" si="5"/>
        <v>-47688.9375</v>
      </c>
    </row>
    <row r="9" spans="1:15" x14ac:dyDescent="0.25">
      <c r="A9" s="3" t="s">
        <v>7</v>
      </c>
      <c r="B9" s="3">
        <v>1262</v>
      </c>
      <c r="C9">
        <f t="shared" si="0"/>
        <v>100330.5625</v>
      </c>
      <c r="D9">
        <f t="shared" si="2"/>
        <v>120602.5625</v>
      </c>
      <c r="E9">
        <f t="shared" si="3"/>
        <v>-39672.9375</v>
      </c>
      <c r="F9">
        <f t="shared" si="4"/>
        <v>-70714.4375</v>
      </c>
      <c r="G9">
        <f t="shared" si="5"/>
        <v>-86551.9375</v>
      </c>
      <c r="I9" s="5">
        <v>1</v>
      </c>
      <c r="J9" s="5">
        <f>I10</f>
        <v>0.54141782650701553</v>
      </c>
      <c r="K9" s="5">
        <f>I11</f>
        <v>2.5318933820777774E-2</v>
      </c>
      <c r="L9" s="5">
        <f>I12</f>
        <v>-0.44418476371162025</v>
      </c>
    </row>
    <row r="10" spans="1:15" x14ac:dyDescent="0.25">
      <c r="A10" s="3" t="s">
        <v>8</v>
      </c>
      <c r="B10" s="3">
        <v>1126</v>
      </c>
      <c r="C10">
        <f t="shared" si="0"/>
        <v>32670.5625</v>
      </c>
      <c r="D10">
        <f t="shared" si="2"/>
        <v>57252.5625</v>
      </c>
      <c r="E10">
        <f t="shared" si="3"/>
        <v>68820.5625</v>
      </c>
      <c r="F10">
        <f t="shared" si="4"/>
        <v>-22638.9375</v>
      </c>
      <c r="G10">
        <f t="shared" si="5"/>
        <v>-40352.4375</v>
      </c>
      <c r="I10" s="5">
        <v>0.54141782650701553</v>
      </c>
      <c r="J10" s="5">
        <v>1</v>
      </c>
      <c r="K10" s="5">
        <f>I10</f>
        <v>0.54141782650701553</v>
      </c>
      <c r="L10" s="5">
        <f>I11</f>
        <v>2.5318933820777774E-2</v>
      </c>
    </row>
    <row r="11" spans="1:15" x14ac:dyDescent="0.25">
      <c r="A11" s="3" t="s">
        <v>9</v>
      </c>
      <c r="B11" s="3">
        <v>814</v>
      </c>
      <c r="C11">
        <f t="shared" si="0"/>
        <v>17226.5625</v>
      </c>
      <c r="D11">
        <f t="shared" si="2"/>
        <v>-23723.4375</v>
      </c>
      <c r="E11">
        <f t="shared" si="3"/>
        <v>-41573.4375</v>
      </c>
      <c r="F11">
        <f t="shared" si="4"/>
        <v>-49973.4375</v>
      </c>
      <c r="G11">
        <f t="shared" si="5"/>
        <v>16439.0625</v>
      </c>
      <c r="I11" s="5">
        <v>2.5318933820777774E-2</v>
      </c>
      <c r="J11" s="5">
        <f>I10</f>
        <v>0.54141782650701553</v>
      </c>
      <c r="K11" s="5">
        <v>1</v>
      </c>
      <c r="L11" s="5">
        <f>I10</f>
        <v>0.54141782650701553</v>
      </c>
    </row>
    <row r="12" spans="1:15" x14ac:dyDescent="0.25">
      <c r="A12" s="3" t="s">
        <v>10</v>
      </c>
      <c r="B12" s="3">
        <v>821</v>
      </c>
      <c r="C12">
        <f t="shared" si="0"/>
        <v>15438.0625</v>
      </c>
      <c r="D12">
        <f t="shared" si="2"/>
        <v>16307.8125</v>
      </c>
      <c r="E12">
        <f t="shared" si="3"/>
        <v>-22458.1875</v>
      </c>
      <c r="F12">
        <f t="shared" si="4"/>
        <v>-39356.1875</v>
      </c>
      <c r="G12">
        <f t="shared" si="5"/>
        <v>-47308.1875</v>
      </c>
      <c r="I12" s="5">
        <v>-0.44418476371162025</v>
      </c>
      <c r="J12" s="5">
        <f>I11</f>
        <v>2.5318933820777774E-2</v>
      </c>
      <c r="K12" s="5">
        <f>I10</f>
        <v>0.54141782650701553</v>
      </c>
      <c r="L12" s="5">
        <v>1</v>
      </c>
    </row>
    <row r="13" spans="1:15" x14ac:dyDescent="0.25">
      <c r="A13" s="3" t="s">
        <v>11</v>
      </c>
      <c r="B13" s="3">
        <v>918</v>
      </c>
      <c r="C13">
        <f t="shared" si="0"/>
        <v>742.5625</v>
      </c>
      <c r="D13">
        <f t="shared" si="2"/>
        <v>3385.8125</v>
      </c>
      <c r="E13">
        <f t="shared" si="3"/>
        <v>3576.5625</v>
      </c>
      <c r="F13">
        <f t="shared" si="4"/>
        <v>-4925.4375</v>
      </c>
      <c r="G13">
        <f t="shared" si="5"/>
        <v>-8631.4375</v>
      </c>
    </row>
    <row r="14" spans="1:15" x14ac:dyDescent="0.25">
      <c r="A14" s="3" t="s">
        <v>0</v>
      </c>
      <c r="B14" s="3">
        <v>950</v>
      </c>
      <c r="C14">
        <f t="shared" si="0"/>
        <v>22.5625</v>
      </c>
      <c r="D14">
        <f t="shared" si="2"/>
        <v>-129.4375</v>
      </c>
      <c r="E14">
        <f t="shared" si="3"/>
        <v>-590.1875</v>
      </c>
      <c r="F14">
        <f t="shared" si="4"/>
        <v>-623.4375</v>
      </c>
      <c r="G14">
        <f t="shared" si="5"/>
        <v>858.5625</v>
      </c>
    </row>
    <row r="15" spans="1:15" x14ac:dyDescent="0.25">
      <c r="A15" s="3" t="s">
        <v>1</v>
      </c>
      <c r="B15" s="3">
        <v>878</v>
      </c>
      <c r="C15">
        <f t="shared" si="0"/>
        <v>4522.5625</v>
      </c>
      <c r="D15">
        <f t="shared" si="2"/>
        <v>-319.4375</v>
      </c>
      <c r="E15">
        <f t="shared" si="3"/>
        <v>1832.5625</v>
      </c>
      <c r="F15">
        <f t="shared" si="4"/>
        <v>8355.8125</v>
      </c>
      <c r="G15">
        <f t="shared" si="5"/>
        <v>8826.5625</v>
      </c>
    </row>
    <row r="16" spans="1:15" x14ac:dyDescent="0.25">
      <c r="A16" s="3" t="s">
        <v>2</v>
      </c>
      <c r="B16" s="3">
        <v>785</v>
      </c>
      <c r="C16">
        <f t="shared" si="0"/>
        <v>25680.0625</v>
      </c>
      <c r="D16">
        <f t="shared" si="2"/>
        <v>10776.8125</v>
      </c>
      <c r="E16">
        <f t="shared" si="3"/>
        <v>-761.1875</v>
      </c>
      <c r="F16">
        <f t="shared" si="4"/>
        <v>4366.8125</v>
      </c>
      <c r="G16">
        <f t="shared" si="5"/>
        <v>19911.0625</v>
      </c>
    </row>
    <row r="17" spans="1:7" x14ac:dyDescent="0.25">
      <c r="A17" s="3" t="s">
        <v>3</v>
      </c>
      <c r="B17" s="3">
        <v>690</v>
      </c>
      <c r="C17">
        <f t="shared" si="0"/>
        <v>65152.5625</v>
      </c>
      <c r="D17">
        <f t="shared" si="2"/>
        <v>40903.8125</v>
      </c>
      <c r="E17">
        <f t="shared" si="3"/>
        <v>17165.5625</v>
      </c>
      <c r="F17">
        <f t="shared" si="4"/>
        <v>-1212.4375</v>
      </c>
      <c r="G17">
        <f t="shared" si="5"/>
        <v>6955.5625</v>
      </c>
    </row>
    <row r="18" spans="1:7" x14ac:dyDescent="0.25">
      <c r="A18" s="3" t="s">
        <v>4</v>
      </c>
      <c r="B18" s="3">
        <v>794</v>
      </c>
      <c r="C18">
        <f t="shared" si="0"/>
        <v>22876.5625</v>
      </c>
      <c r="D18">
        <f t="shared" si="2"/>
        <v>38606.5625</v>
      </c>
      <c r="E18">
        <f t="shared" si="3"/>
        <v>24237.8125</v>
      </c>
      <c r="F18">
        <f t="shared" si="4"/>
        <v>10171.5625</v>
      </c>
      <c r="G18">
        <f t="shared" si="5"/>
        <v>-718.4375</v>
      </c>
    </row>
    <row r="19" spans="1:7" x14ac:dyDescent="0.25">
      <c r="A19" s="3" t="s">
        <v>5</v>
      </c>
      <c r="B19" s="3">
        <v>802</v>
      </c>
      <c r="C19">
        <f t="shared" si="0"/>
        <v>20520.5625</v>
      </c>
      <c r="D19">
        <f t="shared" si="2"/>
        <v>21666.5625</v>
      </c>
      <c r="E19">
        <f t="shared" si="3"/>
        <v>36564.5625</v>
      </c>
      <c r="F19">
        <f t="shared" si="4"/>
        <v>22955.8125</v>
      </c>
      <c r="G19">
        <f t="shared" si="5"/>
        <v>9633.5625</v>
      </c>
    </row>
    <row r="20" spans="1:7" x14ac:dyDescent="0.25">
      <c r="A20" s="3" t="s">
        <v>6</v>
      </c>
      <c r="B20" s="3">
        <v>1445</v>
      </c>
      <c r="C20">
        <f t="shared" si="0"/>
        <v>249750.0625</v>
      </c>
      <c r="D20">
        <f t="shared" si="2"/>
        <v>-71589.1875</v>
      </c>
      <c r="E20">
        <f t="shared" si="3"/>
        <v>-75587.1875</v>
      </c>
      <c r="F20">
        <f t="shared" si="4"/>
        <v>-127561.1875</v>
      </c>
      <c r="G20">
        <f t="shared" si="5"/>
        <v>-80084.9375</v>
      </c>
    </row>
    <row r="21" spans="1:7" x14ac:dyDescent="0.25">
      <c r="A21" s="3" t="s">
        <v>7</v>
      </c>
      <c r="B21" s="3">
        <v>1357</v>
      </c>
      <c r="C21">
        <f t="shared" si="0"/>
        <v>169538.0625</v>
      </c>
      <c r="D21">
        <f t="shared" si="2"/>
        <v>205772.0625</v>
      </c>
      <c r="E21">
        <f t="shared" si="3"/>
        <v>-58983.1875</v>
      </c>
      <c r="F21">
        <f t="shared" si="4"/>
        <v>-62277.1875</v>
      </c>
      <c r="G21">
        <f t="shared" si="5"/>
        <v>-105099.1875</v>
      </c>
    </row>
    <row r="22" spans="1:7" x14ac:dyDescent="0.25">
      <c r="A22" s="3" t="s">
        <v>8</v>
      </c>
      <c r="B22" s="3">
        <v>1268</v>
      </c>
      <c r="C22">
        <f t="shared" si="0"/>
        <v>104167.5625</v>
      </c>
      <c r="D22">
        <f t="shared" si="2"/>
        <v>132892.3125</v>
      </c>
      <c r="E22">
        <f t="shared" si="3"/>
        <v>161294.3125</v>
      </c>
      <c r="F22">
        <f t="shared" si="4"/>
        <v>-46233.9375</v>
      </c>
      <c r="G22">
        <f t="shared" si="5"/>
        <v>-48815.9375</v>
      </c>
    </row>
    <row r="23" spans="1:7" x14ac:dyDescent="0.25">
      <c r="A23" s="3" t="s">
        <v>9</v>
      </c>
      <c r="B23" s="3">
        <v>889</v>
      </c>
      <c r="C23">
        <f t="shared" si="0"/>
        <v>3164.0625</v>
      </c>
      <c r="D23">
        <f t="shared" si="2"/>
        <v>-18154.6875</v>
      </c>
      <c r="E23">
        <f t="shared" si="3"/>
        <v>-23160.9375</v>
      </c>
      <c r="F23">
        <f t="shared" si="4"/>
        <v>-28110.9375</v>
      </c>
      <c r="G23">
        <f t="shared" si="5"/>
        <v>8057.8125</v>
      </c>
    </row>
    <row r="24" spans="1:7" x14ac:dyDescent="0.25">
      <c r="A24" s="3" t="s">
        <v>10</v>
      </c>
      <c r="B24" s="3">
        <v>830</v>
      </c>
      <c r="C24">
        <f t="shared" si="0"/>
        <v>13282.5625</v>
      </c>
      <c r="D24">
        <f t="shared" si="2"/>
        <v>6482.8125</v>
      </c>
      <c r="E24">
        <f t="shared" si="3"/>
        <v>-37196.9375</v>
      </c>
      <c r="F24">
        <f t="shared" si="4"/>
        <v>-47454.1875</v>
      </c>
      <c r="G24">
        <f t="shared" si="5"/>
        <v>-57596.1875</v>
      </c>
    </row>
    <row r="25" spans="1:7" x14ac:dyDescent="0.25">
      <c r="A25" s="3" t="s">
        <v>11</v>
      </c>
      <c r="B25" s="3">
        <v>935</v>
      </c>
      <c r="C25">
        <f t="shared" si="0"/>
        <v>105.0625</v>
      </c>
      <c r="D25">
        <f t="shared" si="2"/>
        <v>1181.3125</v>
      </c>
      <c r="E25">
        <f t="shared" si="3"/>
        <v>576.5625</v>
      </c>
      <c r="F25">
        <f t="shared" si="4"/>
        <v>-3308.1875</v>
      </c>
      <c r="G25">
        <f t="shared" si="5"/>
        <v>-4220.4375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D6DB-11BE-45BB-B11B-E95DED4BB394}">
  <dimension ref="A1:R33"/>
  <sheetViews>
    <sheetView zoomScaleNormal="100" workbookViewId="0">
      <selection activeCell="C21" sqref="C21"/>
    </sheetView>
  </sheetViews>
  <sheetFormatPr defaultRowHeight="13.2" x14ac:dyDescent="0.25"/>
  <cols>
    <col min="2" max="2" width="11.6640625" customWidth="1"/>
    <col min="5" max="5" width="11.44140625" customWidth="1"/>
    <col min="6" max="6" width="11.109375" customWidth="1"/>
  </cols>
  <sheetData>
    <row r="1" spans="1:18" ht="13.8" thickBot="1" x14ac:dyDescent="0.3">
      <c r="A1" s="2" t="s">
        <v>12</v>
      </c>
      <c r="B1" s="2" t="s">
        <v>13</v>
      </c>
    </row>
    <row r="2" spans="1:18" ht="13.8" thickTop="1" x14ac:dyDescent="0.25">
      <c r="A2" s="3" t="s">
        <v>0</v>
      </c>
      <c r="B2" s="3">
        <v>967</v>
      </c>
      <c r="E2" t="s">
        <v>72</v>
      </c>
      <c r="G2" t="s">
        <v>74</v>
      </c>
      <c r="H2" s="12">
        <v>0.05</v>
      </c>
    </row>
    <row r="3" spans="1:18" x14ac:dyDescent="0.25">
      <c r="A3" s="3" t="s">
        <v>1</v>
      </c>
      <c r="B3" s="3">
        <v>795</v>
      </c>
      <c r="R3" s="1"/>
    </row>
    <row r="4" spans="1:18" x14ac:dyDescent="0.25">
      <c r="A4" s="3" t="s">
        <v>2</v>
      </c>
      <c r="B4" s="3">
        <v>820</v>
      </c>
      <c r="E4" s="18" t="s">
        <v>75</v>
      </c>
      <c r="F4" s="18" t="s">
        <v>73</v>
      </c>
      <c r="G4" s="18" t="s">
        <v>68</v>
      </c>
      <c r="H4" s="18" t="s">
        <v>69</v>
      </c>
    </row>
    <row r="5" spans="1:18" x14ac:dyDescent="0.25">
      <c r="A5" s="3" t="s">
        <v>3</v>
      </c>
      <c r="B5" s="3">
        <v>672</v>
      </c>
      <c r="E5">
        <v>0</v>
      </c>
      <c r="F5">
        <f>[1]!ACF($B$2:$B$25,E5)</f>
        <v>1</v>
      </c>
    </row>
    <row r="6" spans="1:18" x14ac:dyDescent="0.25">
      <c r="A6" s="3" t="s">
        <v>4</v>
      </c>
      <c r="B6" s="3">
        <v>722</v>
      </c>
      <c r="E6">
        <f>E5+1</f>
        <v>1</v>
      </c>
      <c r="F6">
        <f>[1]!ACF($B$2:$B$25,E6)</f>
        <v>0.54141782650701553</v>
      </c>
      <c r="G6">
        <f>-H6</f>
        <v>-0.40007597302960912</v>
      </c>
      <c r="H6">
        <f>_xlfn.NORM.S.INV(1-$H$2/2)/SQRT(COUNT($B$2:$B$25))</f>
        <v>0.40007597302960912</v>
      </c>
    </row>
    <row r="7" spans="1:18" x14ac:dyDescent="0.25">
      <c r="A7" s="3" t="s">
        <v>5</v>
      </c>
      <c r="B7" s="3">
        <v>820</v>
      </c>
      <c r="E7">
        <f t="shared" ref="E7:E15" si="0">E6+1</f>
        <v>2</v>
      </c>
      <c r="F7">
        <f>[1]!ACF($B$2:$B$25,E7)</f>
        <v>2.5318933820777774E-2</v>
      </c>
      <c r="G7">
        <f>-H7</f>
        <v>-0.50388397875882163</v>
      </c>
      <c r="H7">
        <f>_xlfn.NORM.S.INV(1-$H$2/2)*SQRT((1+2*SUMSQ(F$6:F6))/COUNT($B$2:$B$25))</f>
        <v>0.50388397875882163</v>
      </c>
    </row>
    <row r="8" spans="1:18" x14ac:dyDescent="0.25">
      <c r="A8" s="3" t="s">
        <v>6</v>
      </c>
      <c r="B8" s="3">
        <v>1326</v>
      </c>
      <c r="E8">
        <f t="shared" si="0"/>
        <v>3</v>
      </c>
      <c r="F8">
        <f>[1]!ACF($B$2:$B$25,E8)</f>
        <v>-0.44418476371162025</v>
      </c>
      <c r="G8">
        <f t="shared" ref="G8:G15" si="1">-H8</f>
        <v>-0.50408756924981513</v>
      </c>
      <c r="H8">
        <f>_xlfn.NORM.S.INV(1-$H$2/2)*SQRT((1+2*SUMSQ(F$6:F7))/COUNT($B$2:$B$25))</f>
        <v>0.50408756924981513</v>
      </c>
    </row>
    <row r="9" spans="1:18" x14ac:dyDescent="0.25">
      <c r="A9" s="3" t="s">
        <v>7</v>
      </c>
      <c r="B9" s="3">
        <v>1262</v>
      </c>
      <c r="E9">
        <f t="shared" si="0"/>
        <v>4</v>
      </c>
      <c r="F9">
        <f>[1]!ACF($B$2:$B$25,E9)</f>
        <v>-0.37843327783435071</v>
      </c>
      <c r="G9">
        <f t="shared" si="1"/>
        <v>-0.56326219144265577</v>
      </c>
      <c r="H9">
        <f>_xlfn.NORM.S.INV(1-$H$2/2)*SQRT((1+2*SUMSQ(F$6:F8))/COUNT($B$2:$B$25))</f>
        <v>0.56326219144265577</v>
      </c>
    </row>
    <row r="10" spans="1:18" x14ac:dyDescent="0.25">
      <c r="A10" s="3" t="s">
        <v>8</v>
      </c>
      <c r="B10" s="3">
        <v>1126</v>
      </c>
      <c r="E10">
        <f t="shared" si="0"/>
        <v>5</v>
      </c>
      <c r="F10">
        <f>[1]!ACF($B$2:$B$25,E10)</f>
        <v>-0.197629321682111</v>
      </c>
      <c r="G10">
        <f t="shared" si="1"/>
        <v>-0.60258564949515547</v>
      </c>
      <c r="H10">
        <f>_xlfn.NORM.S.INV(1-$H$2/2)*SQRT((1+2*SUMSQ(F$6:F9))/COUNT($B$2:$B$25))</f>
        <v>0.60258564949515547</v>
      </c>
    </row>
    <row r="11" spans="1:18" x14ac:dyDescent="0.25">
      <c r="A11" s="3" t="s">
        <v>9</v>
      </c>
      <c r="B11" s="3">
        <v>814</v>
      </c>
      <c r="E11">
        <f t="shared" si="0"/>
        <v>6</v>
      </c>
      <c r="F11">
        <f>[1]!ACF($B$2:$B$25,E11)</f>
        <v>-2.6493137186556558E-2</v>
      </c>
      <c r="G11">
        <f t="shared" si="1"/>
        <v>-0.61287238861681825</v>
      </c>
      <c r="H11">
        <f>_xlfn.NORM.S.INV(1-$H$2/2)*SQRT((1+2*SUMSQ(F$6:F10))/COUNT($B$2:$B$25))</f>
        <v>0.61287238861681825</v>
      </c>
    </row>
    <row r="12" spans="1:18" x14ac:dyDescent="0.25">
      <c r="A12" s="3" t="s">
        <v>10</v>
      </c>
      <c r="B12" s="3">
        <v>821</v>
      </c>
      <c r="E12">
        <f t="shared" si="0"/>
        <v>7</v>
      </c>
      <c r="F12">
        <f>[1]!ACF($B$2:$B$25,E12)</f>
        <v>-3.6460340324380364E-2</v>
      </c>
      <c r="G12">
        <f t="shared" si="1"/>
        <v>-0.61305566931383171</v>
      </c>
      <c r="H12">
        <f>_xlfn.NORM.S.INV(1-$H$2/2)*SQRT((1+2*SUMSQ(F$6:F11))/COUNT($B$2:$B$25))</f>
        <v>0.61305566931383171</v>
      </c>
    </row>
    <row r="13" spans="1:18" x14ac:dyDescent="0.25">
      <c r="A13" s="3" t="s">
        <v>11</v>
      </c>
      <c r="B13" s="3">
        <v>918</v>
      </c>
      <c r="E13">
        <f t="shared" si="0"/>
        <v>8</v>
      </c>
      <c r="F13">
        <f>[1]!ACF($B$2:$B$25,E13)</f>
        <v>-0.12256792780370725</v>
      </c>
      <c r="G13">
        <f t="shared" si="1"/>
        <v>-0.61340264862393068</v>
      </c>
      <c r="H13">
        <f>_xlfn.NORM.S.INV(1-$H$2/2)*SQRT((1+2*SUMSQ(F$6:F12))/COUNT($B$2:$B$25))</f>
        <v>0.61340264862393068</v>
      </c>
    </row>
    <row r="14" spans="1:18" x14ac:dyDescent="0.25">
      <c r="A14" s="3" t="s">
        <v>0</v>
      </c>
      <c r="B14" s="3">
        <v>950</v>
      </c>
      <c r="E14">
        <f t="shared" si="0"/>
        <v>9</v>
      </c>
      <c r="F14">
        <f>[1]!ACF($B$2:$B$25,E14)</f>
        <v>-0.20049308629229304</v>
      </c>
      <c r="G14">
        <f t="shared" si="1"/>
        <v>-0.61731026450611837</v>
      </c>
      <c r="H14">
        <f>_xlfn.NORM.S.INV(1-$H$2/2)*SQRT((1+2*SUMSQ(F$6:F13))/COUNT($B$2:$B$25))</f>
        <v>0.61731026450611837</v>
      </c>
    </row>
    <row r="15" spans="1:18" x14ac:dyDescent="0.25">
      <c r="A15" s="3" t="s">
        <v>1</v>
      </c>
      <c r="B15" s="3">
        <v>878</v>
      </c>
      <c r="E15" s="11">
        <f t="shared" si="0"/>
        <v>10</v>
      </c>
      <c r="F15" s="11">
        <f>[1]!ACF($B$2:$B$25,E15)</f>
        <v>-1.5553436624452939E-2</v>
      </c>
      <c r="G15" s="11">
        <f t="shared" si="1"/>
        <v>-0.62764643092717742</v>
      </c>
      <c r="H15" s="11">
        <f>_xlfn.NORM.S.INV(1-$H$2/2)*SQRT((1+2*SUMSQ(F$6:F14))/COUNT($B$2:$B$25))</f>
        <v>0.62764643092717742</v>
      </c>
    </row>
    <row r="16" spans="1:18" x14ac:dyDescent="0.25">
      <c r="A16" s="3" t="s">
        <v>2</v>
      </c>
      <c r="B16" s="3">
        <v>785</v>
      </c>
    </row>
    <row r="17" spans="1:8" x14ac:dyDescent="0.25">
      <c r="A17" s="3" t="s">
        <v>3</v>
      </c>
      <c r="B17" s="3">
        <v>690</v>
      </c>
    </row>
    <row r="18" spans="1:8" x14ac:dyDescent="0.25">
      <c r="A18" s="3" t="s">
        <v>4</v>
      </c>
      <c r="B18" s="3">
        <v>794</v>
      </c>
    </row>
    <row r="19" spans="1:8" x14ac:dyDescent="0.25">
      <c r="A19" s="3" t="s">
        <v>5</v>
      </c>
      <c r="B19" s="3">
        <v>802</v>
      </c>
    </row>
    <row r="20" spans="1:8" x14ac:dyDescent="0.25">
      <c r="A20" s="3" t="s">
        <v>6</v>
      </c>
      <c r="B20" s="3">
        <v>1445</v>
      </c>
      <c r="E20" t="s">
        <v>72</v>
      </c>
      <c r="G20" t="s">
        <v>74</v>
      </c>
      <c r="H20" s="12">
        <v>0.05</v>
      </c>
    </row>
    <row r="21" spans="1:8" x14ac:dyDescent="0.25">
      <c r="A21" s="3" t="s">
        <v>7</v>
      </c>
      <c r="B21" s="3">
        <v>1357</v>
      </c>
    </row>
    <row r="22" spans="1:8" x14ac:dyDescent="0.25">
      <c r="A22" s="3" t="s">
        <v>8</v>
      </c>
      <c r="B22" s="3">
        <v>1268</v>
      </c>
      <c r="E22" s="18" t="s">
        <v>75</v>
      </c>
      <c r="F22" s="18" t="s">
        <v>76</v>
      </c>
      <c r="G22" s="18" t="s">
        <v>68</v>
      </c>
      <c r="H22" s="18" t="s">
        <v>69</v>
      </c>
    </row>
    <row r="23" spans="1:8" x14ac:dyDescent="0.25">
      <c r="A23" s="3" t="s">
        <v>9</v>
      </c>
      <c r="B23" s="3">
        <v>889</v>
      </c>
      <c r="E23">
        <v>0</v>
      </c>
      <c r="F23">
        <f>[1]!PACF($B$2:$B$25,E23)</f>
        <v>1</v>
      </c>
    </row>
    <row r="24" spans="1:8" x14ac:dyDescent="0.25">
      <c r="A24" s="3" t="s">
        <v>10</v>
      </c>
      <c r="B24" s="3">
        <v>830</v>
      </c>
      <c r="E24">
        <f>E23+1</f>
        <v>1</v>
      </c>
      <c r="F24">
        <f>[1]!PACF($B$2:$B$25,E24)</f>
        <v>0.54141782650701553</v>
      </c>
      <c r="G24">
        <f>-H24</f>
        <v>-0.40007597302960912</v>
      </c>
      <c r="H24">
        <f>_xlfn.NORM.S.INV(1-$H$20/2)/SQRT(COUNT(B2:B25))</f>
        <v>0.40007597302960912</v>
      </c>
    </row>
    <row r="25" spans="1:8" x14ac:dyDescent="0.25">
      <c r="A25" s="3" t="s">
        <v>11</v>
      </c>
      <c r="B25" s="3">
        <v>935</v>
      </c>
      <c r="E25">
        <f t="shared" ref="E25:E33" si="2">E24+1</f>
        <v>2</v>
      </c>
      <c r="F25">
        <f>[1]!PACF($B$2:$B$25,E25)</f>
        <v>-0.37887527445728658</v>
      </c>
      <c r="G25">
        <f>G24</f>
        <v>-0.40007597302960912</v>
      </c>
      <c r="H25">
        <f>H24</f>
        <v>0.40007597302960912</v>
      </c>
    </row>
    <row r="26" spans="1:8" x14ac:dyDescent="0.25">
      <c r="E26">
        <f t="shared" si="2"/>
        <v>3</v>
      </c>
      <c r="F26">
        <f>[1]!PACF($B$2:$B$25,E26)</f>
        <v>-0.426094089436725</v>
      </c>
      <c r="G26">
        <f t="shared" ref="G26:G33" si="3">G25</f>
        <v>-0.40007597302960912</v>
      </c>
      <c r="H26">
        <f t="shared" ref="H26:H33" si="4">H25</f>
        <v>0.40007597302960912</v>
      </c>
    </row>
    <row r="27" spans="1:8" x14ac:dyDescent="0.25">
      <c r="E27">
        <f t="shared" si="2"/>
        <v>4</v>
      </c>
      <c r="F27">
        <f>[1]!PACF($B$2:$B$25,E27)</f>
        <v>0.2294680216925904</v>
      </c>
      <c r="G27">
        <f t="shared" si="3"/>
        <v>-0.40007597302960912</v>
      </c>
      <c r="H27">
        <f t="shared" si="4"/>
        <v>0.40007597302960912</v>
      </c>
    </row>
    <row r="28" spans="1:8" x14ac:dyDescent="0.25">
      <c r="E28">
        <f t="shared" si="2"/>
        <v>5</v>
      </c>
      <c r="F28">
        <f>[1]!PACF($B$2:$B$25,E28)</f>
        <v>-0.14924309464017826</v>
      </c>
      <c r="G28">
        <f t="shared" si="3"/>
        <v>-0.40007597302960912</v>
      </c>
      <c r="H28">
        <f t="shared" si="4"/>
        <v>0.40007597302960912</v>
      </c>
    </row>
    <row r="29" spans="1:8" x14ac:dyDescent="0.25">
      <c r="E29">
        <f t="shared" si="2"/>
        <v>6</v>
      </c>
      <c r="F29">
        <f>[1]!PACF($B$2:$B$25,E29)</f>
        <v>-0.24781325976098265</v>
      </c>
      <c r="G29">
        <f t="shared" si="3"/>
        <v>-0.40007597302960912</v>
      </c>
      <c r="H29">
        <f t="shared" si="4"/>
        <v>0.40007597302960912</v>
      </c>
    </row>
    <row r="30" spans="1:8" x14ac:dyDescent="0.25">
      <c r="E30">
        <f t="shared" si="2"/>
        <v>7</v>
      </c>
      <c r="F30">
        <f>[1]!PACF($B$2:$B$25,E30)</f>
        <v>-6.8759152066172544E-2</v>
      </c>
      <c r="G30">
        <f t="shared" si="3"/>
        <v>-0.40007597302960912</v>
      </c>
      <c r="H30">
        <f t="shared" si="4"/>
        <v>0.40007597302960912</v>
      </c>
    </row>
    <row r="31" spans="1:8" x14ac:dyDescent="0.25">
      <c r="E31">
        <f t="shared" si="2"/>
        <v>8</v>
      </c>
      <c r="F31">
        <f>[1]!PACF($B$2:$B$25,E31)</f>
        <v>-0.20345963356729022</v>
      </c>
      <c r="G31">
        <f t="shared" si="3"/>
        <v>-0.40007597302960912</v>
      </c>
      <c r="H31">
        <f t="shared" si="4"/>
        <v>0.40007597302960912</v>
      </c>
    </row>
    <row r="32" spans="1:8" x14ac:dyDescent="0.25">
      <c r="E32">
        <f t="shared" si="2"/>
        <v>9</v>
      </c>
      <c r="F32">
        <f>[1]!PACF($B$2:$B$25,E32)</f>
        <v>-0.27023931664928957</v>
      </c>
      <c r="G32">
        <f t="shared" si="3"/>
        <v>-0.40007597302960912</v>
      </c>
      <c r="H32">
        <f t="shared" si="4"/>
        <v>0.40007597302960912</v>
      </c>
    </row>
    <row r="33" spans="5:8" x14ac:dyDescent="0.25">
      <c r="E33" s="11">
        <f t="shared" si="2"/>
        <v>10</v>
      </c>
      <c r="F33" s="11">
        <f>[1]!PACF($B$2:$B$25,E33)</f>
        <v>0.22364254676859446</v>
      </c>
      <c r="G33" s="11">
        <f t="shared" si="3"/>
        <v>-0.40007597302960912</v>
      </c>
      <c r="H33" s="11">
        <f t="shared" si="4"/>
        <v>0.40007597302960912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D244-4E19-4060-A75E-C822E9A8F4F7}">
  <dimension ref="A1:AH32"/>
  <sheetViews>
    <sheetView tabSelected="1" zoomScaleNormal="100" workbookViewId="0">
      <selection activeCell="G4" sqref="G4"/>
    </sheetView>
  </sheetViews>
  <sheetFormatPr defaultRowHeight="13.2" x14ac:dyDescent="0.25"/>
  <cols>
    <col min="4" max="4" width="12.77734375" customWidth="1"/>
    <col min="5" max="5" width="13.6640625" customWidth="1"/>
    <col min="6" max="6" width="14.88671875" customWidth="1"/>
    <col min="7" max="7" width="12.5546875" customWidth="1"/>
  </cols>
  <sheetData>
    <row r="1" spans="1:34" x14ac:dyDescent="0.25">
      <c r="A1" t="s">
        <v>26</v>
      </c>
      <c r="J1" t="s">
        <v>30</v>
      </c>
      <c r="N1" t="s">
        <v>58</v>
      </c>
      <c r="R1" t="s">
        <v>50</v>
      </c>
      <c r="X1" t="s">
        <v>65</v>
      </c>
      <c r="AF1" t="s">
        <v>70</v>
      </c>
    </row>
    <row r="2" spans="1:34" ht="13.8" thickBot="1" x14ac:dyDescent="0.3">
      <c r="AA2" t="s">
        <v>66</v>
      </c>
      <c r="AB2">
        <v>0.05</v>
      </c>
    </row>
    <row r="3" spans="1:34" ht="13.8" thickTop="1" x14ac:dyDescent="0.25">
      <c r="A3" s="8" t="s">
        <v>27</v>
      </c>
      <c r="B3" s="8" t="s">
        <v>28</v>
      </c>
      <c r="C3" s="8" t="s">
        <v>29</v>
      </c>
      <c r="D3" s="19" t="s">
        <v>79</v>
      </c>
      <c r="E3" s="19" t="s">
        <v>77</v>
      </c>
      <c r="F3" s="19" t="s">
        <v>78</v>
      </c>
      <c r="G3" s="19" t="s">
        <v>80</v>
      </c>
      <c r="H3" s="19"/>
      <c r="J3" s="8" t="s">
        <v>31</v>
      </c>
      <c r="K3" s="8" t="s">
        <v>32</v>
      </c>
      <c r="L3" s="8" t="s">
        <v>33</v>
      </c>
      <c r="N3" s="8" t="s">
        <v>59</v>
      </c>
      <c r="O3" s="8" t="s">
        <v>60</v>
      </c>
      <c r="P3" s="8" t="s">
        <v>61</v>
      </c>
      <c r="R3" s="8" t="s">
        <v>51</v>
      </c>
      <c r="S3" s="8" t="s">
        <v>52</v>
      </c>
      <c r="T3" s="8" t="s">
        <v>53</v>
      </c>
      <c r="U3" s="8" t="s">
        <v>54</v>
      </c>
      <c r="V3" s="8" t="s">
        <v>55</v>
      </c>
      <c r="X3" s="8" t="s">
        <v>27</v>
      </c>
      <c r="Y3" s="8" t="s">
        <v>28</v>
      </c>
      <c r="Z3" s="8" t="s">
        <v>29</v>
      </c>
      <c r="AA3" s="8" t="s">
        <v>67</v>
      </c>
      <c r="AB3" s="8" t="s">
        <v>53</v>
      </c>
      <c r="AC3" s="8" t="s">
        <v>68</v>
      </c>
      <c r="AD3" s="8" t="s">
        <v>69</v>
      </c>
      <c r="AF3" s="8" t="s">
        <v>27</v>
      </c>
      <c r="AG3" s="8" t="s">
        <v>71</v>
      </c>
    </row>
    <row r="4" spans="1:34" x14ac:dyDescent="0.25">
      <c r="A4">
        <v>1</v>
      </c>
      <c r="B4">
        <f>'Train-Test'!B2-L$5</f>
        <v>26.449128940816422</v>
      </c>
      <c r="C4">
        <v>0</v>
      </c>
      <c r="D4" s="3">
        <v>967</v>
      </c>
      <c r="E4">
        <f>ABS(C4)</f>
        <v>0</v>
      </c>
      <c r="F4">
        <f>(E4/D4)*100</f>
        <v>0</v>
      </c>
      <c r="G4" s="20">
        <f>SUM(F4:F27)/COUNT(F4:F27)</f>
        <v>11.898942529878893</v>
      </c>
      <c r="J4" s="9">
        <v>1</v>
      </c>
      <c r="K4">
        <f>S5</f>
        <v>0.39500742377507336</v>
      </c>
      <c r="L4">
        <f>S6</f>
        <v>0.25193639641149745</v>
      </c>
      <c r="N4" s="16">
        <f t="array" ref="N4:P4">[2]!ARRoots(K4)</f>
        <v>2.5315979898378411</v>
      </c>
      <c r="O4" s="16">
        <v>0</v>
      </c>
      <c r="P4" s="16">
        <v>2.5315979898378411</v>
      </c>
      <c r="R4" t="s">
        <v>34</v>
      </c>
      <c r="S4">
        <f t="array" ref="S4:T6">[2]!ARIMA_Coeff('Train-Test'!B2:B25,1,1,0,TRUE)</f>
        <v>569.02629455269425</v>
      </c>
      <c r="T4">
        <v>333.65016822575274</v>
      </c>
      <c r="U4">
        <f>S4/T4</f>
        <v>1.7054578380061911</v>
      </c>
      <c r="V4">
        <f>_xlfn.T.DIST.2T(ABS(U4),L$17-L$9-L$10-1)</f>
        <v>0.10359311905287782</v>
      </c>
      <c r="X4">
        <f>A4</f>
        <v>1</v>
      </c>
      <c r="Y4">
        <f>B4</f>
        <v>26.449128940816422</v>
      </c>
      <c r="Z4">
        <f>C4</f>
        <v>0</v>
      </c>
      <c r="AA4">
        <f>Y4-Z4</f>
        <v>26.449128940816422</v>
      </c>
      <c r="AB4">
        <f>L$14</f>
        <v>184.10375881022208</v>
      </c>
      <c r="AC4">
        <f>AA4-_xlfn.NORM.S.INV(1-AB$2/2)*AB4</f>
        <v>-334.38760774566742</v>
      </c>
      <c r="AD4">
        <f>AA4+_xlfn.NORM.S.INV(1-AB$2/2)*AB4</f>
        <v>387.28586562730027</v>
      </c>
      <c r="AF4">
        <v>1</v>
      </c>
      <c r="AG4">
        <f>'Train-Test'!B2</f>
        <v>967</v>
      </c>
      <c r="AH4">
        <f xml:space="preserve"> AA4 + L$5</f>
        <v>967</v>
      </c>
    </row>
    <row r="5" spans="1:34" x14ac:dyDescent="0.25">
      <c r="A5">
        <f>A4+1</f>
        <v>2</v>
      </c>
      <c r="B5">
        <f>'Train-Test'!B3-L$5</f>
        <v>-145.55087105918358</v>
      </c>
      <c r="C5">
        <f t="shared" ref="C5:C27" si="0">B5-SUMPRODUCT(B4,K$4)-SUMPRODUCT(C4,L$4)</f>
        <v>-155.9984733431902</v>
      </c>
      <c r="D5" s="3">
        <v>795</v>
      </c>
      <c r="E5">
        <f t="shared" ref="E5:E27" si="1">ABS(C5)</f>
        <v>155.9984733431902</v>
      </c>
      <c r="F5">
        <f t="shared" ref="F5:F27" si="2">(E5/D5)*100</f>
        <v>19.622449477130843</v>
      </c>
      <c r="J5" s="10" t="s">
        <v>34</v>
      </c>
      <c r="K5" s="11">
        <f>S4</f>
        <v>569.02629455269425</v>
      </c>
      <c r="L5" s="11">
        <f>K5/(1-SUM(K4))</f>
        <v>940.55087105918358</v>
      </c>
      <c r="R5" t="s">
        <v>56</v>
      </c>
      <c r="S5">
        <v>0.39500742377507336</v>
      </c>
      <c r="T5">
        <v>0.34891422721337456</v>
      </c>
      <c r="U5">
        <f t="shared" ref="U5:U6" si="3">S5/T5</f>
        <v>1.1321046634579077</v>
      </c>
      <c r="V5">
        <f t="shared" ref="V5:V6" si="4">_xlfn.T.DIST.2T(ABS(U5),L$17-L$9-L$10-1)</f>
        <v>0.27098181946952971</v>
      </c>
      <c r="X5">
        <f t="shared" ref="X5:X27" si="5">A5</f>
        <v>2</v>
      </c>
      <c r="Y5">
        <f t="shared" ref="Y5:Y27" si="6">B5</f>
        <v>-145.55087105918358</v>
      </c>
      <c r="Z5">
        <f t="shared" ref="Z5:Z27" si="7">C5</f>
        <v>-155.9984733431902</v>
      </c>
      <c r="AA5">
        <f t="shared" ref="AA5:AA27" si="8">Y5-Z5</f>
        <v>10.447602284006621</v>
      </c>
      <c r="AB5">
        <f t="shared" ref="AB5:AB27" si="9">L$14</f>
        <v>184.10375881022208</v>
      </c>
      <c r="AC5">
        <f t="shared" ref="AC5:AC27" si="10">AA5-_xlfn.NORM.S.INV(1-AB$2/2)*AB5</f>
        <v>-350.38913440247723</v>
      </c>
      <c r="AD5">
        <f t="shared" ref="AD5:AD27" si="11">AA5+_xlfn.NORM.S.INV(1-AB$2/2)*AB5</f>
        <v>371.28433897049047</v>
      </c>
      <c r="AF5">
        <f>AF4+1</f>
        <v>2</v>
      </c>
      <c r="AG5">
        <f>'Train-Test'!B3</f>
        <v>795</v>
      </c>
      <c r="AH5">
        <f t="shared" ref="AH5:AH27" si="12" xml:space="preserve"> AA5 + L$5</f>
        <v>950.9984733431902</v>
      </c>
    </row>
    <row r="6" spans="1:34" x14ac:dyDescent="0.25">
      <c r="A6">
        <f t="shared" ref="A6:A27" si="13">A5+1</f>
        <v>3</v>
      </c>
      <c r="B6">
        <f>'Train-Test'!B4-L$5</f>
        <v>-120.55087105918358</v>
      </c>
      <c r="C6">
        <f t="shared" si="0"/>
        <v>-23.755503234099201</v>
      </c>
      <c r="D6" s="3">
        <v>820</v>
      </c>
      <c r="E6">
        <f t="shared" si="1"/>
        <v>23.755503234099201</v>
      </c>
      <c r="F6">
        <f t="shared" si="2"/>
        <v>2.8970125895242926</v>
      </c>
      <c r="N6" t="s">
        <v>62</v>
      </c>
      <c r="R6" s="11" t="s">
        <v>57</v>
      </c>
      <c r="S6" s="11">
        <v>0.25193639641149745</v>
      </c>
      <c r="T6" s="11">
        <v>0.36837152797914052</v>
      </c>
      <c r="U6" s="11">
        <f t="shared" si="3"/>
        <v>0.68391929689463848</v>
      </c>
      <c r="V6" s="11">
        <f t="shared" si="4"/>
        <v>0.50187420752339351</v>
      </c>
      <c r="X6">
        <f t="shared" si="5"/>
        <v>3</v>
      </c>
      <c r="Y6">
        <f t="shared" si="6"/>
        <v>-120.55087105918358</v>
      </c>
      <c r="Z6">
        <f t="shared" si="7"/>
        <v>-23.755503234099201</v>
      </c>
      <c r="AA6">
        <f t="shared" si="8"/>
        <v>-96.795367825084384</v>
      </c>
      <c r="AB6">
        <f t="shared" si="9"/>
        <v>184.10375881022208</v>
      </c>
      <c r="AC6">
        <f t="shared" si="10"/>
        <v>-457.63210451156823</v>
      </c>
      <c r="AD6">
        <f t="shared" si="11"/>
        <v>264.04136886139946</v>
      </c>
      <c r="AF6">
        <f t="shared" ref="AF6:AF32" si="14">AF5+1</f>
        <v>3</v>
      </c>
      <c r="AG6">
        <f>'Train-Test'!B4</f>
        <v>820</v>
      </c>
      <c r="AH6">
        <f t="shared" si="12"/>
        <v>843.75550323409925</v>
      </c>
    </row>
    <row r="7" spans="1:34" ht="13.8" thickBot="1" x14ac:dyDescent="0.3">
      <c r="A7">
        <f t="shared" si="13"/>
        <v>4</v>
      </c>
      <c r="B7">
        <f>'Train-Test'!B5-L$5</f>
        <v>-268.55087105918358</v>
      </c>
      <c r="C7">
        <f t="shared" si="0"/>
        <v>-214.9475061685138</v>
      </c>
      <c r="D7" s="3">
        <v>672</v>
      </c>
      <c r="E7">
        <f t="shared" si="1"/>
        <v>214.9475061685138</v>
      </c>
      <c r="F7">
        <f t="shared" si="2"/>
        <v>31.986236036981218</v>
      </c>
      <c r="K7" t="s">
        <v>35</v>
      </c>
      <c r="L7" s="12">
        <f>SUMSQ(C5:C27)</f>
        <v>779566.46218520578</v>
      </c>
      <c r="X7">
        <f t="shared" si="5"/>
        <v>4</v>
      </c>
      <c r="Y7">
        <f t="shared" si="6"/>
        <v>-268.55087105918358</v>
      </c>
      <c r="Z7">
        <f t="shared" si="7"/>
        <v>-214.9475061685138</v>
      </c>
      <c r="AA7">
        <f t="shared" si="8"/>
        <v>-53.603364890669781</v>
      </c>
      <c r="AB7">
        <f t="shared" si="9"/>
        <v>184.10375881022208</v>
      </c>
      <c r="AC7">
        <f t="shared" si="10"/>
        <v>-414.44010157715365</v>
      </c>
      <c r="AD7">
        <f t="shared" si="11"/>
        <v>307.23337179581404</v>
      </c>
      <c r="AF7">
        <f t="shared" si="14"/>
        <v>4</v>
      </c>
      <c r="AG7">
        <f>'Train-Test'!B5</f>
        <v>672</v>
      </c>
      <c r="AH7">
        <f t="shared" si="12"/>
        <v>886.94750616851377</v>
      </c>
    </row>
    <row r="8" spans="1:34" ht="13.8" thickTop="1" x14ac:dyDescent="0.25">
      <c r="A8">
        <f t="shared" si="13"/>
        <v>5</v>
      </c>
      <c r="B8">
        <f>'Train-Test'!B6-L$5</f>
        <v>-218.55087105918358</v>
      </c>
      <c r="C8">
        <f t="shared" si="0"/>
        <v>-58.31818320781008</v>
      </c>
      <c r="D8" s="3">
        <v>722</v>
      </c>
      <c r="E8">
        <f t="shared" si="1"/>
        <v>58.31818320781008</v>
      </c>
      <c r="F8">
        <f t="shared" si="2"/>
        <v>8.0773106936025041</v>
      </c>
      <c r="N8" s="8" t="s">
        <v>59</v>
      </c>
      <c r="O8" s="8" t="s">
        <v>60</v>
      </c>
      <c r="P8" s="8" t="s">
        <v>61</v>
      </c>
      <c r="X8">
        <f t="shared" si="5"/>
        <v>5</v>
      </c>
      <c r="Y8">
        <f t="shared" si="6"/>
        <v>-218.55087105918358</v>
      </c>
      <c r="Z8">
        <f t="shared" si="7"/>
        <v>-58.31818320781008</v>
      </c>
      <c r="AA8">
        <f t="shared" si="8"/>
        <v>-160.2326878513735</v>
      </c>
      <c r="AB8">
        <f t="shared" si="9"/>
        <v>184.10375881022208</v>
      </c>
      <c r="AC8">
        <f t="shared" si="10"/>
        <v>-521.06942453785734</v>
      </c>
      <c r="AD8">
        <f t="shared" si="11"/>
        <v>200.60404883511035</v>
      </c>
      <c r="AF8">
        <f t="shared" si="14"/>
        <v>5</v>
      </c>
      <c r="AG8">
        <f>'Train-Test'!B6</f>
        <v>722</v>
      </c>
      <c r="AH8">
        <f t="shared" si="12"/>
        <v>780.31818320781008</v>
      </c>
    </row>
    <row r="9" spans="1:34" x14ac:dyDescent="0.25">
      <c r="A9">
        <f t="shared" si="13"/>
        <v>6</v>
      </c>
      <c r="B9">
        <f>'Train-Test'!B7-L$5</f>
        <v>-120.55087105918358</v>
      </c>
      <c r="C9">
        <f t="shared" si="0"/>
        <v>-19.529181595656055</v>
      </c>
      <c r="D9" s="3">
        <v>820</v>
      </c>
      <c r="E9">
        <f t="shared" si="1"/>
        <v>19.529181595656055</v>
      </c>
      <c r="F9">
        <f t="shared" si="2"/>
        <v>2.3816075116653725</v>
      </c>
      <c r="K9" t="s">
        <v>36</v>
      </c>
      <c r="L9" s="13">
        <v>1</v>
      </c>
      <c r="N9" s="16">
        <f t="array" ref="N9:P9">[2]!MARoots(L4)</f>
        <v>-3.9692557893328813</v>
      </c>
      <c r="O9" s="16">
        <v>0</v>
      </c>
      <c r="P9" s="16">
        <v>3.9692557893328813</v>
      </c>
      <c r="X9">
        <f t="shared" si="5"/>
        <v>6</v>
      </c>
      <c r="Y9">
        <f t="shared" si="6"/>
        <v>-120.55087105918358</v>
      </c>
      <c r="Z9">
        <f t="shared" si="7"/>
        <v>-19.529181595656055</v>
      </c>
      <c r="AA9">
        <f t="shared" si="8"/>
        <v>-101.02168946352752</v>
      </c>
      <c r="AB9">
        <f t="shared" si="9"/>
        <v>184.10375881022208</v>
      </c>
      <c r="AC9">
        <f t="shared" si="10"/>
        <v>-461.85842615001138</v>
      </c>
      <c r="AD9">
        <f t="shared" si="11"/>
        <v>259.81504722295631</v>
      </c>
      <c r="AF9">
        <f t="shared" si="14"/>
        <v>6</v>
      </c>
      <c r="AG9">
        <f>'Train-Test'!B7</f>
        <v>820</v>
      </c>
      <c r="AH9">
        <f t="shared" si="12"/>
        <v>839.52918159565604</v>
      </c>
    </row>
    <row r="10" spans="1:34" x14ac:dyDescent="0.25">
      <c r="A10">
        <f t="shared" si="13"/>
        <v>7</v>
      </c>
      <c r="B10">
        <f>'Train-Test'!B8-L$5</f>
        <v>385.44912894081642</v>
      </c>
      <c r="C10">
        <f t="shared" si="0"/>
        <v>437.98772958782087</v>
      </c>
      <c r="D10" s="3">
        <v>1326</v>
      </c>
      <c r="E10">
        <f t="shared" si="1"/>
        <v>437.98772958782087</v>
      </c>
      <c r="F10">
        <f t="shared" si="2"/>
        <v>33.030748837693878</v>
      </c>
      <c r="K10" t="s">
        <v>37</v>
      </c>
      <c r="L10" s="14">
        <v>1</v>
      </c>
      <c r="X10">
        <f t="shared" si="5"/>
        <v>7</v>
      </c>
      <c r="Y10">
        <f t="shared" si="6"/>
        <v>385.44912894081642</v>
      </c>
      <c r="Z10">
        <f t="shared" si="7"/>
        <v>437.98772958782087</v>
      </c>
      <c r="AA10">
        <f t="shared" si="8"/>
        <v>-52.538600647004444</v>
      </c>
      <c r="AB10">
        <f t="shared" si="9"/>
        <v>184.10375881022208</v>
      </c>
      <c r="AC10">
        <f t="shared" si="10"/>
        <v>-413.37533733348829</v>
      </c>
      <c r="AD10">
        <f t="shared" si="11"/>
        <v>308.2981360394794</v>
      </c>
      <c r="AF10">
        <f t="shared" si="14"/>
        <v>7</v>
      </c>
      <c r="AG10">
        <f>'Train-Test'!B8</f>
        <v>1326</v>
      </c>
      <c r="AH10">
        <f t="shared" si="12"/>
        <v>888.01227041217908</v>
      </c>
    </row>
    <row r="11" spans="1:34" x14ac:dyDescent="0.25">
      <c r="A11">
        <f t="shared" si="13"/>
        <v>8</v>
      </c>
      <c r="B11">
        <f>'Train-Test'!B9-L$5</f>
        <v>321.44912894081642</v>
      </c>
      <c r="C11">
        <f t="shared" si="0"/>
        <v>58.848811256749471</v>
      </c>
      <c r="D11" s="3">
        <v>1262</v>
      </c>
      <c r="E11">
        <f t="shared" si="1"/>
        <v>58.848811256749471</v>
      </c>
      <c r="F11">
        <f t="shared" si="2"/>
        <v>4.663138768363666</v>
      </c>
      <c r="K11" t="s">
        <v>38</v>
      </c>
      <c r="L11" s="14">
        <v>0</v>
      </c>
      <c r="N11" t="s">
        <v>63</v>
      </c>
      <c r="X11">
        <f t="shared" si="5"/>
        <v>8</v>
      </c>
      <c r="Y11">
        <f t="shared" si="6"/>
        <v>321.44912894081642</v>
      </c>
      <c r="Z11">
        <f t="shared" si="7"/>
        <v>58.848811256749471</v>
      </c>
      <c r="AA11">
        <f t="shared" si="8"/>
        <v>262.60031768406697</v>
      </c>
      <c r="AB11">
        <f t="shared" si="9"/>
        <v>184.10375881022208</v>
      </c>
      <c r="AC11">
        <f t="shared" si="10"/>
        <v>-98.236419002416881</v>
      </c>
      <c r="AD11">
        <f t="shared" si="11"/>
        <v>623.43705437055087</v>
      </c>
      <c r="AF11">
        <f t="shared" si="14"/>
        <v>8</v>
      </c>
      <c r="AG11">
        <f>'Train-Test'!B9</f>
        <v>1262</v>
      </c>
      <c r="AH11">
        <f t="shared" si="12"/>
        <v>1203.1511887432505</v>
      </c>
    </row>
    <row r="12" spans="1:34" ht="13.8" thickBot="1" x14ac:dyDescent="0.3">
      <c r="A12">
        <f t="shared" si="13"/>
        <v>9</v>
      </c>
      <c r="B12">
        <f>'Train-Test'!B10-L$5</f>
        <v>185.44912894081642</v>
      </c>
      <c r="C12">
        <f t="shared" si="0"/>
        <v>43.648179202037326</v>
      </c>
      <c r="D12" s="3">
        <v>1126</v>
      </c>
      <c r="E12">
        <f t="shared" si="1"/>
        <v>43.648179202037326</v>
      </c>
      <c r="F12">
        <f t="shared" si="2"/>
        <v>3.8763924690974534</v>
      </c>
      <c r="K12" t="s">
        <v>39</v>
      </c>
      <c r="L12" s="14">
        <f>AVERAGE(C5:C27)</f>
        <v>1.7864349746438146</v>
      </c>
      <c r="X12">
        <f t="shared" si="5"/>
        <v>9</v>
      </c>
      <c r="Y12">
        <f t="shared" si="6"/>
        <v>185.44912894081642</v>
      </c>
      <c r="Z12">
        <f t="shared" si="7"/>
        <v>43.648179202037326</v>
      </c>
      <c r="AA12">
        <f t="shared" si="8"/>
        <v>141.80094973877908</v>
      </c>
      <c r="AB12">
        <f t="shared" si="9"/>
        <v>184.10375881022208</v>
      </c>
      <c r="AC12">
        <f t="shared" si="10"/>
        <v>-219.03578694770476</v>
      </c>
      <c r="AD12">
        <f t="shared" si="11"/>
        <v>502.63768642526293</v>
      </c>
      <c r="AF12">
        <f t="shared" si="14"/>
        <v>9</v>
      </c>
      <c r="AG12">
        <f>'Train-Test'!B10</f>
        <v>1126</v>
      </c>
      <c r="AH12">
        <f t="shared" si="12"/>
        <v>1082.3518207979628</v>
      </c>
    </row>
    <row r="13" spans="1:34" ht="13.8" thickTop="1" x14ac:dyDescent="0.25">
      <c r="A13">
        <f t="shared" si="13"/>
        <v>10</v>
      </c>
      <c r="B13">
        <f>'Train-Test'!B11-L$5</f>
        <v>-126.55087105918358</v>
      </c>
      <c r="C13">
        <f t="shared" si="0"/>
        <v>-210.80121870151143</v>
      </c>
      <c r="D13" s="3">
        <v>814</v>
      </c>
      <c r="E13">
        <f t="shared" si="1"/>
        <v>210.80121870151143</v>
      </c>
      <c r="F13">
        <f t="shared" si="2"/>
        <v>25.896955614436294</v>
      </c>
      <c r="K13" t="s">
        <v>40</v>
      </c>
      <c r="L13" s="14">
        <f>_xlfn.STDEV.S(C5:C27)</f>
        <v>188.23257629581033</v>
      </c>
      <c r="N13" s="8" t="s">
        <v>31</v>
      </c>
      <c r="O13" s="8" t="s">
        <v>64</v>
      </c>
      <c r="X13">
        <f t="shared" si="5"/>
        <v>10</v>
      </c>
      <c r="Y13">
        <f t="shared" si="6"/>
        <v>-126.55087105918358</v>
      </c>
      <c r="Z13">
        <f t="shared" si="7"/>
        <v>-210.80121870151143</v>
      </c>
      <c r="AA13">
        <f t="shared" si="8"/>
        <v>84.250347642327853</v>
      </c>
      <c r="AB13">
        <f t="shared" si="9"/>
        <v>184.10375881022208</v>
      </c>
      <c r="AC13">
        <f t="shared" si="10"/>
        <v>-276.58638904415602</v>
      </c>
      <c r="AD13">
        <f t="shared" si="11"/>
        <v>445.08708432881167</v>
      </c>
      <c r="AF13">
        <f t="shared" si="14"/>
        <v>10</v>
      </c>
      <c r="AG13">
        <f>'Train-Test'!B11</f>
        <v>814</v>
      </c>
      <c r="AH13">
        <f t="shared" si="12"/>
        <v>1024.8012187015115</v>
      </c>
    </row>
    <row r="14" spans="1:34" x14ac:dyDescent="0.25">
      <c r="A14">
        <f t="shared" si="13"/>
        <v>11</v>
      </c>
      <c r="B14">
        <f>'Train-Test'!B12-L$5</f>
        <v>-119.55087105918358</v>
      </c>
      <c r="C14">
        <f t="shared" si="0"/>
        <v>-16.453838106793221</v>
      </c>
      <c r="D14" s="3">
        <v>821</v>
      </c>
      <c r="E14">
        <f t="shared" si="1"/>
        <v>16.453838106793221</v>
      </c>
      <c r="F14">
        <f t="shared" si="2"/>
        <v>2.004121572082</v>
      </c>
      <c r="K14" t="s">
        <v>41</v>
      </c>
      <c r="L14" s="14">
        <f>SQRT(L7/L17)</f>
        <v>184.10375881022208</v>
      </c>
      <c r="N14" s="17">
        <v>0</v>
      </c>
      <c r="O14" s="17">
        <f t="array" ref="O14:O18">[2]!PSICoeff(K4,L4)</f>
        <v>1</v>
      </c>
      <c r="X14">
        <f t="shared" si="5"/>
        <v>11</v>
      </c>
      <c r="Y14">
        <f t="shared" si="6"/>
        <v>-119.55087105918358</v>
      </c>
      <c r="Z14">
        <f t="shared" si="7"/>
        <v>-16.453838106793221</v>
      </c>
      <c r="AA14">
        <f t="shared" si="8"/>
        <v>-103.09703295239035</v>
      </c>
      <c r="AB14">
        <f t="shared" si="9"/>
        <v>184.10375881022208</v>
      </c>
      <c r="AC14">
        <f t="shared" si="10"/>
        <v>-463.9337696388742</v>
      </c>
      <c r="AD14">
        <f t="shared" si="11"/>
        <v>257.7397037340935</v>
      </c>
      <c r="AF14">
        <f t="shared" si="14"/>
        <v>11</v>
      </c>
      <c r="AG14">
        <f>'Train-Test'!B12</f>
        <v>821</v>
      </c>
      <c r="AH14">
        <f t="shared" si="12"/>
        <v>837.45383810679323</v>
      </c>
    </row>
    <row r="15" spans="1:34" x14ac:dyDescent="0.25">
      <c r="A15">
        <f t="shared" si="13"/>
        <v>12</v>
      </c>
      <c r="B15">
        <f>'Train-Test'!B13-L$5</f>
        <v>-22.550871059183578</v>
      </c>
      <c r="C15">
        <f t="shared" si="0"/>
        <v>28.817931207734166</v>
      </c>
      <c r="D15" s="3">
        <v>918</v>
      </c>
      <c r="E15">
        <f t="shared" si="1"/>
        <v>28.817931207734166</v>
      </c>
      <c r="F15">
        <f t="shared" si="2"/>
        <v>3.1392081925636348</v>
      </c>
      <c r="K15" t="s">
        <v>42</v>
      </c>
      <c r="L15" s="14">
        <f>AVERAGE(B5:B27)</f>
        <v>3.7534767669033786</v>
      </c>
      <c r="N15">
        <f>N14+1</f>
        <v>1</v>
      </c>
      <c r="O15">
        <v>0.64694382018657082</v>
      </c>
      <c r="X15">
        <f t="shared" si="5"/>
        <v>12</v>
      </c>
      <c r="Y15">
        <f t="shared" si="6"/>
        <v>-22.550871059183578</v>
      </c>
      <c r="Z15">
        <f t="shared" si="7"/>
        <v>28.817931207734166</v>
      </c>
      <c r="AA15">
        <f t="shared" si="8"/>
        <v>-51.36880226691774</v>
      </c>
      <c r="AB15">
        <f t="shared" si="9"/>
        <v>184.10375881022208</v>
      </c>
      <c r="AC15">
        <f t="shared" si="10"/>
        <v>-412.20553895340157</v>
      </c>
      <c r="AD15">
        <f t="shared" si="11"/>
        <v>309.46793441956612</v>
      </c>
      <c r="AF15">
        <f t="shared" si="14"/>
        <v>12</v>
      </c>
      <c r="AG15">
        <f>'Train-Test'!B13</f>
        <v>918</v>
      </c>
      <c r="AH15">
        <f t="shared" si="12"/>
        <v>889.1820687922658</v>
      </c>
    </row>
    <row r="16" spans="1:34" x14ac:dyDescent="0.25">
      <c r="A16">
        <f t="shared" si="13"/>
        <v>13</v>
      </c>
      <c r="B16">
        <f>'Train-Test'!B14-L$5</f>
        <v>9.4491289408164221</v>
      </c>
      <c r="C16">
        <f t="shared" si="0"/>
        <v>11.096604681277407</v>
      </c>
      <c r="D16" s="3">
        <v>950</v>
      </c>
      <c r="E16">
        <f t="shared" si="1"/>
        <v>11.096604681277407</v>
      </c>
      <c r="F16">
        <f t="shared" si="2"/>
        <v>1.1680636506607798</v>
      </c>
      <c r="K16" t="s">
        <v>43</v>
      </c>
      <c r="L16" s="14">
        <f>_xlfn.STDEV.S(B5:B27)</f>
        <v>230.47351154892334</v>
      </c>
      <c r="N16">
        <f t="shared" ref="N16:N18" si="15">N15+1</f>
        <v>2</v>
      </c>
      <c r="O16">
        <v>0.25554761173910168</v>
      </c>
      <c r="X16">
        <f t="shared" si="5"/>
        <v>13</v>
      </c>
      <c r="Y16">
        <f t="shared" si="6"/>
        <v>9.4491289408164221</v>
      </c>
      <c r="Z16">
        <f t="shared" si="7"/>
        <v>11.096604681277407</v>
      </c>
      <c r="AA16">
        <f t="shared" si="8"/>
        <v>-1.647475740460985</v>
      </c>
      <c r="AB16">
        <f t="shared" si="9"/>
        <v>184.10375881022208</v>
      </c>
      <c r="AC16">
        <f t="shared" si="10"/>
        <v>-362.48421242694485</v>
      </c>
      <c r="AD16">
        <f t="shared" si="11"/>
        <v>359.18926094602284</v>
      </c>
      <c r="AF16">
        <f t="shared" si="14"/>
        <v>13</v>
      </c>
      <c r="AG16">
        <f>'Train-Test'!B14</f>
        <v>950</v>
      </c>
      <c r="AH16">
        <f t="shared" si="12"/>
        <v>938.90339531872257</v>
      </c>
    </row>
    <row r="17" spans="1:34" x14ac:dyDescent="0.25">
      <c r="A17">
        <f t="shared" si="13"/>
        <v>14</v>
      </c>
      <c r="B17">
        <f>'Train-Test'!B15-L$5</f>
        <v>-62.550871059183578</v>
      </c>
      <c r="C17">
        <f t="shared" si="0"/>
        <v>-69.078985734817934</v>
      </c>
      <c r="D17" s="3">
        <v>878</v>
      </c>
      <c r="E17">
        <f t="shared" si="1"/>
        <v>69.078985734817934</v>
      </c>
      <c r="F17">
        <f t="shared" si="2"/>
        <v>7.867766029022544</v>
      </c>
      <c r="K17" t="s">
        <v>44</v>
      </c>
      <c r="L17" s="15">
        <f>COUNT(B5:B27)</f>
        <v>23</v>
      </c>
      <c r="N17">
        <f t="shared" si="15"/>
        <v>3</v>
      </c>
      <c r="O17">
        <v>0.10094320376493524</v>
      </c>
      <c r="X17">
        <f t="shared" si="5"/>
        <v>14</v>
      </c>
      <c r="Y17">
        <f t="shared" si="6"/>
        <v>-62.550871059183578</v>
      </c>
      <c r="Z17">
        <f t="shared" si="7"/>
        <v>-69.078985734817934</v>
      </c>
      <c r="AA17">
        <f t="shared" si="8"/>
        <v>6.528114675634356</v>
      </c>
      <c r="AB17">
        <f t="shared" si="9"/>
        <v>184.10375881022208</v>
      </c>
      <c r="AC17">
        <f t="shared" si="10"/>
        <v>-354.30862201084949</v>
      </c>
      <c r="AD17">
        <f t="shared" si="11"/>
        <v>367.3648513621182</v>
      </c>
      <c r="AF17">
        <f t="shared" si="14"/>
        <v>14</v>
      </c>
      <c r="AG17">
        <f>'Train-Test'!B15</f>
        <v>878</v>
      </c>
      <c r="AH17">
        <f t="shared" si="12"/>
        <v>947.07898573481793</v>
      </c>
    </row>
    <row r="18" spans="1:34" x14ac:dyDescent="0.25">
      <c r="A18">
        <f t="shared" si="13"/>
        <v>15</v>
      </c>
      <c r="B18">
        <f>'Train-Test'!B16-L$5</f>
        <v>-155.55087105918358</v>
      </c>
      <c r="C18">
        <f t="shared" si="0"/>
        <v>-113.43930189341741</v>
      </c>
      <c r="D18" s="3">
        <v>785</v>
      </c>
      <c r="E18">
        <f t="shared" si="1"/>
        <v>113.43930189341741</v>
      </c>
      <c r="F18">
        <f t="shared" si="2"/>
        <v>14.450866483237887</v>
      </c>
      <c r="N18" s="11">
        <f t="shared" si="15"/>
        <v>4</v>
      </c>
      <c r="O18" s="11">
        <v>3.9873314866789356E-2</v>
      </c>
      <c r="X18">
        <f t="shared" si="5"/>
        <v>15</v>
      </c>
      <c r="Y18">
        <f t="shared" si="6"/>
        <v>-155.55087105918358</v>
      </c>
      <c r="Z18">
        <f t="shared" si="7"/>
        <v>-113.43930189341741</v>
      </c>
      <c r="AA18">
        <f t="shared" si="8"/>
        <v>-42.11156916576617</v>
      </c>
      <c r="AB18">
        <f t="shared" si="9"/>
        <v>184.10375881022208</v>
      </c>
      <c r="AC18">
        <f t="shared" si="10"/>
        <v>-402.94830585225003</v>
      </c>
      <c r="AD18">
        <f t="shared" si="11"/>
        <v>318.72516752071766</v>
      </c>
      <c r="AF18">
        <f t="shared" si="14"/>
        <v>15</v>
      </c>
      <c r="AG18">
        <f>'Train-Test'!B16</f>
        <v>785</v>
      </c>
      <c r="AH18">
        <f t="shared" si="12"/>
        <v>898.43930189341745</v>
      </c>
    </row>
    <row r="19" spans="1:34" x14ac:dyDescent="0.25">
      <c r="A19">
        <f t="shared" si="13"/>
        <v>16</v>
      </c>
      <c r="B19">
        <f>'Train-Test'!B17-L$5</f>
        <v>-250.55087105918358</v>
      </c>
      <c r="C19">
        <f t="shared" si="0"/>
        <v>-160.52763328566334</v>
      </c>
      <c r="D19" s="3">
        <v>690</v>
      </c>
      <c r="E19">
        <f t="shared" si="1"/>
        <v>160.52763328566334</v>
      </c>
      <c r="F19">
        <f t="shared" si="2"/>
        <v>23.264874389226573</v>
      </c>
      <c r="K19" t="s">
        <v>45</v>
      </c>
      <c r="L19" s="13">
        <f>-(L22-2*(L9+L10+2))/2</f>
        <v>-152.59207488447387</v>
      </c>
      <c r="X19">
        <f t="shared" si="5"/>
        <v>16</v>
      </c>
      <c r="Y19">
        <f t="shared" si="6"/>
        <v>-250.55087105918358</v>
      </c>
      <c r="Z19">
        <f t="shared" si="7"/>
        <v>-160.52763328566334</v>
      </c>
      <c r="AA19">
        <f t="shared" si="8"/>
        <v>-90.023237773520236</v>
      </c>
      <c r="AB19">
        <f t="shared" si="9"/>
        <v>184.10375881022208</v>
      </c>
      <c r="AC19">
        <f t="shared" si="10"/>
        <v>-450.85997446000408</v>
      </c>
      <c r="AD19">
        <f t="shared" si="11"/>
        <v>270.81349891296361</v>
      </c>
      <c r="AF19">
        <f t="shared" si="14"/>
        <v>16</v>
      </c>
      <c r="AG19">
        <f>'Train-Test'!B17</f>
        <v>690</v>
      </c>
      <c r="AH19">
        <f t="shared" si="12"/>
        <v>850.52763328566334</v>
      </c>
    </row>
    <row r="20" spans="1:34" x14ac:dyDescent="0.25">
      <c r="A20">
        <f t="shared" si="13"/>
        <v>17</v>
      </c>
      <c r="B20">
        <f>'Train-Test'!B18-L$5</f>
        <v>-146.55087105918358</v>
      </c>
      <c r="C20">
        <f t="shared" si="0"/>
        <v>-7.1386635030385079</v>
      </c>
      <c r="D20" s="3">
        <v>794</v>
      </c>
      <c r="E20">
        <f t="shared" si="1"/>
        <v>7.1386635030385079</v>
      </c>
      <c r="F20">
        <f t="shared" si="2"/>
        <v>0.89907600793935871</v>
      </c>
      <c r="K20" t="s">
        <v>46</v>
      </c>
      <c r="L20" s="14">
        <f>L17*LN(L7/L17)+2*(L9+L10+2)</f>
        <v>247.91297724153279</v>
      </c>
      <c r="X20">
        <f t="shared" si="5"/>
        <v>17</v>
      </c>
      <c r="Y20">
        <f t="shared" si="6"/>
        <v>-146.55087105918358</v>
      </c>
      <c r="Z20">
        <f t="shared" si="7"/>
        <v>-7.1386635030385079</v>
      </c>
      <c r="AA20">
        <f t="shared" si="8"/>
        <v>-139.41220755614506</v>
      </c>
      <c r="AB20">
        <f t="shared" si="9"/>
        <v>184.10375881022208</v>
      </c>
      <c r="AC20">
        <f t="shared" si="10"/>
        <v>-500.24894424262891</v>
      </c>
      <c r="AD20">
        <f t="shared" si="11"/>
        <v>221.42452913033878</v>
      </c>
      <c r="AF20">
        <f t="shared" si="14"/>
        <v>17</v>
      </c>
      <c r="AG20">
        <f>'Train-Test'!B18</f>
        <v>794</v>
      </c>
      <c r="AH20">
        <f t="shared" si="12"/>
        <v>801.13866350303852</v>
      </c>
    </row>
    <row r="21" spans="1:34" x14ac:dyDescent="0.25">
      <c r="A21">
        <f t="shared" si="13"/>
        <v>18</v>
      </c>
      <c r="B21">
        <f>'Train-Test'!B19-L$5</f>
        <v>-138.55087105918358</v>
      </c>
      <c r="C21">
        <f t="shared" si="0"/>
        <v>-78.863699871952733</v>
      </c>
      <c r="D21" s="3">
        <v>802</v>
      </c>
      <c r="E21">
        <f t="shared" si="1"/>
        <v>78.863699871952733</v>
      </c>
      <c r="F21">
        <f t="shared" si="2"/>
        <v>9.833379036403084</v>
      </c>
      <c r="K21" t="s">
        <v>47</v>
      </c>
      <c r="L21" s="14">
        <f>L17*LN(L7/L17)+LN(L17)*(L9+L10+2)</f>
        <v>252.45495410524939</v>
      </c>
      <c r="X21">
        <f t="shared" si="5"/>
        <v>18</v>
      </c>
      <c r="Y21">
        <f t="shared" si="6"/>
        <v>-138.55087105918358</v>
      </c>
      <c r="Z21">
        <f t="shared" si="7"/>
        <v>-78.863699871952733</v>
      </c>
      <c r="AA21">
        <f t="shared" si="8"/>
        <v>-59.687171187230845</v>
      </c>
      <c r="AB21">
        <f t="shared" si="9"/>
        <v>184.10375881022208</v>
      </c>
      <c r="AC21">
        <f t="shared" si="10"/>
        <v>-420.52390787371468</v>
      </c>
      <c r="AD21">
        <f t="shared" si="11"/>
        <v>301.14956549925301</v>
      </c>
      <c r="AF21">
        <f t="shared" si="14"/>
        <v>18</v>
      </c>
      <c r="AG21">
        <f>'Train-Test'!B19</f>
        <v>802</v>
      </c>
      <c r="AH21">
        <f t="shared" si="12"/>
        <v>880.86369987195269</v>
      </c>
    </row>
    <row r="22" spans="1:34" x14ac:dyDescent="0.25">
      <c r="A22">
        <f t="shared" si="13"/>
        <v>19</v>
      </c>
      <c r="B22">
        <f>'Train-Test'!B20-L$5</f>
        <v>504.44912894081642</v>
      </c>
      <c r="C22">
        <f t="shared" si="0"/>
        <v>579.04638793311449</v>
      </c>
      <c r="D22" s="3">
        <v>1445</v>
      </c>
      <c r="E22">
        <f t="shared" si="1"/>
        <v>579.04638793311449</v>
      </c>
      <c r="F22">
        <f t="shared" si="2"/>
        <v>40.072414389834918</v>
      </c>
      <c r="K22" t="s">
        <v>48</v>
      </c>
      <c r="L22" s="14">
        <f>L17*(1+LN(2*PI()))+L20</f>
        <v>313.18414976894775</v>
      </c>
      <c r="X22">
        <f t="shared" si="5"/>
        <v>19</v>
      </c>
      <c r="Y22">
        <f t="shared" si="6"/>
        <v>504.44912894081642</v>
      </c>
      <c r="Z22">
        <f t="shared" si="7"/>
        <v>579.04638793311449</v>
      </c>
      <c r="AA22">
        <f t="shared" si="8"/>
        <v>-74.597258992298066</v>
      </c>
      <c r="AB22">
        <f t="shared" si="9"/>
        <v>184.10375881022208</v>
      </c>
      <c r="AC22">
        <f t="shared" si="10"/>
        <v>-435.43399567878191</v>
      </c>
      <c r="AD22">
        <f t="shared" si="11"/>
        <v>286.23947769418578</v>
      </c>
      <c r="AF22">
        <f t="shared" si="14"/>
        <v>19</v>
      </c>
      <c r="AG22">
        <f>'Train-Test'!B20</f>
        <v>1445</v>
      </c>
      <c r="AH22">
        <f t="shared" si="12"/>
        <v>865.95361206688551</v>
      </c>
    </row>
    <row r="23" spans="1:34" x14ac:dyDescent="0.25">
      <c r="A23">
        <f t="shared" si="13"/>
        <v>20</v>
      </c>
      <c r="B23">
        <f>'Train-Test'!B21-L$5</f>
        <v>416.44912894081642</v>
      </c>
      <c r="C23">
        <f t="shared" si="0"/>
        <v>71.305117761361856</v>
      </c>
      <c r="D23" s="3">
        <v>1357</v>
      </c>
      <c r="E23">
        <f t="shared" si="1"/>
        <v>71.305117761361856</v>
      </c>
      <c r="F23">
        <f t="shared" si="2"/>
        <v>5.2546144260399306</v>
      </c>
      <c r="K23" t="s">
        <v>49</v>
      </c>
      <c r="L23" s="15">
        <f>L17*(1+LN(2*PI()))+L21</f>
        <v>317.72612663266432</v>
      </c>
      <c r="X23">
        <f t="shared" si="5"/>
        <v>20</v>
      </c>
      <c r="Y23">
        <f t="shared" si="6"/>
        <v>416.44912894081642</v>
      </c>
      <c r="Z23">
        <f t="shared" si="7"/>
        <v>71.305117761361856</v>
      </c>
      <c r="AA23">
        <f t="shared" si="8"/>
        <v>345.14401117945454</v>
      </c>
      <c r="AB23">
        <f t="shared" si="9"/>
        <v>184.10375881022208</v>
      </c>
      <c r="AC23">
        <f t="shared" si="10"/>
        <v>-15.692725507029309</v>
      </c>
      <c r="AD23">
        <f t="shared" si="11"/>
        <v>705.98074786593838</v>
      </c>
      <c r="AF23">
        <f t="shared" si="14"/>
        <v>20</v>
      </c>
      <c r="AG23">
        <f>'Train-Test'!B21</f>
        <v>1357</v>
      </c>
      <c r="AH23">
        <f t="shared" si="12"/>
        <v>1285.694882238638</v>
      </c>
    </row>
    <row r="24" spans="1:34" x14ac:dyDescent="0.25">
      <c r="A24">
        <f t="shared" si="13"/>
        <v>21</v>
      </c>
      <c r="B24">
        <f>'Train-Test'!B22-L$5</f>
        <v>327.44912894081642</v>
      </c>
      <c r="C24">
        <f t="shared" si="0"/>
        <v>144.98427697003621</v>
      </c>
      <c r="D24" s="3">
        <v>1268</v>
      </c>
      <c r="E24">
        <f t="shared" si="1"/>
        <v>144.98427697003621</v>
      </c>
      <c r="F24">
        <f t="shared" si="2"/>
        <v>11.434091243693707</v>
      </c>
      <c r="X24">
        <f t="shared" si="5"/>
        <v>21</v>
      </c>
      <c r="Y24">
        <f t="shared" si="6"/>
        <v>327.44912894081642</v>
      </c>
      <c r="Z24">
        <f t="shared" si="7"/>
        <v>144.98427697003621</v>
      </c>
      <c r="AA24">
        <f t="shared" si="8"/>
        <v>182.46485197078022</v>
      </c>
      <c r="AB24">
        <f t="shared" si="9"/>
        <v>184.10375881022208</v>
      </c>
      <c r="AC24">
        <f t="shared" si="10"/>
        <v>-178.37188471570363</v>
      </c>
      <c r="AD24">
        <f t="shared" si="11"/>
        <v>543.30158865726412</v>
      </c>
      <c r="AF24">
        <f t="shared" si="14"/>
        <v>21</v>
      </c>
      <c r="AG24">
        <f>'Train-Test'!B22</f>
        <v>1268</v>
      </c>
      <c r="AH24">
        <f t="shared" si="12"/>
        <v>1123.0157230299637</v>
      </c>
    </row>
    <row r="25" spans="1:34" x14ac:dyDescent="0.25">
      <c r="A25">
        <f t="shared" si="13"/>
        <v>22</v>
      </c>
      <c r="B25">
        <f>'Train-Test'!B23-L$5</f>
        <v>-51.550871059183578</v>
      </c>
      <c r="C25">
        <f t="shared" si="0"/>
        <v>-217.42252417564467</v>
      </c>
      <c r="D25" s="3">
        <v>889</v>
      </c>
      <c r="E25">
        <f t="shared" si="1"/>
        <v>217.42252417564467</v>
      </c>
      <c r="F25">
        <f t="shared" si="2"/>
        <v>24.456976847654069</v>
      </c>
      <c r="X25">
        <f t="shared" si="5"/>
        <v>22</v>
      </c>
      <c r="Y25">
        <f t="shared" si="6"/>
        <v>-51.550871059183578</v>
      </c>
      <c r="Z25">
        <f t="shared" si="7"/>
        <v>-217.42252417564467</v>
      </c>
      <c r="AA25">
        <f t="shared" si="8"/>
        <v>165.87165311646109</v>
      </c>
      <c r="AB25">
        <f t="shared" si="9"/>
        <v>184.10375881022208</v>
      </c>
      <c r="AC25">
        <f t="shared" si="10"/>
        <v>-194.96508357002276</v>
      </c>
      <c r="AD25">
        <f t="shared" si="11"/>
        <v>526.70838980294491</v>
      </c>
      <c r="AF25">
        <f t="shared" si="14"/>
        <v>22</v>
      </c>
      <c r="AG25">
        <f>'Train-Test'!B23</f>
        <v>889</v>
      </c>
      <c r="AH25">
        <f t="shared" si="12"/>
        <v>1106.4225241756446</v>
      </c>
    </row>
    <row r="26" spans="1:34" x14ac:dyDescent="0.25">
      <c r="A26">
        <f t="shared" si="13"/>
        <v>23</v>
      </c>
      <c r="B26">
        <f>'Train-Test'!B24-L$5</f>
        <v>-110.55087105918358</v>
      </c>
      <c r="C26">
        <f t="shared" si="0"/>
        <v>-35.41124704923088</v>
      </c>
      <c r="D26" s="3">
        <v>830</v>
      </c>
      <c r="E26">
        <f t="shared" si="1"/>
        <v>35.41124704923088</v>
      </c>
      <c r="F26">
        <f t="shared" si="2"/>
        <v>4.2664153071362509</v>
      </c>
      <c r="X26">
        <f t="shared" si="5"/>
        <v>23</v>
      </c>
      <c r="Y26">
        <f t="shared" si="6"/>
        <v>-110.55087105918358</v>
      </c>
      <c r="Z26">
        <f t="shared" si="7"/>
        <v>-35.41124704923088</v>
      </c>
      <c r="AA26">
        <f t="shared" si="8"/>
        <v>-75.139624009952698</v>
      </c>
      <c r="AB26">
        <f t="shared" si="9"/>
        <v>184.10375881022208</v>
      </c>
      <c r="AC26">
        <f t="shared" si="10"/>
        <v>-435.97636069643653</v>
      </c>
      <c r="AD26">
        <f t="shared" si="11"/>
        <v>285.69711267653116</v>
      </c>
      <c r="AF26">
        <f t="shared" si="14"/>
        <v>23</v>
      </c>
      <c r="AG26">
        <f>'Train-Test'!B24</f>
        <v>830</v>
      </c>
      <c r="AH26">
        <f t="shared" si="12"/>
        <v>865.41124704923084</v>
      </c>
    </row>
    <row r="27" spans="1:34" x14ac:dyDescent="0.25">
      <c r="A27" s="11">
        <f t="shared" si="13"/>
        <v>24</v>
      </c>
      <c r="B27" s="11">
        <f>'Train-Test'!B25-L$5</f>
        <v>-5.5508710591835779</v>
      </c>
      <c r="C27" s="11">
        <f t="shared" si="0"/>
        <v>47.03892568801534</v>
      </c>
      <c r="D27" s="3">
        <v>935</v>
      </c>
      <c r="E27">
        <f t="shared" si="1"/>
        <v>47.03892568801534</v>
      </c>
      <c r="F27">
        <f t="shared" si="2"/>
        <v>5.0309011431032449</v>
      </c>
      <c r="X27">
        <f t="shared" si="5"/>
        <v>24</v>
      </c>
      <c r="Y27">
        <f t="shared" si="6"/>
        <v>-5.5508710591835779</v>
      </c>
      <c r="Z27">
        <f t="shared" si="7"/>
        <v>47.03892568801534</v>
      </c>
      <c r="AA27">
        <f t="shared" si="8"/>
        <v>-52.589796747198918</v>
      </c>
      <c r="AB27">
        <f t="shared" si="9"/>
        <v>184.10375881022208</v>
      </c>
      <c r="AC27">
        <f t="shared" si="10"/>
        <v>-413.42653343368278</v>
      </c>
      <c r="AD27">
        <f t="shared" si="11"/>
        <v>308.24693993928491</v>
      </c>
      <c r="AF27" s="11">
        <f t="shared" si="14"/>
        <v>24</v>
      </c>
      <c r="AG27" s="11">
        <f>'Train-Test'!B25</f>
        <v>935</v>
      </c>
      <c r="AH27">
        <f t="shared" si="12"/>
        <v>887.9610743119847</v>
      </c>
    </row>
    <row r="28" spans="1:34" x14ac:dyDescent="0.25">
      <c r="X28">
        <f>X27+1</f>
        <v>25</v>
      </c>
      <c r="AA28">
        <f>SUMPRODUCT(Y27,K$4)+SUMPRODUCT(Z27,L$4)</f>
        <v>9.6581821521110847</v>
      </c>
      <c r="AB28">
        <f>L$14*SQRT(SUMSQ(O$14:O14))</f>
        <v>184.10375881022208</v>
      </c>
      <c r="AC28">
        <f>AA28-_xlfn.NORM.S.INV(1-AB$2/2)*AB28</f>
        <v>-351.17855453437278</v>
      </c>
      <c r="AD28">
        <f>AA28+_xlfn.NORM.S.INV(1-AB$2/2)*AB28</f>
        <v>370.49491883859491</v>
      </c>
      <c r="AF28">
        <f t="shared" si="14"/>
        <v>25</v>
      </c>
      <c r="AG28">
        <f>AA28+L$5</f>
        <v>950.20905321129464</v>
      </c>
    </row>
    <row r="29" spans="1:34" x14ac:dyDescent="0.25">
      <c r="X29">
        <f t="shared" ref="X29:X32" si="16">X28+1</f>
        <v>26</v>
      </c>
      <c r="AA29">
        <f>SUMPRODUCT(AA28,K4)</f>
        <v>3.8150536502557935</v>
      </c>
      <c r="AB29">
        <f>L$14*SQRT(SUMSQ(O$14:O15))</f>
        <v>219.27185131525133</v>
      </c>
      <c r="AC29">
        <f t="shared" ref="AC29:AC32" si="17">AA29-_xlfn.NORM.S.INV(1-AB$2/2)*AB29</f>
        <v>-425.94987775105841</v>
      </c>
      <c r="AD29">
        <f t="shared" ref="AD29:AD32" si="18">AA29+_xlfn.NORM.S.INV(1-AB$2/2)*AB29</f>
        <v>433.57998505156996</v>
      </c>
      <c r="AF29">
        <f t="shared" si="14"/>
        <v>26</v>
      </c>
      <c r="AG29">
        <f t="shared" ref="AG29:AG32" si="19">AA29+L$5</f>
        <v>944.36592470943935</v>
      </c>
    </row>
    <row r="30" spans="1:34" x14ac:dyDescent="0.25">
      <c r="X30">
        <f t="shared" si="16"/>
        <v>27</v>
      </c>
      <c r="AA30">
        <f>SUMPRODUCT(AA29,K4)</f>
        <v>1.5069745139512307</v>
      </c>
      <c r="AB30">
        <f>L$14*SQRT(SUMSQ(O$14:O16))</f>
        <v>224.26232618650789</v>
      </c>
      <c r="AC30">
        <f t="shared" si="17"/>
        <v>-438.03910790077799</v>
      </c>
      <c r="AD30">
        <f t="shared" si="18"/>
        <v>441.05305692868041</v>
      </c>
      <c r="AF30">
        <f t="shared" si="14"/>
        <v>27</v>
      </c>
      <c r="AG30">
        <f t="shared" si="19"/>
        <v>942.05784557313484</v>
      </c>
    </row>
    <row r="31" spans="1:34" x14ac:dyDescent="0.25">
      <c r="X31">
        <f t="shared" si="16"/>
        <v>28</v>
      </c>
      <c r="AA31">
        <f>SUMPRODUCT(AA30,K4)</f>
        <v>0.59526612045056904</v>
      </c>
      <c r="AB31">
        <f>L$14*SQRT(SUMSQ(O$14:O17))</f>
        <v>225.03101312118929</v>
      </c>
      <c r="AC31">
        <f t="shared" si="17"/>
        <v>-440.4574150016407</v>
      </c>
      <c r="AD31">
        <f t="shared" si="18"/>
        <v>441.64794724254182</v>
      </c>
      <c r="AF31">
        <f t="shared" si="14"/>
        <v>28</v>
      </c>
      <c r="AG31">
        <f t="shared" si="19"/>
        <v>941.14613717963414</v>
      </c>
    </row>
    <row r="32" spans="1:34" x14ac:dyDescent="0.25">
      <c r="X32" s="11">
        <f t="shared" si="16"/>
        <v>29</v>
      </c>
      <c r="Y32" s="11"/>
      <c r="Z32" s="11"/>
      <c r="AA32" s="11">
        <f>SUMPRODUCT(AA31,K4)</f>
        <v>0.23513453669976178</v>
      </c>
      <c r="AB32" s="11">
        <f>L$14*SQRT(SUMSQ(O$14:O18))</f>
        <v>225.15071532086054</v>
      </c>
      <c r="AC32" s="11">
        <f t="shared" si="17"/>
        <v>-441.05215858561735</v>
      </c>
      <c r="AD32" s="11">
        <f t="shared" si="18"/>
        <v>441.5224276590169</v>
      </c>
      <c r="AF32" s="11">
        <f t="shared" si="14"/>
        <v>29</v>
      </c>
      <c r="AG32" s="11">
        <f t="shared" si="19"/>
        <v>940.78600559588335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5EF7-2DD3-479D-8DB3-7073091F3403}">
  <dimension ref="A1:B25"/>
  <sheetViews>
    <sheetView zoomScaleNormal="100" workbookViewId="0">
      <selection activeCell="F13" sqref="F13"/>
    </sheetView>
  </sheetViews>
  <sheetFormatPr defaultRowHeight="13.2" x14ac:dyDescent="0.25"/>
  <cols>
    <col min="2" max="2" width="12.5546875" customWidth="1"/>
  </cols>
  <sheetData>
    <row r="1" spans="1:2" ht="13.8" thickBot="1" x14ac:dyDescent="0.3">
      <c r="A1" s="2" t="s">
        <v>12</v>
      </c>
      <c r="B1" s="2" t="s">
        <v>13</v>
      </c>
    </row>
    <row r="2" spans="1:2" ht="13.8" thickTop="1" x14ac:dyDescent="0.25">
      <c r="A2" s="3" t="s">
        <v>0</v>
      </c>
      <c r="B2" s="3">
        <v>967</v>
      </c>
    </row>
    <row r="3" spans="1:2" x14ac:dyDescent="0.25">
      <c r="A3" s="3" t="s">
        <v>1</v>
      </c>
      <c r="B3" s="3">
        <v>795</v>
      </c>
    </row>
    <row r="4" spans="1:2" x14ac:dyDescent="0.25">
      <c r="A4" s="3" t="s">
        <v>2</v>
      </c>
      <c r="B4" s="3">
        <v>820</v>
      </c>
    </row>
    <row r="5" spans="1:2" x14ac:dyDescent="0.25">
      <c r="A5" s="3" t="s">
        <v>3</v>
      </c>
      <c r="B5" s="3">
        <v>672</v>
      </c>
    </row>
    <row r="6" spans="1:2" x14ac:dyDescent="0.25">
      <c r="A6" s="3" t="s">
        <v>4</v>
      </c>
      <c r="B6" s="3">
        <v>722</v>
      </c>
    </row>
    <row r="7" spans="1:2" x14ac:dyDescent="0.25">
      <c r="A7" s="3" t="s">
        <v>5</v>
      </c>
      <c r="B7" s="3">
        <v>820</v>
      </c>
    </row>
    <row r="8" spans="1:2" x14ac:dyDescent="0.25">
      <c r="A8" s="3" t="s">
        <v>6</v>
      </c>
      <c r="B8" s="3">
        <v>1326</v>
      </c>
    </row>
    <row r="9" spans="1:2" x14ac:dyDescent="0.25">
      <c r="A9" s="3" t="s">
        <v>7</v>
      </c>
      <c r="B9" s="3">
        <v>1262</v>
      </c>
    </row>
    <row r="10" spans="1:2" x14ac:dyDescent="0.25">
      <c r="A10" s="3" t="s">
        <v>8</v>
      </c>
      <c r="B10" s="3">
        <v>1126</v>
      </c>
    </row>
    <row r="11" spans="1:2" x14ac:dyDescent="0.25">
      <c r="A11" s="3" t="s">
        <v>9</v>
      </c>
      <c r="B11" s="3">
        <v>814</v>
      </c>
    </row>
    <row r="12" spans="1:2" x14ac:dyDescent="0.25">
      <c r="A12" s="3" t="s">
        <v>10</v>
      </c>
      <c r="B12" s="3">
        <v>821</v>
      </c>
    </row>
    <row r="13" spans="1:2" x14ac:dyDescent="0.25">
      <c r="A13" s="3" t="s">
        <v>11</v>
      </c>
      <c r="B13" s="3">
        <v>918</v>
      </c>
    </row>
    <row r="14" spans="1:2" x14ac:dyDescent="0.25">
      <c r="A14" s="3" t="s">
        <v>0</v>
      </c>
      <c r="B14" s="3">
        <v>950</v>
      </c>
    </row>
    <row r="15" spans="1:2" x14ac:dyDescent="0.25">
      <c r="A15" s="3" t="s">
        <v>1</v>
      </c>
      <c r="B15" s="3">
        <v>878</v>
      </c>
    </row>
    <row r="16" spans="1:2" x14ac:dyDescent="0.25">
      <c r="A16" s="3" t="s">
        <v>2</v>
      </c>
      <c r="B16" s="3">
        <v>785</v>
      </c>
    </row>
    <row r="17" spans="1:2" x14ac:dyDescent="0.25">
      <c r="A17" s="3" t="s">
        <v>3</v>
      </c>
      <c r="B17" s="3">
        <v>690</v>
      </c>
    </row>
    <row r="18" spans="1:2" x14ac:dyDescent="0.25">
      <c r="A18" s="3" t="s">
        <v>4</v>
      </c>
      <c r="B18" s="3">
        <v>794</v>
      </c>
    </row>
    <row r="19" spans="1:2" x14ac:dyDescent="0.25">
      <c r="A19" s="3" t="s">
        <v>5</v>
      </c>
      <c r="B19" s="3">
        <v>802</v>
      </c>
    </row>
    <row r="20" spans="1:2" x14ac:dyDescent="0.25">
      <c r="A20" s="3" t="s">
        <v>6</v>
      </c>
      <c r="B20" s="3">
        <v>1445</v>
      </c>
    </row>
    <row r="21" spans="1:2" x14ac:dyDescent="0.25">
      <c r="A21" s="3" t="s">
        <v>7</v>
      </c>
      <c r="B21" s="3">
        <v>1357</v>
      </c>
    </row>
    <row r="22" spans="1:2" x14ac:dyDescent="0.25">
      <c r="A22" s="3" t="s">
        <v>8</v>
      </c>
      <c r="B22" s="3">
        <v>1268</v>
      </c>
    </row>
    <row r="23" spans="1:2" x14ac:dyDescent="0.25">
      <c r="A23" s="3" t="s">
        <v>9</v>
      </c>
      <c r="B23" s="3">
        <v>889</v>
      </c>
    </row>
    <row r="24" spans="1:2" x14ac:dyDescent="0.25">
      <c r="A24" s="3" t="s">
        <v>10</v>
      </c>
      <c r="B24" s="3">
        <v>830</v>
      </c>
    </row>
    <row r="25" spans="1:2" x14ac:dyDescent="0.25">
      <c r="A25" s="3" t="s">
        <v>11</v>
      </c>
      <c r="B25" s="3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Gas and Electric</vt:lpstr>
      <vt:lpstr>ACF &amp; PACF Charts</vt:lpstr>
      <vt:lpstr>Sheet1</vt:lpstr>
      <vt:lpstr>Train-Test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Thanh Linh</cp:lastModifiedBy>
  <dcterms:created xsi:type="dcterms:W3CDTF">2001-11-04T15:04:59Z</dcterms:created>
  <dcterms:modified xsi:type="dcterms:W3CDTF">2024-05-04T03:17:32Z</dcterms:modified>
</cp:coreProperties>
</file>