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C:\University\BusinessDataAnalyst\Lab4\"/>
    </mc:Choice>
  </mc:AlternateContent>
  <xr:revisionPtr revIDLastSave="0" documentId="13_ncr:1_{E41AE2B5-5649-4F47-A305-9520C455A10A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Gas and Electric" sheetId="1" r:id="rId1"/>
    <sheet name="Real Statistics" sheetId="2" r:id="rId2"/>
    <sheet name="Sheet1" sheetId="3" r:id="rId3"/>
  </sheets>
  <externalReferences>
    <externalReference r:id="rId4"/>
  </externalReference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'Gas and Electric'!$O$17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4" i="3"/>
  <c r="G5" i="3"/>
  <c r="G6" i="3"/>
  <c r="G7" i="3"/>
  <c r="G8" i="3"/>
  <c r="J4" i="3" s="1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4" i="3"/>
  <c r="F5" i="3"/>
  <c r="F6" i="3"/>
  <c r="F7" i="3"/>
  <c r="F8" i="3"/>
  <c r="K4" i="3" s="1"/>
  <c r="L4" i="3" s="1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4" i="3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40" i="2"/>
  <c r="AI64" i="2"/>
  <c r="AI65" i="2"/>
  <c r="AI66" i="2" s="1"/>
  <c r="AI67" i="2" s="1"/>
  <c r="AI68" i="2" s="1"/>
  <c r="AI69" i="2" s="1"/>
  <c r="AI70" i="2" s="1"/>
  <c r="AI71" i="2" s="1"/>
  <c r="AI72" i="2" s="1"/>
  <c r="AI63" i="2"/>
  <c r="AH63" i="2"/>
  <c r="AH64" i="2" s="1"/>
  <c r="AH65" i="2" s="1"/>
  <c r="AH66" i="2" s="1"/>
  <c r="AH67" i="2" s="1"/>
  <c r="AH68" i="2" s="1"/>
  <c r="AH69" i="2" s="1"/>
  <c r="AH70" i="2" s="1"/>
  <c r="AH71" i="2" s="1"/>
  <c r="AH72" i="2" s="1"/>
  <c r="AH41" i="2"/>
  <c r="AH42" i="2" s="1"/>
  <c r="AH43" i="2" s="1"/>
  <c r="AH44" i="2" s="1"/>
  <c r="AH45" i="2" s="1"/>
  <c r="AH46" i="2" s="1"/>
  <c r="AH47" i="2" s="1"/>
  <c r="AH48" i="2" s="1"/>
  <c r="AH49" i="2" s="1"/>
  <c r="AH50" i="2" s="1"/>
  <c r="AH51" i="2" s="1"/>
  <c r="AH52" i="2" s="1"/>
  <c r="AH53" i="2" s="1"/>
  <c r="AH54" i="2" s="1"/>
  <c r="AH55" i="2" s="1"/>
  <c r="AH56" i="2" s="1"/>
  <c r="AH57" i="2" s="1"/>
  <c r="AH58" i="2" s="1"/>
  <c r="AH59" i="2" s="1"/>
  <c r="AH60" i="2" s="1"/>
  <c r="AH61" i="2" s="1"/>
  <c r="AH62" i="2" s="1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40" i="2"/>
  <c r="AI39" i="2"/>
  <c r="AH40" i="2"/>
  <c r="AD63" i="2"/>
  <c r="AE63" i="2" s="1"/>
  <c r="AD64" i="2"/>
  <c r="AF64" i="2" s="1"/>
  <c r="AE64" i="2"/>
  <c r="AD65" i="2"/>
  <c r="AE65" i="2" s="1"/>
  <c r="AF65" i="2"/>
  <c r="AD66" i="2"/>
  <c r="AE66" i="2"/>
  <c r="AF66" i="2"/>
  <c r="AD67" i="2"/>
  <c r="AE67" i="2" s="1"/>
  <c r="AD68" i="2"/>
  <c r="AF68" i="2" s="1"/>
  <c r="AE68" i="2"/>
  <c r="AD69" i="2"/>
  <c r="AE69" i="2" s="1"/>
  <c r="AF69" i="2"/>
  <c r="AD70" i="2"/>
  <c r="AE70" i="2"/>
  <c r="AF70" i="2"/>
  <c r="AD71" i="2"/>
  <c r="AE71" i="2" s="1"/>
  <c r="AF62" i="2"/>
  <c r="AE62" i="2"/>
  <c r="AD62" i="2"/>
  <c r="AC71" i="2"/>
  <c r="AC70" i="2"/>
  <c r="AC69" i="2"/>
  <c r="AC68" i="2"/>
  <c r="AC67" i="2"/>
  <c r="AC66" i="2"/>
  <c r="AC65" i="2"/>
  <c r="AC64" i="2"/>
  <c r="AC63" i="2"/>
  <c r="AC62" i="2"/>
  <c r="Z63" i="2"/>
  <c r="Z64" i="2" s="1"/>
  <c r="Z65" i="2" s="1"/>
  <c r="Z66" i="2" s="1"/>
  <c r="Z67" i="2" s="1"/>
  <c r="Z68" i="2" s="1"/>
  <c r="Z69" i="2" s="1"/>
  <c r="Z70" i="2" s="1"/>
  <c r="Z71" i="2" s="1"/>
  <c r="Z62" i="2"/>
  <c r="AC40" i="2"/>
  <c r="AE40" i="2" s="1"/>
  <c r="AD40" i="2"/>
  <c r="AF40" i="2"/>
  <c r="AC41" i="2"/>
  <c r="AE41" i="2" s="1"/>
  <c r="AD41" i="2"/>
  <c r="AF41" i="2"/>
  <c r="AC42" i="2"/>
  <c r="AE42" i="2" s="1"/>
  <c r="AD42" i="2"/>
  <c r="AF42" i="2"/>
  <c r="AC43" i="2"/>
  <c r="AE43" i="2" s="1"/>
  <c r="AD43" i="2"/>
  <c r="AF43" i="2"/>
  <c r="AC44" i="2"/>
  <c r="AE44" i="2" s="1"/>
  <c r="AD44" i="2"/>
  <c r="AF44" i="2"/>
  <c r="AC45" i="2"/>
  <c r="AE45" i="2" s="1"/>
  <c r="AD45" i="2"/>
  <c r="AF45" i="2"/>
  <c r="AC46" i="2"/>
  <c r="AE46" i="2" s="1"/>
  <c r="AD46" i="2"/>
  <c r="AF46" i="2"/>
  <c r="AC47" i="2"/>
  <c r="AE47" i="2" s="1"/>
  <c r="AD47" i="2"/>
  <c r="AF47" i="2"/>
  <c r="AC48" i="2"/>
  <c r="AE48" i="2" s="1"/>
  <c r="AD48" i="2"/>
  <c r="AF48" i="2"/>
  <c r="AC49" i="2"/>
  <c r="AE49" i="2" s="1"/>
  <c r="AD49" i="2"/>
  <c r="AF49" i="2"/>
  <c r="AC50" i="2"/>
  <c r="AE50" i="2" s="1"/>
  <c r="AD50" i="2"/>
  <c r="AF50" i="2"/>
  <c r="AC51" i="2"/>
  <c r="AE51" i="2" s="1"/>
  <c r="AD51" i="2"/>
  <c r="AF51" i="2"/>
  <c r="AC52" i="2"/>
  <c r="AE52" i="2" s="1"/>
  <c r="AD52" i="2"/>
  <c r="AF52" i="2"/>
  <c r="AC53" i="2"/>
  <c r="AE53" i="2" s="1"/>
  <c r="AD53" i="2"/>
  <c r="AF53" i="2"/>
  <c r="AC54" i="2"/>
  <c r="AE54" i="2" s="1"/>
  <c r="AD54" i="2"/>
  <c r="AF54" i="2"/>
  <c r="AC55" i="2"/>
  <c r="AE55" i="2" s="1"/>
  <c r="AD55" i="2"/>
  <c r="AF55" i="2"/>
  <c r="AC56" i="2"/>
  <c r="AE56" i="2" s="1"/>
  <c r="AD56" i="2"/>
  <c r="AF56" i="2"/>
  <c r="AC57" i="2"/>
  <c r="AE57" i="2" s="1"/>
  <c r="AD57" i="2"/>
  <c r="AF57" i="2"/>
  <c r="AC58" i="2"/>
  <c r="AE58" i="2" s="1"/>
  <c r="AD58" i="2"/>
  <c r="AF58" i="2"/>
  <c r="AC59" i="2"/>
  <c r="AE59" i="2" s="1"/>
  <c r="AD59" i="2"/>
  <c r="AF59" i="2"/>
  <c r="AC60" i="2"/>
  <c r="AE60" i="2" s="1"/>
  <c r="AD60" i="2"/>
  <c r="AF60" i="2"/>
  <c r="AC61" i="2"/>
  <c r="AE61" i="2" s="1"/>
  <c r="AD61" i="2"/>
  <c r="AF61" i="2"/>
  <c r="AF39" i="2"/>
  <c r="AE39" i="2"/>
  <c r="AD39" i="2"/>
  <c r="AC39" i="2"/>
  <c r="Z40" i="2"/>
  <c r="AA40" i="2"/>
  <c r="AB40" i="2"/>
  <c r="Z41" i="2"/>
  <c r="AA41" i="2"/>
  <c r="AB41" i="2"/>
  <c r="Z42" i="2"/>
  <c r="AA42" i="2"/>
  <c r="AB42" i="2"/>
  <c r="Z43" i="2"/>
  <c r="AA43" i="2"/>
  <c r="AB43" i="2"/>
  <c r="Z44" i="2"/>
  <c r="AA44" i="2"/>
  <c r="AB44" i="2"/>
  <c r="Z45" i="2"/>
  <c r="AA45" i="2"/>
  <c r="AB45" i="2"/>
  <c r="Z46" i="2"/>
  <c r="AA46" i="2"/>
  <c r="AB46" i="2"/>
  <c r="Z47" i="2"/>
  <c r="AA47" i="2"/>
  <c r="AB47" i="2"/>
  <c r="Z48" i="2"/>
  <c r="AA48" i="2"/>
  <c r="AB48" i="2"/>
  <c r="Z49" i="2"/>
  <c r="AA49" i="2"/>
  <c r="AB49" i="2"/>
  <c r="Z50" i="2"/>
  <c r="AA50" i="2"/>
  <c r="AB50" i="2"/>
  <c r="Z51" i="2"/>
  <c r="AA51" i="2"/>
  <c r="AB51" i="2"/>
  <c r="Z52" i="2"/>
  <c r="AA52" i="2"/>
  <c r="AB52" i="2"/>
  <c r="Z53" i="2"/>
  <c r="AA53" i="2"/>
  <c r="AB53" i="2"/>
  <c r="Z54" i="2"/>
  <c r="AA54" i="2"/>
  <c r="AB54" i="2"/>
  <c r="Z55" i="2"/>
  <c r="AA55" i="2"/>
  <c r="AB55" i="2"/>
  <c r="Z56" i="2"/>
  <c r="AA56" i="2"/>
  <c r="AB56" i="2"/>
  <c r="Z57" i="2"/>
  <c r="AA57" i="2"/>
  <c r="AB57" i="2"/>
  <c r="Z58" i="2"/>
  <c r="AA58" i="2"/>
  <c r="AB58" i="2"/>
  <c r="Z59" i="2"/>
  <c r="AA59" i="2"/>
  <c r="AB59" i="2"/>
  <c r="Z60" i="2"/>
  <c r="AA60" i="2"/>
  <c r="AB60" i="2"/>
  <c r="Z61" i="2"/>
  <c r="AA61" i="2"/>
  <c r="AB61" i="2"/>
  <c r="AB39" i="2"/>
  <c r="AA39" i="2"/>
  <c r="Z39" i="2"/>
  <c r="P51" i="2"/>
  <c r="P52" i="2" s="1"/>
  <c r="P53" i="2" s="1"/>
  <c r="P54" i="2" s="1"/>
  <c r="P55" i="2" s="1"/>
  <c r="P56" i="2" s="1"/>
  <c r="P57" i="2" s="1"/>
  <c r="P58" i="2" s="1"/>
  <c r="P50" i="2"/>
  <c r="W40" i="2"/>
  <c r="X40" i="2" s="1"/>
  <c r="W41" i="2"/>
  <c r="X41" i="2"/>
  <c r="X39" i="2"/>
  <c r="W39" i="2"/>
  <c r="H41" i="2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40" i="2"/>
  <c r="J25" i="2"/>
  <c r="K25" i="2"/>
  <c r="J26" i="2"/>
  <c r="J27" i="2" s="1"/>
  <c r="J28" i="2" s="1"/>
  <c r="J29" i="2" s="1"/>
  <c r="J30" i="2" s="1"/>
  <c r="J31" i="2" s="1"/>
  <c r="J32" i="2" s="1"/>
  <c r="K26" i="2"/>
  <c r="K27" i="2" s="1"/>
  <c r="K28" i="2" s="1"/>
  <c r="K29" i="2" s="1"/>
  <c r="K30" i="2" s="1"/>
  <c r="K31" i="2" s="1"/>
  <c r="K32" i="2" s="1"/>
  <c r="K24" i="2"/>
  <c r="J24" i="2"/>
  <c r="J23" i="2"/>
  <c r="K23" i="2"/>
  <c r="H24" i="2"/>
  <c r="H25" i="2" s="1"/>
  <c r="H26" i="2" s="1"/>
  <c r="H27" i="2" s="1"/>
  <c r="H28" i="2" s="1"/>
  <c r="H29" i="2" s="1"/>
  <c r="H30" i="2" s="1"/>
  <c r="H31" i="2" s="1"/>
  <c r="H32" i="2" s="1"/>
  <c r="H23" i="2"/>
  <c r="K8" i="2"/>
  <c r="J8" i="2" s="1"/>
  <c r="K9" i="2"/>
  <c r="J9" i="2" s="1"/>
  <c r="K10" i="2"/>
  <c r="J10" i="2" s="1"/>
  <c r="K11" i="2"/>
  <c r="J11" i="2" s="1"/>
  <c r="K12" i="2"/>
  <c r="J12" i="2" s="1"/>
  <c r="K13" i="2"/>
  <c r="J13" i="2" s="1"/>
  <c r="K14" i="2"/>
  <c r="J14" i="2" s="1"/>
  <c r="K15" i="2"/>
  <c r="J15" i="2" s="1"/>
  <c r="J7" i="2"/>
  <c r="K7" i="2"/>
  <c r="J6" i="2"/>
  <c r="K6" i="2"/>
  <c r="H7" i="2"/>
  <c r="H8" i="2"/>
  <c r="H9" i="2" s="1"/>
  <c r="H10" i="2" s="1"/>
  <c r="H11" i="2" s="1"/>
  <c r="H12" i="2" s="1"/>
  <c r="H13" i="2" s="1"/>
  <c r="H14" i="2" s="1"/>
  <c r="H15" i="2" s="1"/>
  <c r="H6" i="2"/>
  <c r="Q49" i="2" a="1"/>
  <c r="P44" i="2" a="1"/>
  <c r="P39" i="2" a="1"/>
  <c r="U39" i="2" a="1"/>
  <c r="I23" i="2"/>
  <c r="I27" i="2"/>
  <c r="I31" i="2"/>
  <c r="I29" i="2"/>
  <c r="I30" i="2"/>
  <c r="I24" i="2"/>
  <c r="I28" i="2"/>
  <c r="I32" i="2"/>
  <c r="I25" i="2"/>
  <c r="I26" i="2"/>
  <c r="I22" i="2"/>
  <c r="I6" i="2"/>
  <c r="I10" i="2"/>
  <c r="I14" i="2"/>
  <c r="I11" i="2"/>
  <c r="I15" i="2"/>
  <c r="I12" i="2"/>
  <c r="I9" i="2"/>
  <c r="I13" i="2"/>
  <c r="I7" i="2"/>
  <c r="I8" i="2"/>
  <c r="I5" i="2"/>
  <c r="AF67" i="2" l="1"/>
  <c r="AF63" i="2"/>
  <c r="AF71" i="2"/>
  <c r="Q49" i="2"/>
  <c r="Q53" i="2"/>
  <c r="Q57" i="2"/>
  <c r="Q50" i="2"/>
  <c r="Q54" i="2"/>
  <c r="Q58" i="2"/>
  <c r="Q52" i="2"/>
  <c r="Q56" i="2"/>
  <c r="Q51" i="2"/>
  <c r="Q55" i="2"/>
  <c r="P44" i="2"/>
  <c r="Q44" i="2"/>
  <c r="R44" i="2"/>
  <c r="P39" i="2"/>
  <c r="Q39" i="2"/>
  <c r="R39" i="2"/>
  <c r="V40" i="2"/>
  <c r="U39" i="2"/>
  <c r="M40" i="2" s="1"/>
  <c r="U41" i="2"/>
  <c r="N39" i="2" s="1"/>
  <c r="V39" i="2"/>
  <c r="V41" i="2"/>
  <c r="U40" i="2"/>
  <c r="M39" i="2" s="1"/>
  <c r="N40" i="2" l="1"/>
  <c r="I40" i="2" l="1"/>
  <c r="I47" i="2"/>
  <c r="I54" i="2"/>
  <c r="I61" i="2"/>
  <c r="I45" i="2"/>
  <c r="I52" i="2"/>
  <c r="I59" i="2"/>
  <c r="I43" i="2"/>
  <c r="I50" i="2"/>
  <c r="I57" i="2"/>
  <c r="I41" i="2"/>
  <c r="I48" i="2"/>
  <c r="I55" i="2"/>
  <c r="I39" i="2"/>
  <c r="I46" i="2"/>
  <c r="I53" i="2"/>
  <c r="I60" i="2"/>
  <c r="I44" i="2"/>
  <c r="I51" i="2"/>
  <c r="I58" i="2"/>
  <c r="I42" i="2"/>
  <c r="I49" i="2"/>
  <c r="I56" i="2"/>
  <c r="N51" i="2" l="1"/>
  <c r="N50" i="2"/>
  <c r="N52" i="2"/>
  <c r="J40" i="2"/>
  <c r="J41" i="2" l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N48" i="2" l="1"/>
  <c r="N42" i="2"/>
  <c r="N47" i="2"/>
  <c r="N56" i="2" l="1"/>
  <c r="N58" i="2" s="1"/>
  <c r="N55" i="2"/>
  <c r="N57" i="2" s="1"/>
  <c r="N54" i="2" s="1"/>
  <c r="N49" i="2"/>
  <c r="R5" i="1" l="1" a="1"/>
  <c r="R5" i="1" s="1"/>
  <c r="Q5" i="1" a="1"/>
  <c r="Q5" i="1" s="1"/>
  <c r="P5" i="1" a="1"/>
  <c r="P5" i="1" s="1"/>
  <c r="C3" i="1" l="1"/>
  <c r="C4" i="1"/>
  <c r="C5" i="1"/>
  <c r="D5" i="1" s="1"/>
  <c r="C6" i="1"/>
  <c r="C7" i="1"/>
  <c r="C8" i="1"/>
  <c r="C9" i="1"/>
  <c r="C10" i="1"/>
  <c r="C11" i="1"/>
  <c r="C12" i="1"/>
  <c r="C13" i="1"/>
  <c r="C14" i="1"/>
  <c r="D14" i="1" s="1"/>
  <c r="C15" i="1"/>
  <c r="C16" i="1"/>
  <c r="C17" i="1"/>
  <c r="C18" i="1"/>
  <c r="D18" i="1" s="1"/>
  <c r="C19" i="1"/>
  <c r="C20" i="1"/>
  <c r="C21" i="1"/>
  <c r="C22" i="1"/>
  <c r="D22" i="1" s="1"/>
  <c r="C23" i="1"/>
  <c r="C24" i="1"/>
  <c r="D24" i="1" s="1"/>
  <c r="C2" i="1"/>
  <c r="D6" i="1" l="1"/>
  <c r="D10" i="1"/>
  <c r="D20" i="1"/>
  <c r="D16" i="1"/>
  <c r="D12" i="1"/>
  <c r="D4" i="1"/>
  <c r="J14" i="1" s="1"/>
  <c r="D21" i="1"/>
  <c r="D17" i="1"/>
  <c r="D13" i="1"/>
  <c r="D9" i="1"/>
  <c r="D8" i="1"/>
  <c r="D3" i="1"/>
  <c r="G5" i="1" s="1"/>
  <c r="D23" i="1"/>
  <c r="D19" i="1"/>
  <c r="D15" i="1"/>
  <c r="D11" i="1"/>
  <c r="D7" i="1"/>
  <c r="H19" i="1" l="1"/>
  <c r="J19" i="1"/>
  <c r="G19" i="1"/>
  <c r="I19" i="1"/>
  <c r="J18" i="1"/>
  <c r="J22" i="1"/>
  <c r="I24" i="1"/>
  <c r="H7" i="1"/>
  <c r="J7" i="1"/>
  <c r="G7" i="1"/>
  <c r="I7" i="1"/>
  <c r="H23" i="1"/>
  <c r="J23" i="1"/>
  <c r="G23" i="1"/>
  <c r="I23" i="1"/>
  <c r="I13" i="1"/>
  <c r="H13" i="1"/>
  <c r="J13" i="1"/>
  <c r="G13" i="1"/>
  <c r="I12" i="1"/>
  <c r="H12" i="1"/>
  <c r="J12" i="1"/>
  <c r="G12" i="1"/>
  <c r="H14" i="1"/>
  <c r="H18" i="1"/>
  <c r="H22" i="1"/>
  <c r="G24" i="1"/>
  <c r="G6" i="1"/>
  <c r="I6" i="1"/>
  <c r="H6" i="1"/>
  <c r="I17" i="1"/>
  <c r="H17" i="1"/>
  <c r="J17" i="1"/>
  <c r="G17" i="1"/>
  <c r="I18" i="1"/>
  <c r="I22" i="1"/>
  <c r="J24" i="1"/>
  <c r="I9" i="1"/>
  <c r="H9" i="1"/>
  <c r="G9" i="1"/>
  <c r="J9" i="1"/>
  <c r="J10" i="1"/>
  <c r="G10" i="1"/>
  <c r="I10" i="1"/>
  <c r="H10" i="1"/>
  <c r="H11" i="1"/>
  <c r="J11" i="1"/>
  <c r="G11" i="1"/>
  <c r="I11" i="1"/>
  <c r="L6" i="1"/>
  <c r="L7" i="1"/>
  <c r="L8" i="1"/>
  <c r="L5" i="1"/>
  <c r="L4" i="1"/>
  <c r="I16" i="1"/>
  <c r="H16" i="1"/>
  <c r="J16" i="1"/>
  <c r="G16" i="1"/>
  <c r="I14" i="1"/>
  <c r="H15" i="1"/>
  <c r="J15" i="1"/>
  <c r="G15" i="1"/>
  <c r="I15" i="1"/>
  <c r="I8" i="1"/>
  <c r="H8" i="1"/>
  <c r="J8" i="1"/>
  <c r="G8" i="1"/>
  <c r="I21" i="1"/>
  <c r="H21" i="1"/>
  <c r="J21" i="1"/>
  <c r="G21" i="1"/>
  <c r="I20" i="1"/>
  <c r="H20" i="1"/>
  <c r="J20" i="1"/>
  <c r="G20" i="1"/>
  <c r="G14" i="1"/>
  <c r="G18" i="1"/>
  <c r="G22" i="1"/>
  <c r="H24" i="1"/>
  <c r="H5" i="1"/>
  <c r="M6" i="1" s="1"/>
  <c r="N6" i="1" s="1"/>
  <c r="O11" i="1" s="1"/>
  <c r="F5" i="1"/>
  <c r="F3" i="1"/>
  <c r="F15" i="1"/>
  <c r="G4" i="1"/>
  <c r="M5" i="1" s="1"/>
  <c r="N5" i="1" s="1"/>
  <c r="F21" i="1"/>
  <c r="F9" i="1"/>
  <c r="F22" i="1"/>
  <c r="F8" i="1"/>
  <c r="F18" i="1"/>
  <c r="F4" i="1"/>
  <c r="F24" i="1"/>
  <c r="F7" i="1"/>
  <c r="F23" i="1"/>
  <c r="F13" i="1"/>
  <c r="F12" i="1"/>
  <c r="F6" i="1"/>
  <c r="F20" i="1"/>
  <c r="F19" i="1"/>
  <c r="F11" i="1"/>
  <c r="F17" i="1"/>
  <c r="F16" i="1"/>
  <c r="F10" i="1"/>
  <c r="F14" i="1"/>
  <c r="O5" i="1" l="1"/>
  <c r="O12" i="1"/>
  <c r="M4" i="1"/>
  <c r="N4" i="1" s="1"/>
  <c r="M7" i="1"/>
  <c r="N7" i="1" s="1"/>
  <c r="M8" i="1"/>
  <c r="N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<sst xmlns="http://schemas.openxmlformats.org/spreadsheetml/2006/main" count="148" uniqueCount="87">
  <si>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</si>
  <si>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</si>
  <si>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</si>
  <si>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</si>
  <si>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</si>
  <si>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</si>
  <si>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</si>
  <si>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</si>
  <si>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</si>
  <si>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</si>
  <si>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</si>
  <si>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</si>
  <si>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</si>
  <si>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 xml:space="preserve">Gas Use </t>
  </si>
  <si>
    <t>Lag1</t>
  </si>
  <si>
    <t>Lag2</t>
  </si>
  <si>
    <t>Lag3</t>
  </si>
  <si>
    <t>Differ 1</t>
  </si>
  <si>
    <t>Differ 2</t>
  </si>
  <si>
    <t>Denominator</t>
  </si>
  <si>
    <t>Numerator</t>
  </si>
  <si>
    <t>Lag0</t>
  </si>
  <si>
    <t>Lag4</t>
  </si>
  <si>
    <t>ACF</t>
  </si>
  <si>
    <t>PACF(1)</t>
  </si>
  <si>
    <t>PACF(2)</t>
  </si>
  <si>
    <t>PACF(3)</t>
  </si>
  <si>
    <t>PACF(4)</t>
  </si>
  <si>
    <t>Correlogram</t>
  </si>
  <si>
    <t>acf</t>
  </si>
  <si>
    <t>alpha</t>
  </si>
  <si>
    <t>lags</t>
  </si>
  <si>
    <t>lower</t>
  </si>
  <si>
    <t>upper</t>
  </si>
  <si>
    <t>pacf</t>
  </si>
  <si>
    <t>ARIMA Model</t>
  </si>
  <si>
    <t>time</t>
  </si>
  <si>
    <t>data</t>
  </si>
  <si>
    <t>residual</t>
  </si>
  <si>
    <t>Model statistics</t>
  </si>
  <si>
    <t>index</t>
  </si>
  <si>
    <t>phi</t>
  </si>
  <si>
    <t>theta</t>
  </si>
  <si>
    <t>const</t>
  </si>
  <si>
    <t>SSE</t>
  </si>
  <si>
    <t>p</t>
  </si>
  <si>
    <t>q</t>
  </si>
  <si>
    <t>d</t>
  </si>
  <si>
    <t>res mean</t>
  </si>
  <si>
    <t>res s.d.</t>
  </si>
  <si>
    <t>sqrt mse</t>
  </si>
  <si>
    <t>data mean</t>
  </si>
  <si>
    <t>data s.d.</t>
  </si>
  <si>
    <t>size</t>
  </si>
  <si>
    <t>LL</t>
  </si>
  <si>
    <t>AIC</t>
  </si>
  <si>
    <t>BIC</t>
  </si>
  <si>
    <t>AIC aug</t>
  </si>
  <si>
    <t>BIC aug</t>
  </si>
  <si>
    <t>Model parameters</t>
  </si>
  <si>
    <t>param</t>
  </si>
  <si>
    <t>coeff</t>
  </si>
  <si>
    <t>s.e.</t>
  </si>
  <si>
    <t>t-stat</t>
  </si>
  <si>
    <t>p-value</t>
  </si>
  <si>
    <t>phi 1</t>
  </si>
  <si>
    <t>theta 1</t>
  </si>
  <si>
    <t>Phi roots</t>
  </si>
  <si>
    <t>real</t>
  </si>
  <si>
    <t>imag</t>
  </si>
  <si>
    <t>abs val</t>
  </si>
  <si>
    <t>Theta roots</t>
  </si>
  <si>
    <t>Psi coefficients</t>
  </si>
  <si>
    <t>psi</t>
  </si>
  <si>
    <t>Forecast (reduced)</t>
  </si>
  <si>
    <t>Alpha</t>
  </si>
  <si>
    <t>pred</t>
  </si>
  <si>
    <t>Forecast</t>
  </si>
  <si>
    <t>forecast</t>
  </si>
  <si>
    <t>MSE</t>
  </si>
  <si>
    <t>RMSE</t>
  </si>
  <si>
    <t>(yi-y^)^2</t>
  </si>
  <si>
    <t>MAE</t>
  </si>
  <si>
    <t>Absolute Error</t>
  </si>
  <si>
    <t>Percentage Error</t>
  </si>
  <si>
    <t>MAPE</t>
  </si>
  <si>
    <t>Actual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</si>
</sst>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2" xfId="0" applyFill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1" fillId="2" borderId="2" xfId="0" applyFont="1" applyFill="1" applyBorder="1"/>
    <xf numFmtId="0" fontId="0" fillId="0" borderId="2" xfId="0" applyBorder="1"/>
    <xf numFmtId="0" fontId="3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0" borderId="0" xfId="0" applyFont="1"/>
    <xf numFmtId="0" fontId="1" fillId="0" borderId="11" xfId="0" applyFont="1" applyBorder="1" applyAlignment="1">
      <alignment horizontal="center"/>
    </xf>
    <xf numFmtId="0" fontId="1" fillId="0" borderId="2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acf</c:v>
          </c:tx>
          <c:invertIfNegative val="0"/>
          <c:cat>
            <c:numRef>
              <c:f>'Real Statistics'!$H$5:$H$15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'Real Statistics'!$I$5:$I$15</c:f>
              <c:numCache>
                <c:formatCode>General</c:formatCode>
                <c:ptCount val="11"/>
                <c:pt idx="0">
                  <c:v>1</c:v>
                </c:pt>
                <c:pt idx="1">
                  <c:v>0.47801832656968629</c:v>
                </c:pt>
                <c:pt idx="2">
                  <c:v>0.17717108415090024</c:v>
                </c:pt>
                <c:pt idx="3">
                  <c:v>-2.0743272980716117E-4</c:v>
                </c:pt>
                <c:pt idx="4">
                  <c:v>-0.24542834960516224</c:v>
                </c:pt>
                <c:pt idx="5">
                  <c:v>-0.32178925055727003</c:v>
                </c:pt>
                <c:pt idx="6">
                  <c:v>-0.29522308399614744</c:v>
                </c:pt>
                <c:pt idx="7">
                  <c:v>-0.45065160522564079</c:v>
                </c:pt>
                <c:pt idx="8">
                  <c:v>-0.29687073575350792</c:v>
                </c:pt>
                <c:pt idx="9">
                  <c:v>-0.12844047879115966</c:v>
                </c:pt>
                <c:pt idx="10">
                  <c:v>4.4609527012069848E-2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A0-43ED-854A-644A68EBC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659839"/>
        <c:axId val="2076657919"/>
      </c:barChart>
      <c:lineChart>
        <c:grouping val="standard"/>
        <c:varyColors val="0"/>
        <c:ser>
          <c:idx val="0"/>
          <c:order val="0"/>
          <c:tx>
            <c:strRef>
              <c:f>'Real Statistics'!$J$4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'Real Statistics'!$H$5:$H$15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'Real Statistics'!$J$5:$J$15</c:f>
              <c:numCache>
                <c:formatCode>General</c:formatCode>
                <c:ptCount val="11"/>
                <c:pt idx="1">
                  <c:v>-0.40868074180933883</c:v>
                </c:pt>
                <c:pt idx="2">
                  <c:v>-0.49330373322466081</c:v>
                </c:pt>
                <c:pt idx="3">
                  <c:v>-0.50381936213283207</c:v>
                </c:pt>
                <c:pt idx="4">
                  <c:v>-0.50381937639705276</c:v>
                </c:pt>
                <c:pt idx="5">
                  <c:v>-0.52340699483187192</c:v>
                </c:pt>
                <c:pt idx="6">
                  <c:v>-0.55546750852383797</c:v>
                </c:pt>
                <c:pt idx="7">
                  <c:v>-0.58108343455046363</c:v>
                </c:pt>
                <c:pt idx="8">
                  <c:v>-0.63678652223582055</c:v>
                </c:pt>
                <c:pt idx="9">
                  <c:v>-0.65949735194628945</c:v>
                </c:pt>
                <c:pt idx="10">
                  <c:v>-0.66366211200614611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A0-43ED-854A-644A68EBCB3A}"/>
            </c:ext>
          </c:extLst>
        </c:ser>
        <c:ser>
          <c:idx val="1"/>
          <c:order val="1"/>
          <c:tx>
            <c:strRef>
              <c:f>'Real Statistics'!$K$4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'Real Statistics'!$K$5:$K$15</c:f>
              <c:numCache>
                <c:formatCode>General</c:formatCode>
                <c:ptCount val="11"/>
                <c:pt idx="1">
                  <c:v>0.40868074180933883</c:v>
                </c:pt>
                <c:pt idx="2">
                  <c:v>0.49330373322466081</c:v>
                </c:pt>
                <c:pt idx="3">
                  <c:v>0.50381936213283207</c:v>
                </c:pt>
                <c:pt idx="4">
                  <c:v>0.50381937639705276</c:v>
                </c:pt>
                <c:pt idx="5">
                  <c:v>0.52340699483187192</c:v>
                </c:pt>
                <c:pt idx="6">
                  <c:v>0.55546750852383797</c:v>
                </c:pt>
                <c:pt idx="7">
                  <c:v>0.58108343455046363</c:v>
                </c:pt>
                <c:pt idx="8">
                  <c:v>0.63678652223582055</c:v>
                </c:pt>
                <c:pt idx="9">
                  <c:v>0.65949735194628945</c:v>
                </c:pt>
                <c:pt idx="10">
                  <c:v>0.66366211200614611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A0-43ED-854A-644A68EBC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659839"/>
        <c:axId val="2076657919"/>
      </c:lineChart>
      <c:catAx>
        <c:axId val="20766598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657919"/>
        <c:crosses val="autoZero"/>
        <c:auto val="1"/>
        <c:lblAlgn val="ctr"/>
        <c:lblOffset val="100"/>
        <c:noMultiLvlLbl val="0"/>
      </c:catAx>
      <c:valAx>
        <c:axId val="207665791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65983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pacf</c:v>
          </c:tx>
          <c:invertIfNegative val="0"/>
          <c:cat>
            <c:numRef>
              <c:f>'Real Statistics'!$H$22:$H$32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'Real Statistics'!$I$22:$I$32</c:f>
              <c:numCache>
                <c:formatCode>General</c:formatCode>
                <c:ptCount val="11"/>
                <c:pt idx="0">
                  <c:v>1</c:v>
                </c:pt>
                <c:pt idx="1">
                  <c:v>0.47801832656968629</c:v>
                </c:pt>
                <c:pt idx="2">
                  <c:v>-6.6533425213329167E-2</c:v>
                </c:pt>
                <c:pt idx="3">
                  <c:v>-7.6461818771698248E-2</c:v>
                </c:pt>
                <c:pt idx="4">
                  <c:v>-0.26701690687124091</c:v>
                </c:pt>
                <c:pt idx="5">
                  <c:v>-0.12074032790064809</c:v>
                </c:pt>
                <c:pt idx="6">
                  <c:v>-8.8598754388122203E-2</c:v>
                </c:pt>
                <c:pt idx="7">
                  <c:v>-0.38106459913864371</c:v>
                </c:pt>
                <c:pt idx="8">
                  <c:v>-3.5614131622694056E-2</c:v>
                </c:pt>
                <c:pt idx="9">
                  <c:v>-9.7134288437482966E-2</c:v>
                </c:pt>
                <c:pt idx="10">
                  <c:v>3.3951503986449902E-2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A-4754-BE6C-A2DB2C948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660319"/>
        <c:axId val="2076662239"/>
      </c:barChart>
      <c:lineChart>
        <c:grouping val="standard"/>
        <c:varyColors val="0"/>
        <c:ser>
          <c:idx val="0"/>
          <c:order val="0"/>
          <c:tx>
            <c:strRef>
              <c:f>'Real Statistics'!$J$21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'Real Statistics'!$H$22:$H$32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'Real Statistics'!$J$22:$J$32</c:f>
              <c:numCache>
                <c:formatCode>General</c:formatCode>
                <c:ptCount val="11"/>
                <c:pt idx="1">
                  <c:v>-0.40868074180933883</c:v>
                </c:pt>
                <c:pt idx="2">
                  <c:v>-0.40868074180933883</c:v>
                </c:pt>
                <c:pt idx="3">
                  <c:v>-0.40868074180933883</c:v>
                </c:pt>
                <c:pt idx="4">
                  <c:v>-0.40868074180933883</c:v>
                </c:pt>
                <c:pt idx="5">
                  <c:v>-0.40868074180933883</c:v>
                </c:pt>
                <c:pt idx="6">
                  <c:v>-0.40868074180933883</c:v>
                </c:pt>
                <c:pt idx="7">
                  <c:v>-0.40868074180933883</c:v>
                </c:pt>
                <c:pt idx="8">
                  <c:v>-0.40868074180933883</c:v>
                </c:pt>
                <c:pt idx="9">
                  <c:v>-0.40868074180933883</c:v>
                </c:pt>
                <c:pt idx="10">
                  <c:v>-0.40868074180933883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FA-4754-BE6C-A2DB2C948548}"/>
            </c:ext>
          </c:extLst>
        </c:ser>
        <c:ser>
          <c:idx val="1"/>
          <c:order val="1"/>
          <c:tx>
            <c:strRef>
              <c:f>'Real Statistics'!$K$21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'Real Statistics'!$K$22:$K$32</c:f>
              <c:numCache>
                <c:formatCode>General</c:formatCode>
                <c:ptCount val="11"/>
                <c:pt idx="1">
                  <c:v>0.40868074180933883</c:v>
                </c:pt>
                <c:pt idx="2">
                  <c:v>0.40868074180933883</c:v>
                </c:pt>
                <c:pt idx="3">
                  <c:v>0.40868074180933883</c:v>
                </c:pt>
                <c:pt idx="4">
                  <c:v>0.40868074180933883</c:v>
                </c:pt>
                <c:pt idx="5">
                  <c:v>0.40868074180933883</c:v>
                </c:pt>
                <c:pt idx="6">
                  <c:v>0.40868074180933883</c:v>
                </c:pt>
                <c:pt idx="7">
                  <c:v>0.40868074180933883</c:v>
                </c:pt>
                <c:pt idx="8">
                  <c:v>0.40868074180933883</c:v>
                </c:pt>
                <c:pt idx="9">
                  <c:v>0.40868074180933883</c:v>
                </c:pt>
                <c:pt idx="10">
                  <c:v>0.40868074180933883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FA-4754-BE6C-A2DB2C948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660319"/>
        <c:axId val="2076662239"/>
      </c:lineChart>
      <c:catAx>
        <c:axId val="20766603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662239"/>
        <c:crosses val="autoZero"/>
        <c:auto val="1"/>
        <c:lblAlgn val="ctr"/>
        <c:lblOffset val="100"/>
        <c:noMultiLvlLbl val="0"/>
      </c:catAx>
      <c:valAx>
        <c:axId val="207666223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66031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601980</xdr:colOff>
      <xdr:row>0</xdr:row>
      <xdr:rowOff>163830</xdr:rowOff>
    </xdr:from>
    <xdr:to>
      <xdr:col>18</xdr:col>
      <xdr:colOff>15240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189322-6366-8683-E913-9E8C0BE89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7620</xdr:colOff>
      <xdr:row>18</xdr:row>
      <xdr:rowOff>3810</xdr:rowOff>
    </xdr:from>
    <xdr:to>
      <xdr:col>18</xdr:col>
      <xdr:colOff>30480</xdr:colOff>
      <xdr:row>32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7FFA63-7682-F26C-1D47-EF9D67076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t341\AppData\Roaming\Microsoft\AddIns\XRealStats.xlam" TargetMode="External"/><Relationship Id="rId1" Type="http://schemas.openxmlformats.org/officeDocument/2006/relationships/externalLinkPath" Target="/Users/lt341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XRealStats"/>
    </sheetNames>
    <definedNames>
      <definedName name="ACF"/>
      <definedName name="ARIMA_Coeff"/>
      <definedName name="ARRoots"/>
      <definedName name="MARoots"/>
      <definedName name="PACF"/>
      <definedName name="PSICoef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zoomScaleNormal="100" zoomScalePageLayoutView="150" workbookViewId="0">
      <selection activeCell="B2" sqref="B2:B25"/>
    </sheetView>
  </sheetViews>
  <sheetFormatPr defaultColWidth="8.88671875" defaultRowHeight="13.2" x14ac:dyDescent="0.25"/>
  <cols>
    <col min="1" max="1" width="8" customWidth="1"/>
    <col min="2" max="2" width="9.33203125" bestFit="1" customWidth="1"/>
    <col min="3" max="3" width="12" bestFit="1" customWidth="1"/>
    <col min="7" max="7" width="12.44140625" bestFit="1" customWidth="1"/>
    <col min="8" max="9" width="13.109375" bestFit="1" customWidth="1"/>
    <col min="10" max="10" width="12.6640625" customWidth="1"/>
    <col min="11" max="11" width="5.21875" customWidth="1"/>
    <col min="12" max="12" width="13.77734375" customWidth="1"/>
    <col min="13" max="13" width="11.33203125" customWidth="1"/>
    <col min="14" max="14" width="12.44140625" customWidth="1"/>
    <col min="15" max="15" width="13.109375" bestFit="1" customWidth="1"/>
    <col min="16" max="16" width="10.21875" customWidth="1"/>
    <col min="17" max="17" width="11" customWidth="1"/>
    <col min="18" max="18" width="10.77734375" customWidth="1"/>
  </cols>
  <sheetData>
    <row r="1" spans="1:18" ht="13.8" thickBot="1" x14ac:dyDescent="0.3">
      <c r="A1" s="1" t="s">
        <v>12</v>
      </c>
      <c r="B1" s="1" t="s">
        <v>13</v>
      </c>
      <c r="C1" s="4" t="s">
        <v>17</v>
      </c>
      <c r="D1" s="4" t="s">
        <v>18</v>
      </c>
      <c r="F1" s="4" t="s">
        <v>21</v>
      </c>
      <c r="G1" s="4" t="s">
        <v>14</v>
      </c>
      <c r="H1" s="4" t="s">
        <v>15</v>
      </c>
      <c r="I1" s="4" t="s">
        <v>16</v>
      </c>
      <c r="J1" s="4" t="s">
        <v>22</v>
      </c>
    </row>
    <row r="2" spans="1:18" ht="13.8" thickTop="1" x14ac:dyDescent="0.25">
      <c r="A2" t="s">
        <v>0</v>
      </c>
      <c r="B2">
        <v>244</v>
      </c>
      <c r="C2" s="3">
        <f t="shared" ref="C2:C24" si="0">B3-B2</f>
        <v>-16</v>
      </c>
      <c r="D2" s="3"/>
      <c r="F2" s="3"/>
      <c r="G2" s="3"/>
      <c r="H2" s="3"/>
      <c r="I2" s="3"/>
      <c r="J2" s="3"/>
    </row>
    <row r="3" spans="1:18" x14ac:dyDescent="0.25">
      <c r="A3" t="s">
        <v>1</v>
      </c>
      <c r="B3">
        <v>228</v>
      </c>
      <c r="C3" s="3">
        <f t="shared" si="0"/>
        <v>-75</v>
      </c>
      <c r="D3" s="3">
        <f t="shared" ref="D3:D24" si="1">C3-C2</f>
        <v>-59</v>
      </c>
      <c r="F3" s="3">
        <f t="shared" ref="F3:F24" si="2">(D3-AVERAGE($D$3:$D$24))*(D3-AVERAGE($D$3:$D$24))</f>
        <v>4142.6776859504125</v>
      </c>
      <c r="G3" s="3"/>
      <c r="H3" s="3"/>
      <c r="I3" s="3"/>
      <c r="J3" s="3"/>
      <c r="L3" s="5" t="s">
        <v>19</v>
      </c>
      <c r="M3" s="5" t="s">
        <v>20</v>
      </c>
      <c r="N3" s="5" t="s">
        <v>23</v>
      </c>
      <c r="O3" s="5" t="s">
        <v>24</v>
      </c>
      <c r="P3" s="5" t="s">
        <v>25</v>
      </c>
      <c r="Q3" s="5" t="s">
        <v>26</v>
      </c>
      <c r="R3" s="5" t="s">
        <v>27</v>
      </c>
    </row>
    <row r="4" spans="1:18" x14ac:dyDescent="0.25">
      <c r="A4" t="s">
        <v>2</v>
      </c>
      <c r="B4">
        <v>153</v>
      </c>
      <c r="C4" s="3">
        <f t="shared" si="0"/>
        <v>-13</v>
      </c>
      <c r="D4" s="3">
        <f t="shared" si="1"/>
        <v>62</v>
      </c>
      <c r="F4" s="3">
        <f t="shared" si="2"/>
        <v>3207.6776859504139</v>
      </c>
      <c r="G4" s="3">
        <f>(D4-AVERAGE($D$3:$D$24))*(D3-AVERAGE($D$3:$D$24))</f>
        <v>-3645.322314049587</v>
      </c>
      <c r="H4" s="3"/>
      <c r="I4" s="3"/>
      <c r="J4" s="3"/>
      <c r="L4">
        <f>DEVSQ($D$3:$D$24)</f>
        <v>56119.090909090912</v>
      </c>
      <c r="M4">
        <f>SUM(F3:F24)</f>
        <v>56119.090909090912</v>
      </c>
      <c r="N4">
        <f>M4/L4</f>
        <v>1</v>
      </c>
    </row>
    <row r="5" spans="1:18" x14ac:dyDescent="0.25">
      <c r="A5" t="s">
        <v>3</v>
      </c>
      <c r="B5">
        <v>140</v>
      </c>
      <c r="C5" s="3">
        <f t="shared" si="0"/>
        <v>-85</v>
      </c>
      <c r="D5" s="3">
        <f t="shared" si="1"/>
        <v>-72</v>
      </c>
      <c r="F5" s="3">
        <f t="shared" si="2"/>
        <v>5985.1322314049585</v>
      </c>
      <c r="G5" s="3">
        <f t="shared" ref="G5:G24" si="3">(D5-AVERAGE($D$3:$D$24))*(D4-AVERAGE($D$3:$D$24))</f>
        <v>-4381.5950413223145</v>
      </c>
      <c r="H5" s="3">
        <f>(D5-AVERAGE($D$3:$D$24))*(D3-AVERAGE($D$3:$D$24))</f>
        <v>4979.4049586776855</v>
      </c>
      <c r="I5" s="3"/>
      <c r="J5" s="3"/>
      <c r="L5">
        <f t="shared" ref="L5:L8" si="4">DEVSQ($D$3:$D$24)</f>
        <v>56119.090909090912</v>
      </c>
      <c r="M5">
        <f>SUM(G4:G24)</f>
        <v>-10110.132231404956</v>
      </c>
      <c r="N5">
        <f t="shared" ref="N5:N8" si="5">M5/L5</f>
        <v>-0.18015495382458491</v>
      </c>
      <c r="O5" s="6">
        <f>N5</f>
        <v>-0.18015495382458491</v>
      </c>
      <c r="P5" cm="1">
        <f t="array" ref="P5:P6">MMULT(MMULT(MINVERSE(MMULT(L10:M11, L10:M11)),L10:M11), N5:N6)</f>
        <v>-0.19817338495382059</v>
      </c>
      <c r="Q5" cm="1">
        <f t="array" ref="Q5:Q7">MMULT(MMULT(MINVERSE(MMULT(L10:N12, L10:N12)),L10:N12), N5:N7)</f>
        <v>-0.19427983387234454</v>
      </c>
      <c r="R5" cm="1">
        <f t="array" ref="R5:R8">MMULT(MMULT(MINVERSE(MMULT(L10:O13, L10:O13)),L10:O13), N5:N8)</f>
        <v>-0.18817370051474669</v>
      </c>
    </row>
    <row r="6" spans="1:18" x14ac:dyDescent="0.25">
      <c r="A6" t="s">
        <v>4</v>
      </c>
      <c r="B6">
        <v>55</v>
      </c>
      <c r="C6" s="3">
        <f t="shared" si="0"/>
        <v>-21</v>
      </c>
      <c r="D6" s="3">
        <f t="shared" si="1"/>
        <v>64</v>
      </c>
      <c r="F6" s="3">
        <f t="shared" si="2"/>
        <v>3438.2231404958684</v>
      </c>
      <c r="G6" s="3">
        <f t="shared" si="3"/>
        <v>-4536.3223140495866</v>
      </c>
      <c r="H6" s="3">
        <f t="shared" ref="H6:H24" si="6">(D6-AVERAGE($D$3:$D$24))*(D4-AVERAGE($D$3:$D$24))</f>
        <v>3320.9504132231409</v>
      </c>
      <c r="I6" s="3">
        <f>(D6-AVERAGE($D$3:$D$24))*(D3-AVERAGE($D$3:$D$24))</f>
        <v>-3774.0495867768595</v>
      </c>
      <c r="J6" s="3"/>
      <c r="L6">
        <f t="shared" si="4"/>
        <v>56119.090909090912</v>
      </c>
      <c r="M6">
        <f>SUM(H5:H24)</f>
        <v>-3609.2644628099165</v>
      </c>
      <c r="N6">
        <f t="shared" si="5"/>
        <v>-6.4314378660493235E-2</v>
      </c>
      <c r="P6" s="6">
        <v>-0.10001629567611048</v>
      </c>
      <c r="Q6">
        <v>-9.2301570869610591E-2</v>
      </c>
      <c r="R6">
        <v>-0.10677929396632314</v>
      </c>
    </row>
    <row r="7" spans="1:18" x14ac:dyDescent="0.25">
      <c r="A7" t="s">
        <v>5</v>
      </c>
      <c r="B7">
        <v>34</v>
      </c>
      <c r="C7" s="3">
        <f t="shared" si="0"/>
        <v>-4</v>
      </c>
      <c r="D7" s="3">
        <f t="shared" si="1"/>
        <v>17</v>
      </c>
      <c r="F7" s="3">
        <f t="shared" si="2"/>
        <v>135.40495867768595</v>
      </c>
      <c r="G7" s="3">
        <f t="shared" si="3"/>
        <v>682.31404958677695</v>
      </c>
      <c r="H7" s="3">
        <f t="shared" si="6"/>
        <v>-900.23140495867767</v>
      </c>
      <c r="I7" s="3">
        <f t="shared" ref="I7:I24" si="7">(D7-AVERAGE($D$3:$D$24))*(D4-AVERAGE($D$3:$D$24))</f>
        <v>659.04132231404969</v>
      </c>
      <c r="J7" s="3">
        <f>(D7-AVERAGE($D$3:$D$24))*(D3-AVERAGE($D$3:$D$24))</f>
        <v>-748.95867768595042</v>
      </c>
      <c r="L7">
        <f t="shared" si="4"/>
        <v>56119.090909090912</v>
      </c>
      <c r="M7">
        <f>SUM(I6:I24)</f>
        <v>3819.0578512396678</v>
      </c>
      <c r="N7" s="2">
        <f t="shared" si="5"/>
        <v>6.8052739083501554E-2</v>
      </c>
      <c r="Q7" s="6">
        <v>3.8929167043786503E-2</v>
      </c>
      <c r="R7">
        <v>8.4559084461347453E-3</v>
      </c>
    </row>
    <row r="8" spans="1:18" x14ac:dyDescent="0.25">
      <c r="A8" t="s">
        <v>6</v>
      </c>
      <c r="B8">
        <v>30</v>
      </c>
      <c r="C8" s="3">
        <f t="shared" si="0"/>
        <v>-2</v>
      </c>
      <c r="D8" s="3">
        <f t="shared" si="1"/>
        <v>2</v>
      </c>
      <c r="F8" s="3">
        <f t="shared" si="2"/>
        <v>11.314049586776857</v>
      </c>
      <c r="G8" s="3">
        <f t="shared" si="3"/>
        <v>-39.140495867768593</v>
      </c>
      <c r="H8" s="3">
        <f t="shared" si="6"/>
        <v>-197.23140495867767</v>
      </c>
      <c r="I8" s="3">
        <f t="shared" si="7"/>
        <v>260.22314049586771</v>
      </c>
      <c r="J8" s="3">
        <f t="shared" ref="J8:J24" si="8">(D8-AVERAGE($D$3:$D$24))*(D4-AVERAGE($D$3:$D$24))</f>
        <v>-190.50413223140495</v>
      </c>
      <c r="L8">
        <f t="shared" si="4"/>
        <v>56119.090909090912</v>
      </c>
      <c r="M8">
        <f>SUM(J7:J24)</f>
        <v>-10014.347107438014</v>
      </c>
      <c r="N8">
        <f t="shared" si="5"/>
        <v>-0.17844813494325079</v>
      </c>
      <c r="R8" s="6">
        <v>-0.15685240197227474</v>
      </c>
    </row>
    <row r="9" spans="1:18" x14ac:dyDescent="0.25">
      <c r="A9" t="s">
        <v>7</v>
      </c>
      <c r="B9">
        <v>28</v>
      </c>
      <c r="C9" s="3">
        <f t="shared" si="0"/>
        <v>1</v>
      </c>
      <c r="D9" s="3">
        <f t="shared" si="1"/>
        <v>3</v>
      </c>
      <c r="F9" s="3">
        <f t="shared" si="2"/>
        <v>5.5867768595041305</v>
      </c>
      <c r="G9" s="3">
        <f t="shared" si="3"/>
        <v>7.9504132231404938</v>
      </c>
      <c r="H9" s="3">
        <f t="shared" si="6"/>
        <v>-27.504132231404956</v>
      </c>
      <c r="I9" s="3">
        <f t="shared" si="7"/>
        <v>-138.59504132231405</v>
      </c>
      <c r="J9" s="3">
        <f t="shared" si="8"/>
        <v>182.85950413223136</v>
      </c>
    </row>
    <row r="10" spans="1:18" x14ac:dyDescent="0.25">
      <c r="A10" t="s">
        <v>8</v>
      </c>
      <c r="B10">
        <v>29</v>
      </c>
      <c r="C10" s="3">
        <f t="shared" si="0"/>
        <v>12</v>
      </c>
      <c r="D10" s="3">
        <f t="shared" si="1"/>
        <v>11</v>
      </c>
      <c r="F10" s="3">
        <f t="shared" si="2"/>
        <v>31.768595041322317</v>
      </c>
      <c r="G10" s="3">
        <f t="shared" si="3"/>
        <v>-13.322314049586776</v>
      </c>
      <c r="H10" s="3">
        <f t="shared" si="6"/>
        <v>-18.958677685950413</v>
      </c>
      <c r="I10" s="3">
        <f t="shared" si="7"/>
        <v>65.586776859504141</v>
      </c>
      <c r="J10" s="3">
        <f t="shared" si="8"/>
        <v>330.49586776859508</v>
      </c>
      <c r="L10" s="7">
        <v>1</v>
      </c>
      <c r="M10" s="7">
        <v>-0.18015495382458491</v>
      </c>
      <c r="N10" s="7">
        <v>-6.4314378660493235E-2</v>
      </c>
      <c r="O10" s="7">
        <v>6.8052739083501554E-2</v>
      </c>
    </row>
    <row r="11" spans="1:18" x14ac:dyDescent="0.25">
      <c r="A11" t="s">
        <v>9</v>
      </c>
      <c r="B11">
        <v>41</v>
      </c>
      <c r="C11" s="3">
        <f t="shared" si="0"/>
        <v>47</v>
      </c>
      <c r="D11" s="3">
        <f t="shared" si="1"/>
        <v>35</v>
      </c>
      <c r="F11" s="3">
        <f t="shared" si="2"/>
        <v>878.31404958677683</v>
      </c>
      <c r="G11" s="3">
        <f t="shared" si="3"/>
        <v>167.04132231404961</v>
      </c>
      <c r="H11" s="3">
        <f t="shared" si="6"/>
        <v>-70.049586776859499</v>
      </c>
      <c r="I11" s="3">
        <f t="shared" si="7"/>
        <v>-99.685950413223125</v>
      </c>
      <c r="J11" s="3">
        <f t="shared" si="8"/>
        <v>344.85950413223139</v>
      </c>
      <c r="L11" s="7">
        <v>-0.18015495382458491</v>
      </c>
      <c r="M11" s="7">
        <v>1</v>
      </c>
      <c r="N11" s="7">
        <v>-0.18015495382458491</v>
      </c>
      <c r="O11" s="7">
        <f>N6</f>
        <v>-6.4314378660493235E-2</v>
      </c>
    </row>
    <row r="12" spans="1:18" x14ac:dyDescent="0.25">
      <c r="A12" t="s">
        <v>10</v>
      </c>
      <c r="B12">
        <v>88</v>
      </c>
      <c r="C12" s="3">
        <f t="shared" si="0"/>
        <v>111</v>
      </c>
      <c r="D12" s="3">
        <f t="shared" si="1"/>
        <v>64</v>
      </c>
      <c r="F12" s="3">
        <f t="shared" si="2"/>
        <v>3438.2231404958684</v>
      </c>
      <c r="G12" s="3">
        <f t="shared" si="3"/>
        <v>1737.7685950413224</v>
      </c>
      <c r="H12" s="3">
        <f t="shared" si="6"/>
        <v>330.49586776859508</v>
      </c>
      <c r="I12" s="3">
        <f t="shared" si="7"/>
        <v>-138.59504132231405</v>
      </c>
      <c r="J12" s="3">
        <f t="shared" si="8"/>
        <v>-197.23140495867767</v>
      </c>
      <c r="L12" s="7">
        <v>-6.4314378660493235E-2</v>
      </c>
      <c r="M12" s="7">
        <v>-0.18015495382458491</v>
      </c>
      <c r="N12" s="7">
        <v>1</v>
      </c>
      <c r="O12" s="7">
        <f>N5</f>
        <v>-0.18015495382458491</v>
      </c>
    </row>
    <row r="13" spans="1:18" x14ac:dyDescent="0.25">
      <c r="A13" t="s">
        <v>11</v>
      </c>
      <c r="B13">
        <v>199</v>
      </c>
      <c r="C13" s="3">
        <f t="shared" si="0"/>
        <v>31</v>
      </c>
      <c r="D13" s="3">
        <f t="shared" si="1"/>
        <v>-80</v>
      </c>
      <c r="F13" s="3">
        <f t="shared" si="2"/>
        <v>7286.9504132231395</v>
      </c>
      <c r="G13" s="3">
        <f t="shared" si="3"/>
        <v>-5005.4132231404956</v>
      </c>
      <c r="H13" s="3">
        <f t="shared" si="6"/>
        <v>-2529.8677685950411</v>
      </c>
      <c r="I13" s="3">
        <f t="shared" si="7"/>
        <v>-481.14049586776861</v>
      </c>
      <c r="J13" s="3">
        <f t="shared" si="8"/>
        <v>201.76859504132227</v>
      </c>
      <c r="L13" s="7">
        <v>6.8052739083501554E-2</v>
      </c>
      <c r="M13" s="7">
        <v>6.8052739083501554E-2</v>
      </c>
      <c r="N13" s="7">
        <v>-0.18015495382458491</v>
      </c>
      <c r="O13" s="7">
        <v>1</v>
      </c>
    </row>
    <row r="14" spans="1:18" x14ac:dyDescent="0.25">
      <c r="A14" t="s">
        <v>0</v>
      </c>
      <c r="B14">
        <v>230</v>
      </c>
      <c r="C14" s="3">
        <f t="shared" si="0"/>
        <v>15</v>
      </c>
      <c r="D14" s="3">
        <f t="shared" si="1"/>
        <v>-16</v>
      </c>
      <c r="F14" s="3">
        <f t="shared" si="2"/>
        <v>456.40495867768595</v>
      </c>
      <c r="G14" s="3">
        <f t="shared" si="3"/>
        <v>1823.6776859504132</v>
      </c>
      <c r="H14" s="3">
        <f t="shared" si="6"/>
        <v>-1252.6859504132233</v>
      </c>
      <c r="I14" s="3">
        <f t="shared" si="7"/>
        <v>-633.14049586776855</v>
      </c>
      <c r="J14" s="3">
        <f t="shared" si="8"/>
        <v>-120.41322314049587</v>
      </c>
    </row>
    <row r="15" spans="1:18" x14ac:dyDescent="0.25">
      <c r="A15" t="s">
        <v>1</v>
      </c>
      <c r="B15">
        <v>245</v>
      </c>
      <c r="C15" s="3">
        <f t="shared" si="0"/>
        <v>2</v>
      </c>
      <c r="D15" s="3">
        <f t="shared" si="1"/>
        <v>-13</v>
      </c>
      <c r="F15" s="3">
        <f t="shared" si="2"/>
        <v>337.22314049586777</v>
      </c>
      <c r="G15" s="3">
        <f t="shared" si="3"/>
        <v>392.31404958677683</v>
      </c>
      <c r="H15" s="3">
        <f t="shared" si="6"/>
        <v>1567.586776859504</v>
      </c>
      <c r="I15" s="3">
        <f t="shared" si="7"/>
        <v>-1076.7768595041323</v>
      </c>
      <c r="J15" s="3">
        <f t="shared" si="8"/>
        <v>-544.23140495867767</v>
      </c>
    </row>
    <row r="16" spans="1:18" x14ac:dyDescent="0.25">
      <c r="A16" t="s">
        <v>2</v>
      </c>
      <c r="B16">
        <v>247</v>
      </c>
      <c r="C16" s="3">
        <f t="shared" si="0"/>
        <v>-112</v>
      </c>
      <c r="D16" s="3">
        <f t="shared" si="1"/>
        <v>-114</v>
      </c>
      <c r="F16" s="3">
        <f t="shared" si="2"/>
        <v>14247.677685950412</v>
      </c>
      <c r="G16" s="3">
        <f t="shared" si="3"/>
        <v>2191.9504132231405</v>
      </c>
      <c r="H16" s="3">
        <f t="shared" si="6"/>
        <v>2550.0413223140495</v>
      </c>
      <c r="I16" s="3">
        <f t="shared" si="7"/>
        <v>10189.314049586776</v>
      </c>
      <c r="J16" s="3">
        <f t="shared" si="8"/>
        <v>-6999.0495867768595</v>
      </c>
    </row>
    <row r="17" spans="1:15" x14ac:dyDescent="0.25">
      <c r="A17" t="s">
        <v>3</v>
      </c>
      <c r="B17">
        <v>135</v>
      </c>
      <c r="C17" s="3">
        <f t="shared" si="0"/>
        <v>-101</v>
      </c>
      <c r="D17" s="3">
        <f t="shared" si="1"/>
        <v>11</v>
      </c>
      <c r="F17" s="3">
        <f t="shared" si="2"/>
        <v>31.768595041322317</v>
      </c>
      <c r="G17" s="3">
        <f t="shared" si="3"/>
        <v>-672.77685950413229</v>
      </c>
      <c r="H17" s="3">
        <f t="shared" si="6"/>
        <v>-103.50413223140497</v>
      </c>
      <c r="I17" s="3">
        <f t="shared" si="7"/>
        <v>-120.41322314049587</v>
      </c>
      <c r="J17" s="3">
        <f t="shared" si="8"/>
        <v>-481.14049586776861</v>
      </c>
    </row>
    <row r="18" spans="1:15" x14ac:dyDescent="0.25">
      <c r="A18" t="s">
        <v>4</v>
      </c>
      <c r="B18">
        <v>34</v>
      </c>
      <c r="C18" s="3">
        <f t="shared" si="0"/>
        <v>-1</v>
      </c>
      <c r="D18" s="3">
        <f t="shared" si="1"/>
        <v>100</v>
      </c>
      <c r="F18" s="3">
        <f t="shared" si="2"/>
        <v>8956.0413223140495</v>
      </c>
      <c r="G18" s="3">
        <f t="shared" si="3"/>
        <v>533.40495867768595</v>
      </c>
      <c r="H18" s="3">
        <f t="shared" si="6"/>
        <v>-11296.140495867769</v>
      </c>
      <c r="I18" s="3">
        <f t="shared" si="7"/>
        <v>-1737.8677685950413</v>
      </c>
      <c r="J18" s="3">
        <f t="shared" si="8"/>
        <v>-2021.7768595041323</v>
      </c>
    </row>
    <row r="19" spans="1:15" x14ac:dyDescent="0.25">
      <c r="A19" t="s">
        <v>5</v>
      </c>
      <c r="B19">
        <v>33</v>
      </c>
      <c r="C19" s="3">
        <f t="shared" si="0"/>
        <v>-6</v>
      </c>
      <c r="D19" s="3">
        <f t="shared" si="1"/>
        <v>-5</v>
      </c>
      <c r="F19" s="3">
        <f t="shared" si="2"/>
        <v>107.40495867768594</v>
      </c>
      <c r="G19" s="3">
        <f t="shared" si="3"/>
        <v>-980.77685950413229</v>
      </c>
      <c r="H19" s="3">
        <f t="shared" si="6"/>
        <v>-58.413223140495866</v>
      </c>
      <c r="I19" s="3">
        <f t="shared" si="7"/>
        <v>1237.0413223140495</v>
      </c>
      <c r="J19" s="3">
        <f t="shared" si="8"/>
        <v>190.31404958677686</v>
      </c>
    </row>
    <row r="20" spans="1:15" x14ac:dyDescent="0.25">
      <c r="A20" t="s">
        <v>6</v>
      </c>
      <c r="B20">
        <v>27</v>
      </c>
      <c r="C20" s="3">
        <f t="shared" si="0"/>
        <v>-1</v>
      </c>
      <c r="D20" s="3">
        <f t="shared" si="1"/>
        <v>5</v>
      </c>
      <c r="F20" s="3">
        <f t="shared" si="2"/>
        <v>0.13223140495867744</v>
      </c>
      <c r="G20" s="3">
        <f t="shared" si="3"/>
        <v>3.7685950413223104</v>
      </c>
      <c r="H20" s="3">
        <f t="shared" si="6"/>
        <v>-34.413223140495838</v>
      </c>
      <c r="I20" s="3">
        <f t="shared" si="7"/>
        <v>-2.0495867768595026</v>
      </c>
      <c r="J20" s="3">
        <f t="shared" si="8"/>
        <v>43.404958677685912</v>
      </c>
    </row>
    <row r="21" spans="1:15" x14ac:dyDescent="0.25">
      <c r="A21" t="s">
        <v>7</v>
      </c>
      <c r="B21">
        <v>26</v>
      </c>
      <c r="C21" s="3">
        <f t="shared" si="0"/>
        <v>2</v>
      </c>
      <c r="D21" s="3">
        <f t="shared" si="1"/>
        <v>3</v>
      </c>
      <c r="F21" s="3">
        <f t="shared" si="2"/>
        <v>5.5867768595041305</v>
      </c>
      <c r="G21" s="3">
        <f t="shared" si="3"/>
        <v>0.85950413223140409</v>
      </c>
      <c r="H21" s="3">
        <f t="shared" si="6"/>
        <v>24.495867768595037</v>
      </c>
      <c r="I21" s="3">
        <f t="shared" si="7"/>
        <v>-223.68595041322311</v>
      </c>
      <c r="J21" s="3">
        <f t="shared" si="8"/>
        <v>-13.322314049586776</v>
      </c>
    </row>
    <row r="22" spans="1:15" x14ac:dyDescent="0.25">
      <c r="A22" t="s">
        <v>8</v>
      </c>
      <c r="B22">
        <v>28</v>
      </c>
      <c r="C22" s="3">
        <f t="shared" si="0"/>
        <v>11</v>
      </c>
      <c r="D22" s="3">
        <f t="shared" si="1"/>
        <v>9</v>
      </c>
      <c r="F22" s="3">
        <f t="shared" si="2"/>
        <v>13.223140495867771</v>
      </c>
      <c r="G22" s="3">
        <f t="shared" si="3"/>
        <v>-8.5950413223140494</v>
      </c>
      <c r="H22" s="3">
        <f t="shared" si="6"/>
        <v>-1.3223140495867758</v>
      </c>
      <c r="I22" s="3">
        <f t="shared" si="7"/>
        <v>-37.685950413223139</v>
      </c>
      <c r="J22" s="3">
        <f t="shared" si="8"/>
        <v>344.1322314049587</v>
      </c>
    </row>
    <row r="23" spans="1:15" x14ac:dyDescent="0.25">
      <c r="A23" t="s">
        <v>9</v>
      </c>
      <c r="B23">
        <v>39</v>
      </c>
      <c r="C23" s="3">
        <f t="shared" si="0"/>
        <v>47</v>
      </c>
      <c r="D23" s="3">
        <f t="shared" si="1"/>
        <v>36</v>
      </c>
      <c r="F23" s="3">
        <f t="shared" si="2"/>
        <v>938.5867768595042</v>
      </c>
      <c r="G23" s="3">
        <f t="shared" si="3"/>
        <v>111.40495867768597</v>
      </c>
      <c r="H23" s="3">
        <f t="shared" si="6"/>
        <v>-72.413223140495859</v>
      </c>
      <c r="I23" s="3">
        <f t="shared" si="7"/>
        <v>-11.140495867768585</v>
      </c>
      <c r="J23" s="3">
        <f t="shared" si="8"/>
        <v>-317.50413223140492</v>
      </c>
    </row>
    <row r="24" spans="1:15" x14ac:dyDescent="0.25">
      <c r="A24" t="s">
        <v>10</v>
      </c>
      <c r="B24">
        <v>86</v>
      </c>
      <c r="C24" s="3">
        <f t="shared" si="0"/>
        <v>102</v>
      </c>
      <c r="D24" s="3">
        <f t="shared" si="1"/>
        <v>55</v>
      </c>
      <c r="F24" s="3">
        <f t="shared" si="2"/>
        <v>2463.7685950413229</v>
      </c>
      <c r="G24" s="3">
        <f t="shared" si="3"/>
        <v>1520.6776859504134</v>
      </c>
      <c r="H24" s="3">
        <f t="shared" si="6"/>
        <v>180.49586776859508</v>
      </c>
      <c r="I24" s="3">
        <f t="shared" si="7"/>
        <v>-117.32231404958677</v>
      </c>
      <c r="J24" s="3">
        <f t="shared" si="8"/>
        <v>-18.049586776859488</v>
      </c>
    </row>
    <row r="25" spans="1:15" x14ac:dyDescent="0.25">
      <c r="A25" t="s">
        <v>11</v>
      </c>
      <c r="B25">
        <v>188</v>
      </c>
      <c r="F25" s="3"/>
      <c r="G25" s="3"/>
      <c r="H25" s="3"/>
      <c r="I25" s="3"/>
      <c r="J25" s="3"/>
    </row>
    <row r="26" spans="1:15" x14ac:dyDescent="0.25">
      <c r="L26" s="3"/>
      <c r="M26" s="3"/>
      <c r="N26" s="3"/>
      <c r="O26" s="3"/>
    </row>
    <row r="42" spans="12:15" x14ac:dyDescent="0.25">
      <c r="L42" s="3"/>
      <c r="M42" s="3"/>
      <c r="N42" s="3"/>
      <c r="O42" s="3"/>
    </row>
  </sheetData>
  <phoneticPr fontId="0" type="noConversion"/>
  <pageMargins left="0.75" right="0.75" top="1" bottom="1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0A3B-7477-40AB-98B9-E6C5B7249A29}">
  <dimension ref="A1:AJ72"/>
  <sheetViews>
    <sheetView topLeftCell="A32" zoomScaleNormal="100" workbookViewId="0">
      <selection activeCell="AJ40" sqref="AJ40:AJ62"/>
    </sheetView>
  </sheetViews>
  <sheetFormatPr defaultRowHeight="13.2" x14ac:dyDescent="0.25"/>
  <sheetData>
    <row r="1" spans="1:11" x14ac:dyDescent="0.25">
      <c r="A1" s="12" t="s">
        <v>12</v>
      </c>
      <c r="B1" s="12" t="s">
        <v>13</v>
      </c>
      <c r="D1" s="5" t="s">
        <v>17</v>
      </c>
      <c r="E1" s="5" t="s">
        <v>18</v>
      </c>
    </row>
    <row r="2" spans="1:11" x14ac:dyDescent="0.25">
      <c r="A2" s="13" t="s">
        <v>0</v>
      </c>
      <c r="B2" s="13">
        <v>244</v>
      </c>
      <c r="D2">
        <v>-16</v>
      </c>
      <c r="H2" t="s">
        <v>28</v>
      </c>
      <c r="J2" t="s">
        <v>30</v>
      </c>
      <c r="K2" s="8">
        <v>0.05</v>
      </c>
    </row>
    <row r="3" spans="1:11" x14ac:dyDescent="0.25">
      <c r="A3" s="13" t="s">
        <v>1</v>
      </c>
      <c r="B3" s="13">
        <v>228</v>
      </c>
      <c r="D3">
        <v>-75</v>
      </c>
      <c r="E3">
        <v>-59</v>
      </c>
    </row>
    <row r="4" spans="1:11" x14ac:dyDescent="0.25">
      <c r="A4" s="13" t="s">
        <v>2</v>
      </c>
      <c r="B4" s="13">
        <v>153</v>
      </c>
      <c r="D4">
        <v>-13</v>
      </c>
      <c r="E4">
        <v>62</v>
      </c>
      <c r="H4" s="10" t="s">
        <v>31</v>
      </c>
      <c r="I4" s="10" t="s">
        <v>29</v>
      </c>
      <c r="J4" s="10" t="s">
        <v>32</v>
      </c>
      <c r="K4" s="10" t="s">
        <v>33</v>
      </c>
    </row>
    <row r="5" spans="1:11" x14ac:dyDescent="0.25">
      <c r="A5" s="13" t="s">
        <v>3</v>
      </c>
      <c r="B5" s="13">
        <v>140</v>
      </c>
      <c r="D5">
        <v>-85</v>
      </c>
      <c r="E5">
        <v>-72</v>
      </c>
      <c r="H5">
        <v>0</v>
      </c>
      <c r="I5">
        <f>[1]!ACF($D$2:$D$24,H5)</f>
        <v>1</v>
      </c>
    </row>
    <row r="6" spans="1:11" x14ac:dyDescent="0.25">
      <c r="A6" s="13" t="s">
        <v>4</v>
      </c>
      <c r="B6" s="13">
        <v>55</v>
      </c>
      <c r="D6">
        <v>-21</v>
      </c>
      <c r="E6">
        <v>64</v>
      </c>
      <c r="H6">
        <f>H5+1</f>
        <v>1</v>
      </c>
      <c r="I6">
        <f>[1]!ACF($D$2:$D$24,H6)</f>
        <v>0.47801832656968629</v>
      </c>
      <c r="J6">
        <f>-K6</f>
        <v>-0.40868074180933883</v>
      </c>
      <c r="K6">
        <f>_xlfn.NORM.S.INV(1-$K$2/2)/SQRT(COUNT($D$2:$D$24))</f>
        <v>0.40868074180933883</v>
      </c>
    </row>
    <row r="7" spans="1:11" x14ac:dyDescent="0.25">
      <c r="A7" s="13" t="s">
        <v>5</v>
      </c>
      <c r="B7" s="13">
        <v>34</v>
      </c>
      <c r="D7">
        <v>-4</v>
      </c>
      <c r="E7">
        <v>17</v>
      </c>
      <c r="H7">
        <f t="shared" ref="H7:H15" si="0">H6+1</f>
        <v>2</v>
      </c>
      <c r="I7">
        <f>[1]!ACF($D$2:$D$24,H7)</f>
        <v>0.17717108415090024</v>
      </c>
      <c r="J7">
        <f>-K7</f>
        <v>-0.49330373322466081</v>
      </c>
      <c r="K7">
        <f>_xlfn.NORM.S.INV(1-$K$2/2)*SQRT((1+2*SUMSQ(I$6:I6))/COUNT($D$2:$D$24))</f>
        <v>0.49330373322466081</v>
      </c>
    </row>
    <row r="8" spans="1:11" x14ac:dyDescent="0.25">
      <c r="A8" s="13" t="s">
        <v>6</v>
      </c>
      <c r="B8" s="13">
        <v>30</v>
      </c>
      <c r="D8">
        <v>-2</v>
      </c>
      <c r="E8">
        <v>2</v>
      </c>
      <c r="H8">
        <f t="shared" si="0"/>
        <v>3</v>
      </c>
      <c r="I8">
        <f>[1]!ACF($D$2:$D$24,H8)</f>
        <v>-2.0743272980716117E-4</v>
      </c>
      <c r="J8">
        <f t="shared" ref="J8:J15" si="1">-K8</f>
        <v>-0.50381936213283207</v>
      </c>
      <c r="K8">
        <f>_xlfn.NORM.S.INV(1-$K$2/2)*SQRT((1+2*SUMSQ(I$6:I7))/COUNT($D$2:$D$24))</f>
        <v>0.50381936213283207</v>
      </c>
    </row>
    <row r="9" spans="1:11" x14ac:dyDescent="0.25">
      <c r="A9" s="13" t="s">
        <v>7</v>
      </c>
      <c r="B9" s="13">
        <v>28</v>
      </c>
      <c r="D9">
        <v>1</v>
      </c>
      <c r="E9">
        <v>3</v>
      </c>
      <c r="H9">
        <f t="shared" si="0"/>
        <v>4</v>
      </c>
      <c r="I9">
        <f>[1]!ACF($D$2:$D$24,H9)</f>
        <v>-0.24542834960516224</v>
      </c>
      <c r="J9">
        <f t="shared" si="1"/>
        <v>-0.50381937639705276</v>
      </c>
      <c r="K9">
        <f>_xlfn.NORM.S.INV(1-$K$2/2)*SQRT((1+2*SUMSQ(I$6:I8))/COUNT($D$2:$D$24))</f>
        <v>0.50381937639705276</v>
      </c>
    </row>
    <row r="10" spans="1:11" x14ac:dyDescent="0.25">
      <c r="A10" s="13" t="s">
        <v>8</v>
      </c>
      <c r="B10" s="13">
        <v>29</v>
      </c>
      <c r="D10">
        <v>12</v>
      </c>
      <c r="E10">
        <v>11</v>
      </c>
      <c r="H10">
        <f t="shared" si="0"/>
        <v>5</v>
      </c>
      <c r="I10">
        <f>[1]!ACF($D$2:$D$24,H10)</f>
        <v>-0.32178925055727003</v>
      </c>
      <c r="J10">
        <f t="shared" si="1"/>
        <v>-0.52340699483187192</v>
      </c>
      <c r="K10">
        <f>_xlfn.NORM.S.INV(1-$K$2/2)*SQRT((1+2*SUMSQ(I$6:I9))/COUNT($D$2:$D$24))</f>
        <v>0.52340699483187192</v>
      </c>
    </row>
    <row r="11" spans="1:11" x14ac:dyDescent="0.25">
      <c r="A11" s="13" t="s">
        <v>9</v>
      </c>
      <c r="B11" s="13">
        <v>41</v>
      </c>
      <c r="D11">
        <v>47</v>
      </c>
      <c r="E11">
        <v>35</v>
      </c>
      <c r="H11">
        <f t="shared" si="0"/>
        <v>6</v>
      </c>
      <c r="I11">
        <f>[1]!ACF($D$2:$D$24,H11)</f>
        <v>-0.29522308399614744</v>
      </c>
      <c r="J11">
        <f t="shared" si="1"/>
        <v>-0.55546750852383797</v>
      </c>
      <c r="K11">
        <f>_xlfn.NORM.S.INV(1-$K$2/2)*SQRT((1+2*SUMSQ(I$6:I10))/COUNT($D$2:$D$24))</f>
        <v>0.55546750852383797</v>
      </c>
    </row>
    <row r="12" spans="1:11" x14ac:dyDescent="0.25">
      <c r="A12" s="13" t="s">
        <v>10</v>
      </c>
      <c r="B12" s="13">
        <v>88</v>
      </c>
      <c r="D12">
        <v>111</v>
      </c>
      <c r="E12">
        <v>64</v>
      </c>
      <c r="H12">
        <f t="shared" si="0"/>
        <v>7</v>
      </c>
      <c r="I12">
        <f>[1]!ACF($D$2:$D$24,H12)</f>
        <v>-0.45065160522564079</v>
      </c>
      <c r="J12">
        <f t="shared" si="1"/>
        <v>-0.58108343455046363</v>
      </c>
      <c r="K12">
        <f>_xlfn.NORM.S.INV(1-$K$2/2)*SQRT((1+2*SUMSQ(I$6:I11))/COUNT($D$2:$D$24))</f>
        <v>0.58108343455046363</v>
      </c>
    </row>
    <row r="13" spans="1:11" x14ac:dyDescent="0.25">
      <c r="A13" s="13" t="s">
        <v>11</v>
      </c>
      <c r="B13" s="13">
        <v>199</v>
      </c>
      <c r="D13">
        <v>31</v>
      </c>
      <c r="E13">
        <v>-80</v>
      </c>
      <c r="H13">
        <f t="shared" si="0"/>
        <v>8</v>
      </c>
      <c r="I13">
        <f>[1]!ACF($D$2:$D$24,H13)</f>
        <v>-0.29687073575350792</v>
      </c>
      <c r="J13">
        <f t="shared" si="1"/>
        <v>-0.63678652223582055</v>
      </c>
      <c r="K13">
        <f>_xlfn.NORM.S.INV(1-$K$2/2)*SQRT((1+2*SUMSQ(I$6:I12))/COUNT($D$2:$D$24))</f>
        <v>0.63678652223582055</v>
      </c>
    </row>
    <row r="14" spans="1:11" x14ac:dyDescent="0.25">
      <c r="A14" s="13" t="s">
        <v>0</v>
      </c>
      <c r="B14" s="13">
        <v>230</v>
      </c>
      <c r="D14">
        <v>15</v>
      </c>
      <c r="E14">
        <v>-16</v>
      </c>
      <c r="H14">
        <f t="shared" si="0"/>
        <v>9</v>
      </c>
      <c r="I14">
        <f>[1]!ACF($D$2:$D$24,H14)</f>
        <v>-0.12844047879115966</v>
      </c>
      <c r="J14">
        <f t="shared" si="1"/>
        <v>-0.65949735194628945</v>
      </c>
      <c r="K14">
        <f>_xlfn.NORM.S.INV(1-$K$2/2)*SQRT((1+2*SUMSQ(I$6:I13))/COUNT($D$2:$D$24))</f>
        <v>0.65949735194628945</v>
      </c>
    </row>
    <row r="15" spans="1:11" x14ac:dyDescent="0.25">
      <c r="A15" s="13" t="s">
        <v>1</v>
      </c>
      <c r="B15" s="13">
        <v>245</v>
      </c>
      <c r="D15">
        <v>2</v>
      </c>
      <c r="E15">
        <v>-13</v>
      </c>
      <c r="H15" s="11">
        <f t="shared" si="0"/>
        <v>10</v>
      </c>
      <c r="I15" s="11">
        <f>[1]!ACF($D$2:$D$24,H15)</f>
        <v>4.4609527012069848E-2</v>
      </c>
      <c r="J15" s="11">
        <f t="shared" si="1"/>
        <v>-0.66366211200614611</v>
      </c>
      <c r="K15" s="11">
        <f>_xlfn.NORM.S.INV(1-$K$2/2)*SQRT((1+2*SUMSQ(I$6:I14))/COUNT($D$2:$D$24))</f>
        <v>0.66366211200614611</v>
      </c>
    </row>
    <row r="16" spans="1:11" x14ac:dyDescent="0.25">
      <c r="A16" s="13" t="s">
        <v>2</v>
      </c>
      <c r="B16" s="13">
        <v>247</v>
      </c>
      <c r="D16">
        <v>-112</v>
      </c>
      <c r="E16">
        <v>-114</v>
      </c>
    </row>
    <row r="17" spans="1:11" x14ac:dyDescent="0.25">
      <c r="A17" s="13" t="s">
        <v>3</v>
      </c>
      <c r="B17" s="13">
        <v>135</v>
      </c>
      <c r="D17">
        <v>-101</v>
      </c>
      <c r="E17">
        <v>11</v>
      </c>
    </row>
    <row r="18" spans="1:11" x14ac:dyDescent="0.25">
      <c r="A18" s="13" t="s">
        <v>4</v>
      </c>
      <c r="B18" s="13">
        <v>34</v>
      </c>
      <c r="D18">
        <v>-1</v>
      </c>
      <c r="E18">
        <v>100</v>
      </c>
    </row>
    <row r="19" spans="1:11" x14ac:dyDescent="0.25">
      <c r="A19" s="13" t="s">
        <v>5</v>
      </c>
      <c r="B19" s="13">
        <v>33</v>
      </c>
      <c r="D19">
        <v>-6</v>
      </c>
      <c r="E19">
        <v>-5</v>
      </c>
      <c r="H19" t="s">
        <v>28</v>
      </c>
      <c r="J19" t="s">
        <v>30</v>
      </c>
      <c r="K19" s="8">
        <v>0.05</v>
      </c>
    </row>
    <row r="20" spans="1:11" x14ac:dyDescent="0.25">
      <c r="A20" s="13" t="s">
        <v>6</v>
      </c>
      <c r="B20" s="13">
        <v>27</v>
      </c>
      <c r="D20">
        <v>-1</v>
      </c>
      <c r="E20">
        <v>5</v>
      </c>
    </row>
    <row r="21" spans="1:11" x14ac:dyDescent="0.25">
      <c r="A21" s="13" t="s">
        <v>7</v>
      </c>
      <c r="B21" s="13">
        <v>26</v>
      </c>
      <c r="D21">
        <v>2</v>
      </c>
      <c r="E21">
        <v>3</v>
      </c>
      <c r="H21" s="10" t="s">
        <v>31</v>
      </c>
      <c r="I21" s="10" t="s">
        <v>34</v>
      </c>
      <c r="J21" s="10" t="s">
        <v>32</v>
      </c>
      <c r="K21" s="10" t="s">
        <v>33</v>
      </c>
    </row>
    <row r="22" spans="1:11" x14ac:dyDescent="0.25">
      <c r="A22" s="13" t="s">
        <v>8</v>
      </c>
      <c r="B22" s="13">
        <v>28</v>
      </c>
      <c r="D22">
        <v>11</v>
      </c>
      <c r="E22">
        <v>9</v>
      </c>
      <c r="H22">
        <v>0</v>
      </c>
      <c r="I22">
        <f>[1]!PACF($D$2:$D$24,H22)</f>
        <v>1</v>
      </c>
    </row>
    <row r="23" spans="1:11" x14ac:dyDescent="0.25">
      <c r="A23" s="13" t="s">
        <v>9</v>
      </c>
      <c r="B23" s="13">
        <v>39</v>
      </c>
      <c r="D23">
        <v>47</v>
      </c>
      <c r="E23">
        <v>36</v>
      </c>
      <c r="H23">
        <f>H22+1</f>
        <v>1</v>
      </c>
      <c r="I23">
        <f>[1]!PACF($D$2:$D$24,H23)</f>
        <v>0.47801832656968629</v>
      </c>
      <c r="J23">
        <f>-K23</f>
        <v>-0.40868074180933883</v>
      </c>
      <c r="K23">
        <f>_xlfn.NORM.S.INV(1-$K$19/2)/SQRT(COUNT(D2:D24))</f>
        <v>0.40868074180933883</v>
      </c>
    </row>
    <row r="24" spans="1:11" x14ac:dyDescent="0.25">
      <c r="A24" s="13" t="s">
        <v>10</v>
      </c>
      <c r="B24" s="13">
        <v>86</v>
      </c>
      <c r="D24">
        <v>102</v>
      </c>
      <c r="E24">
        <v>55</v>
      </c>
      <c r="H24">
        <f t="shared" ref="H24:H32" si="2">H23+1</f>
        <v>2</v>
      </c>
      <c r="I24">
        <f>[1]!PACF($D$2:$D$24,H24)</f>
        <v>-6.6533425213329167E-2</v>
      </c>
      <c r="J24">
        <f>J23</f>
        <v>-0.40868074180933883</v>
      </c>
      <c r="K24">
        <f>K23</f>
        <v>0.40868074180933883</v>
      </c>
    </row>
    <row r="25" spans="1:11" x14ac:dyDescent="0.25">
      <c r="A25" s="13" t="s">
        <v>11</v>
      </c>
      <c r="B25" s="13">
        <v>188</v>
      </c>
      <c r="H25">
        <f t="shared" si="2"/>
        <v>3</v>
      </c>
      <c r="I25">
        <f>[1]!PACF($D$2:$D$24,H25)</f>
        <v>-7.6461818771698248E-2</v>
      </c>
      <c r="J25">
        <f t="shared" ref="J25:J32" si="3">J24</f>
        <v>-0.40868074180933883</v>
      </c>
      <c r="K25">
        <f t="shared" ref="K25:K32" si="4">K24</f>
        <v>0.40868074180933883</v>
      </c>
    </row>
    <row r="26" spans="1:11" x14ac:dyDescent="0.25">
      <c r="H26">
        <f t="shared" si="2"/>
        <v>4</v>
      </c>
      <c r="I26">
        <f>[1]!PACF($D$2:$D$24,H26)</f>
        <v>-0.26701690687124091</v>
      </c>
      <c r="J26">
        <f t="shared" si="3"/>
        <v>-0.40868074180933883</v>
      </c>
      <c r="K26">
        <f t="shared" si="4"/>
        <v>0.40868074180933883</v>
      </c>
    </row>
    <row r="27" spans="1:11" x14ac:dyDescent="0.25">
      <c r="H27">
        <f t="shared" si="2"/>
        <v>5</v>
      </c>
      <c r="I27">
        <f>[1]!PACF($D$2:$D$24,H27)</f>
        <v>-0.12074032790064809</v>
      </c>
      <c r="J27">
        <f t="shared" si="3"/>
        <v>-0.40868074180933883</v>
      </c>
      <c r="K27">
        <f t="shared" si="4"/>
        <v>0.40868074180933883</v>
      </c>
    </row>
    <row r="28" spans="1:11" x14ac:dyDescent="0.25">
      <c r="H28">
        <f t="shared" si="2"/>
        <v>6</v>
      </c>
      <c r="I28">
        <f>[1]!PACF($D$2:$D$24,H28)</f>
        <v>-8.8598754388122203E-2</v>
      </c>
      <c r="J28">
        <f t="shared" si="3"/>
        <v>-0.40868074180933883</v>
      </c>
      <c r="K28">
        <f t="shared" si="4"/>
        <v>0.40868074180933883</v>
      </c>
    </row>
    <row r="29" spans="1:11" x14ac:dyDescent="0.25">
      <c r="H29">
        <f t="shared" si="2"/>
        <v>7</v>
      </c>
      <c r="I29">
        <f>[1]!PACF($D$2:$D$24,H29)</f>
        <v>-0.38106459913864371</v>
      </c>
      <c r="J29">
        <f t="shared" si="3"/>
        <v>-0.40868074180933883</v>
      </c>
      <c r="K29">
        <f t="shared" si="4"/>
        <v>0.40868074180933883</v>
      </c>
    </row>
    <row r="30" spans="1:11" x14ac:dyDescent="0.25">
      <c r="H30">
        <f t="shared" si="2"/>
        <v>8</v>
      </c>
      <c r="I30">
        <f>[1]!PACF($D$2:$D$24,H30)</f>
        <v>-3.5614131622694056E-2</v>
      </c>
      <c r="J30">
        <f t="shared" si="3"/>
        <v>-0.40868074180933883</v>
      </c>
      <c r="K30">
        <f t="shared" si="4"/>
        <v>0.40868074180933883</v>
      </c>
    </row>
    <row r="31" spans="1:11" x14ac:dyDescent="0.25">
      <c r="H31">
        <f t="shared" si="2"/>
        <v>9</v>
      </c>
      <c r="I31">
        <f>[1]!PACF($D$2:$D$24,H31)</f>
        <v>-9.7134288437482966E-2</v>
      </c>
      <c r="J31">
        <f t="shared" si="3"/>
        <v>-0.40868074180933883</v>
      </c>
      <c r="K31">
        <f t="shared" si="4"/>
        <v>0.40868074180933883</v>
      </c>
    </row>
    <row r="32" spans="1:11" x14ac:dyDescent="0.25">
      <c r="H32" s="11">
        <f t="shared" si="2"/>
        <v>10</v>
      </c>
      <c r="I32" s="11">
        <f>[1]!PACF($D$2:$D$24,H32)</f>
        <v>3.3951503986449902E-2</v>
      </c>
      <c r="J32" s="11">
        <f t="shared" si="3"/>
        <v>-0.40868074180933883</v>
      </c>
      <c r="K32" s="11">
        <f t="shared" si="4"/>
        <v>0.40868074180933883</v>
      </c>
    </row>
    <row r="36" spans="8:36" x14ac:dyDescent="0.25">
      <c r="H36" t="s">
        <v>35</v>
      </c>
      <c r="L36" t="s">
        <v>39</v>
      </c>
      <c r="P36" t="s">
        <v>67</v>
      </c>
      <c r="T36" t="s">
        <v>59</v>
      </c>
      <c r="Z36" t="s">
        <v>74</v>
      </c>
      <c r="AH36" t="s">
        <v>77</v>
      </c>
    </row>
    <row r="37" spans="8:36" ht="13.8" thickBot="1" x14ac:dyDescent="0.3">
      <c r="AC37" t="s">
        <v>75</v>
      </c>
      <c r="AD37">
        <v>0.05</v>
      </c>
    </row>
    <row r="38" spans="8:36" ht="13.8" thickTop="1" x14ac:dyDescent="0.25">
      <c r="H38" s="14" t="s">
        <v>36</v>
      </c>
      <c r="I38" s="14" t="s">
        <v>37</v>
      </c>
      <c r="J38" s="14" t="s">
        <v>38</v>
      </c>
      <c r="L38" s="14" t="s">
        <v>40</v>
      </c>
      <c r="M38" s="14" t="s">
        <v>41</v>
      </c>
      <c r="N38" s="14" t="s">
        <v>42</v>
      </c>
      <c r="P38" s="14" t="s">
        <v>68</v>
      </c>
      <c r="Q38" s="14" t="s">
        <v>69</v>
      </c>
      <c r="R38" s="14" t="s">
        <v>70</v>
      </c>
      <c r="T38" s="14" t="s">
        <v>60</v>
      </c>
      <c r="U38" s="14" t="s">
        <v>61</v>
      </c>
      <c r="V38" s="14" t="s">
        <v>62</v>
      </c>
      <c r="W38" s="14" t="s">
        <v>63</v>
      </c>
      <c r="X38" s="14" t="s">
        <v>64</v>
      </c>
      <c r="Z38" s="14" t="s">
        <v>36</v>
      </c>
      <c r="AA38" s="14" t="s">
        <v>37</v>
      </c>
      <c r="AB38" s="14" t="s">
        <v>38</v>
      </c>
      <c r="AC38" s="14" t="s">
        <v>76</v>
      </c>
      <c r="AD38" s="14" t="s">
        <v>62</v>
      </c>
      <c r="AE38" s="14" t="s">
        <v>32</v>
      </c>
      <c r="AF38" s="14" t="s">
        <v>33</v>
      </c>
      <c r="AH38" s="14" t="s">
        <v>36</v>
      </c>
      <c r="AI38" s="14" t="s">
        <v>78</v>
      </c>
    </row>
    <row r="39" spans="8:36" x14ac:dyDescent="0.25">
      <c r="H39">
        <v>1</v>
      </c>
      <c r="I39">
        <f>B3-B2-N$40</f>
        <v>-20.929959764904304</v>
      </c>
      <c r="J39">
        <v>0</v>
      </c>
      <c r="L39" s="3">
        <v>1</v>
      </c>
      <c r="M39">
        <f>U40</f>
        <v>0.55698760281950821</v>
      </c>
      <c r="N39">
        <f>U41</f>
        <v>3.4697902413120145E-2</v>
      </c>
      <c r="P39" s="18">
        <f t="array" ref="P39:R39">[1]!ARRoots(M39)</f>
        <v>1.7953720961434934</v>
      </c>
      <c r="Q39" s="18">
        <v>0</v>
      </c>
      <c r="R39" s="18">
        <v>1.7953720961434934</v>
      </c>
      <c r="T39" t="s">
        <v>43</v>
      </c>
      <c r="U39">
        <f t="array" ref="U39:V41">[1]!ARIMA_Coeff(B2:B25,1,1,1,TRUE)</f>
        <v>2.1840332934536302</v>
      </c>
      <c r="V39">
        <v>11.062465802494975</v>
      </c>
      <c r="W39">
        <f>U39/V39</f>
        <v>0.19742734869842976</v>
      </c>
      <c r="X39">
        <f>_xlfn.T.DIST.2T(ABS(W39),N$52-N$44-N$45-1)</f>
        <v>0.8455898841451136</v>
      </c>
      <c r="Z39">
        <f>H39</f>
        <v>1</v>
      </c>
      <c r="AA39">
        <f>I39</f>
        <v>-20.929959764904304</v>
      </c>
      <c r="AB39">
        <f>J39</f>
        <v>0</v>
      </c>
      <c r="AC39">
        <f>AA39-AB39</f>
        <v>-20.929959764904304</v>
      </c>
      <c r="AD39">
        <f>N$49</f>
        <v>46.067539991827324</v>
      </c>
      <c r="AE39">
        <f>AC39-_xlfn.NORM.S.INV(1-AD$37/2)*AD39</f>
        <v>-111.22067900524445</v>
      </c>
      <c r="AF39">
        <f>AC39+_xlfn.NORM.S.INV(1-AD$37/2)*AD39</f>
        <v>69.360759475435856</v>
      </c>
      <c r="AH39">
        <v>1</v>
      </c>
      <c r="AI39">
        <f>B2</f>
        <v>244</v>
      </c>
      <c r="AJ39">
        <v>244</v>
      </c>
    </row>
    <row r="40" spans="8:36" x14ac:dyDescent="0.25">
      <c r="H40">
        <f>H39+1</f>
        <v>2</v>
      </c>
      <c r="I40">
        <f t="shared" ref="I40:I61" si="5">B4-B3-N$40</f>
        <v>-79.929959764904311</v>
      </c>
      <c r="J40">
        <f>I40-SUMPRODUCT(I39,M$39)-SUMPRODUCT(J39,N$39)</f>
        <v>-68.272231648341503</v>
      </c>
      <c r="L40" s="9" t="s">
        <v>43</v>
      </c>
      <c r="M40" s="11">
        <f>U39</f>
        <v>2.1840332934536302</v>
      </c>
      <c r="N40" s="11">
        <f>M40/(1-SUM(M39))</f>
        <v>4.9299597649043054</v>
      </c>
      <c r="T40" t="s">
        <v>65</v>
      </c>
      <c r="U40">
        <v>0.55698760281950821</v>
      </c>
      <c r="V40">
        <v>0.38555351204155608</v>
      </c>
      <c r="W40">
        <f t="shared" ref="W40:W41" si="6">U40/V40</f>
        <v>1.4446440907001112</v>
      </c>
      <c r="X40">
        <f t="shared" ref="X40:X41" si="7">_xlfn.T.DIST.2T(ABS(W40),N$52-N$44-N$45-1)</f>
        <v>0.16484815164280228</v>
      </c>
      <c r="Z40">
        <f t="shared" ref="Z40:Z61" si="8">H40</f>
        <v>2</v>
      </c>
      <c r="AA40">
        <f t="shared" ref="AA40:AA61" si="9">I40</f>
        <v>-79.929959764904311</v>
      </c>
      <c r="AB40">
        <f t="shared" ref="AB40:AB61" si="10">J40</f>
        <v>-68.272231648341503</v>
      </c>
      <c r="AC40">
        <f t="shared" ref="AC40:AC61" si="11">AA40-AB40</f>
        <v>-11.657728116562808</v>
      </c>
      <c r="AD40">
        <f t="shared" ref="AD40:AD61" si="12">N$49</f>
        <v>46.067539991827324</v>
      </c>
      <c r="AE40">
        <f t="shared" ref="AE40:AE61" si="13">AC40-_xlfn.NORM.S.INV(1-AD$37/2)*AD40</f>
        <v>-101.94844735690296</v>
      </c>
      <c r="AF40">
        <f t="shared" ref="AF40:AF61" si="14">AC40+_xlfn.NORM.S.INV(1-AD$37/2)*AD40</f>
        <v>78.632991123777344</v>
      </c>
      <c r="AH40">
        <f>AH39+1</f>
        <v>2</v>
      </c>
      <c r="AI40">
        <f>B3</f>
        <v>228</v>
      </c>
      <c r="AJ40">
        <f>AC40+AI40+N$40</f>
        <v>221.27223164834152</v>
      </c>
    </row>
    <row r="41" spans="8:36" x14ac:dyDescent="0.25">
      <c r="H41">
        <f t="shared" ref="H41:H61" si="15">H40+1</f>
        <v>3</v>
      </c>
      <c r="I41">
        <f t="shared" si="5"/>
        <v>-17.929959764904304</v>
      </c>
      <c r="J41">
        <f t="shared" ref="J41:J61" si="16">I41-SUMPRODUCT(I40,M$39)-SUMPRODUCT(J40,N$39)</f>
        <v>28.958940149269573</v>
      </c>
      <c r="P41" t="s">
        <v>71</v>
      </c>
      <c r="T41" s="11" t="s">
        <v>66</v>
      </c>
      <c r="U41" s="11">
        <v>3.4697902413120145E-2</v>
      </c>
      <c r="V41" s="11">
        <v>0.43130750056966866</v>
      </c>
      <c r="W41" s="11">
        <f t="shared" si="6"/>
        <v>8.0448177616413666E-2</v>
      </c>
      <c r="X41" s="11">
        <f t="shared" si="7"/>
        <v>0.93672215696188943</v>
      </c>
      <c r="Z41">
        <f t="shared" si="8"/>
        <v>3</v>
      </c>
      <c r="AA41">
        <f t="shared" si="9"/>
        <v>-17.929959764904304</v>
      </c>
      <c r="AB41">
        <f t="shared" si="10"/>
        <v>28.958940149269573</v>
      </c>
      <c r="AC41">
        <f t="shared" si="11"/>
        <v>-46.888899914173876</v>
      </c>
      <c r="AD41">
        <f t="shared" si="12"/>
        <v>46.067539991827324</v>
      </c>
      <c r="AE41">
        <f t="shared" si="13"/>
        <v>-137.17961915451403</v>
      </c>
      <c r="AF41">
        <f t="shared" si="14"/>
        <v>43.401819326166276</v>
      </c>
      <c r="AH41">
        <f t="shared" ref="AH41:AH72" si="17">AH40+1</f>
        <v>3</v>
      </c>
      <c r="AI41">
        <f t="shared" ref="AI41:AI62" si="18">B4</f>
        <v>153</v>
      </c>
      <c r="AJ41">
        <f t="shared" ref="AJ41:AJ62" si="19">AC41+AI41+N$40</f>
        <v>111.04105985073043</v>
      </c>
    </row>
    <row r="42" spans="8:36" ht="13.8" thickBot="1" x14ac:dyDescent="0.3">
      <c r="H42">
        <f t="shared" si="15"/>
        <v>4</v>
      </c>
      <c r="I42">
        <f t="shared" si="5"/>
        <v>-89.929959764904311</v>
      </c>
      <c r="J42">
        <f t="shared" si="16"/>
        <v>-80.948008936086765</v>
      </c>
      <c r="M42" t="s">
        <v>44</v>
      </c>
      <c r="N42" s="8">
        <f>SUMSQ(J40:J61)</f>
        <v>46688.801299769417</v>
      </c>
      <c r="Z42">
        <f t="shared" si="8"/>
        <v>4</v>
      </c>
      <c r="AA42">
        <f t="shared" si="9"/>
        <v>-89.929959764904311</v>
      </c>
      <c r="AB42">
        <f t="shared" si="10"/>
        <v>-80.948008936086765</v>
      </c>
      <c r="AC42">
        <f t="shared" si="11"/>
        <v>-8.9819508288175456</v>
      </c>
      <c r="AD42">
        <f t="shared" si="12"/>
        <v>46.067539991827324</v>
      </c>
      <c r="AE42">
        <f t="shared" si="13"/>
        <v>-99.272670069157698</v>
      </c>
      <c r="AF42">
        <f t="shared" si="14"/>
        <v>81.308768411522607</v>
      </c>
      <c r="AH42">
        <f t="shared" si="17"/>
        <v>4</v>
      </c>
      <c r="AI42">
        <f t="shared" si="18"/>
        <v>140</v>
      </c>
      <c r="AJ42">
        <f t="shared" si="19"/>
        <v>135.94800893608675</v>
      </c>
    </row>
    <row r="43" spans="8:36" ht="13.8" thickTop="1" x14ac:dyDescent="0.25">
      <c r="H43">
        <f t="shared" si="15"/>
        <v>5</v>
      </c>
      <c r="I43">
        <f t="shared" si="5"/>
        <v>-25.929959764904304</v>
      </c>
      <c r="J43">
        <f t="shared" si="16"/>
        <v>26.968639060805287</v>
      </c>
      <c r="P43" s="14" t="s">
        <v>68</v>
      </c>
      <c r="Q43" s="14" t="s">
        <v>69</v>
      </c>
      <c r="R43" s="14" t="s">
        <v>70</v>
      </c>
      <c r="Z43">
        <f t="shared" si="8"/>
        <v>5</v>
      </c>
      <c r="AA43">
        <f t="shared" si="9"/>
        <v>-25.929959764904304</v>
      </c>
      <c r="AB43">
        <f t="shared" si="10"/>
        <v>26.968639060805287</v>
      </c>
      <c r="AC43">
        <f t="shared" si="11"/>
        <v>-52.898598825709591</v>
      </c>
      <c r="AD43">
        <f t="shared" si="12"/>
        <v>46.067539991827324</v>
      </c>
      <c r="AE43">
        <f t="shared" si="13"/>
        <v>-143.18931806604974</v>
      </c>
      <c r="AF43">
        <f t="shared" si="14"/>
        <v>37.392120414630561</v>
      </c>
      <c r="AH43">
        <f t="shared" si="17"/>
        <v>5</v>
      </c>
      <c r="AI43">
        <f t="shared" si="18"/>
        <v>55</v>
      </c>
      <c r="AJ43">
        <f t="shared" si="19"/>
        <v>7.0313609391947143</v>
      </c>
    </row>
    <row r="44" spans="8:36" x14ac:dyDescent="0.25">
      <c r="H44">
        <f t="shared" si="15"/>
        <v>6</v>
      </c>
      <c r="I44">
        <f t="shared" si="5"/>
        <v>-8.9299597649043054</v>
      </c>
      <c r="J44">
        <f t="shared" si="16"/>
        <v>4.5769511594095604</v>
      </c>
      <c r="M44" t="s">
        <v>45</v>
      </c>
      <c r="N44" s="15">
        <v>1</v>
      </c>
      <c r="P44" s="18">
        <f t="array" ref="P44:R44">[1]!MARoots(N39)</f>
        <v>-28.82018596092065</v>
      </c>
      <c r="Q44" s="18">
        <v>0</v>
      </c>
      <c r="R44" s="18">
        <v>28.82018596092065</v>
      </c>
      <c r="Z44">
        <f t="shared" si="8"/>
        <v>6</v>
      </c>
      <c r="AA44">
        <f t="shared" si="9"/>
        <v>-8.9299597649043054</v>
      </c>
      <c r="AB44">
        <f t="shared" si="10"/>
        <v>4.5769511594095604</v>
      </c>
      <c r="AC44">
        <f t="shared" si="11"/>
        <v>-13.506910924313866</v>
      </c>
      <c r="AD44">
        <f t="shared" si="12"/>
        <v>46.067539991827324</v>
      </c>
      <c r="AE44">
        <f t="shared" si="13"/>
        <v>-103.79763016465402</v>
      </c>
      <c r="AF44">
        <f t="shared" si="14"/>
        <v>76.783808316026281</v>
      </c>
      <c r="AH44">
        <f t="shared" si="17"/>
        <v>6</v>
      </c>
      <c r="AI44">
        <f t="shared" si="18"/>
        <v>34</v>
      </c>
      <c r="AJ44">
        <f t="shared" si="19"/>
        <v>25.42304884059044</v>
      </c>
    </row>
    <row r="45" spans="8:36" x14ac:dyDescent="0.25">
      <c r="H45">
        <f t="shared" si="15"/>
        <v>7</v>
      </c>
      <c r="I45">
        <f t="shared" si="5"/>
        <v>-6.9299597649043054</v>
      </c>
      <c r="J45">
        <f t="shared" si="16"/>
        <v>-2.1148934868544069</v>
      </c>
      <c r="M45" t="s">
        <v>46</v>
      </c>
      <c r="N45" s="16">
        <v>1</v>
      </c>
      <c r="Z45">
        <f t="shared" si="8"/>
        <v>7</v>
      </c>
      <c r="AA45">
        <f t="shared" si="9"/>
        <v>-6.9299597649043054</v>
      </c>
      <c r="AB45">
        <f t="shared" si="10"/>
        <v>-2.1148934868544069</v>
      </c>
      <c r="AC45">
        <f t="shared" si="11"/>
        <v>-4.8150662780498985</v>
      </c>
      <c r="AD45">
        <f t="shared" si="12"/>
        <v>46.067539991827324</v>
      </c>
      <c r="AE45">
        <f t="shared" si="13"/>
        <v>-95.10578551839005</v>
      </c>
      <c r="AF45">
        <f t="shared" si="14"/>
        <v>85.475652962290255</v>
      </c>
      <c r="AH45">
        <f t="shared" si="17"/>
        <v>7</v>
      </c>
      <c r="AI45">
        <f t="shared" si="18"/>
        <v>30</v>
      </c>
      <c r="AJ45">
        <f t="shared" si="19"/>
        <v>30.114893486854406</v>
      </c>
    </row>
    <row r="46" spans="8:36" x14ac:dyDescent="0.25">
      <c r="H46">
        <f t="shared" si="15"/>
        <v>8</v>
      </c>
      <c r="I46">
        <f t="shared" si="5"/>
        <v>-3.9299597649043054</v>
      </c>
      <c r="J46">
        <f t="shared" si="16"/>
        <v>3.3242800064038486E-3</v>
      </c>
      <c r="M46" t="s">
        <v>47</v>
      </c>
      <c r="N46" s="16">
        <v>1</v>
      </c>
      <c r="P46" t="s">
        <v>72</v>
      </c>
      <c r="Z46">
        <f t="shared" si="8"/>
        <v>8</v>
      </c>
      <c r="AA46">
        <f t="shared" si="9"/>
        <v>-3.9299597649043054</v>
      </c>
      <c r="AB46">
        <f t="shared" si="10"/>
        <v>3.3242800064038486E-3</v>
      </c>
      <c r="AC46">
        <f t="shared" si="11"/>
        <v>-3.9332840449107094</v>
      </c>
      <c r="AD46">
        <f t="shared" si="12"/>
        <v>46.067539991827324</v>
      </c>
      <c r="AE46">
        <f t="shared" si="13"/>
        <v>-94.224003285250859</v>
      </c>
      <c r="AF46">
        <f t="shared" si="14"/>
        <v>86.357435195429446</v>
      </c>
      <c r="AH46">
        <f t="shared" si="17"/>
        <v>8</v>
      </c>
      <c r="AI46">
        <f t="shared" si="18"/>
        <v>28</v>
      </c>
      <c r="AJ46">
        <f t="shared" si="19"/>
        <v>28.996675719993597</v>
      </c>
    </row>
    <row r="47" spans="8:36" ht="13.8" thickBot="1" x14ac:dyDescent="0.3">
      <c r="H47">
        <f t="shared" si="15"/>
        <v>9</v>
      </c>
      <c r="I47">
        <f t="shared" si="5"/>
        <v>7.0700402350956946</v>
      </c>
      <c r="J47">
        <f t="shared" si="16"/>
        <v>9.2588637581836064</v>
      </c>
      <c r="M47" t="s">
        <v>48</v>
      </c>
      <c r="N47" s="16">
        <f>AVERAGE(J40:J61)</f>
        <v>0.10824938218319215</v>
      </c>
      <c r="Z47">
        <f t="shared" si="8"/>
        <v>9</v>
      </c>
      <c r="AA47">
        <f t="shared" si="9"/>
        <v>7.0700402350956946</v>
      </c>
      <c r="AB47">
        <f t="shared" si="10"/>
        <v>9.2588637581836064</v>
      </c>
      <c r="AC47">
        <f t="shared" si="11"/>
        <v>-2.1888235230879118</v>
      </c>
      <c r="AD47">
        <f t="shared" si="12"/>
        <v>46.067539991827324</v>
      </c>
      <c r="AE47">
        <f t="shared" si="13"/>
        <v>-92.479542763428071</v>
      </c>
      <c r="AF47">
        <f t="shared" si="14"/>
        <v>88.101895717252233</v>
      </c>
      <c r="AH47">
        <f t="shared" si="17"/>
        <v>9</v>
      </c>
      <c r="AI47">
        <f t="shared" si="18"/>
        <v>29</v>
      </c>
      <c r="AJ47">
        <f t="shared" si="19"/>
        <v>31.741136241816392</v>
      </c>
    </row>
    <row r="48" spans="8:36" ht="13.8" thickTop="1" x14ac:dyDescent="0.25">
      <c r="H48">
        <f t="shared" si="15"/>
        <v>10</v>
      </c>
      <c r="I48">
        <f t="shared" si="5"/>
        <v>42.070040235095696</v>
      </c>
      <c r="J48">
        <f t="shared" si="16"/>
        <v>37.810852321574444</v>
      </c>
      <c r="M48" t="s">
        <v>49</v>
      </c>
      <c r="N48" s="16">
        <f>_xlfn.STDEV.S(J40:J61)</f>
        <v>47.151500256562592</v>
      </c>
      <c r="P48" s="14" t="s">
        <v>40</v>
      </c>
      <c r="Q48" s="14" t="s">
        <v>73</v>
      </c>
      <c r="Z48">
        <f t="shared" si="8"/>
        <v>10</v>
      </c>
      <c r="AA48">
        <f t="shared" si="9"/>
        <v>42.070040235095696</v>
      </c>
      <c r="AB48">
        <f t="shared" si="10"/>
        <v>37.810852321574444</v>
      </c>
      <c r="AC48">
        <f t="shared" si="11"/>
        <v>4.2591879135212523</v>
      </c>
      <c r="AD48">
        <f t="shared" si="12"/>
        <v>46.067539991827324</v>
      </c>
      <c r="AE48">
        <f t="shared" si="13"/>
        <v>-86.031531326818907</v>
      </c>
      <c r="AF48">
        <f t="shared" si="14"/>
        <v>94.549907153861398</v>
      </c>
      <c r="AH48">
        <f t="shared" si="17"/>
        <v>10</v>
      </c>
      <c r="AI48">
        <f t="shared" si="18"/>
        <v>41</v>
      </c>
      <c r="AJ48">
        <f t="shared" si="19"/>
        <v>50.189147678425556</v>
      </c>
    </row>
    <row r="49" spans="8:36" x14ac:dyDescent="0.25">
      <c r="H49">
        <f t="shared" si="15"/>
        <v>11</v>
      </c>
      <c r="I49">
        <f t="shared" si="5"/>
        <v>106.07004023509569</v>
      </c>
      <c r="J49">
        <f t="shared" si="16"/>
        <v>81.32559211001859</v>
      </c>
      <c r="M49" t="s">
        <v>50</v>
      </c>
      <c r="N49" s="16">
        <f>SQRT(N42/N52)</f>
        <v>46.067539991827324</v>
      </c>
      <c r="P49" s="19">
        <v>0</v>
      </c>
      <c r="Q49" s="19">
        <f t="array" ref="Q49:Q58">[1]!PSICoeff(M39,N39)</f>
        <v>1</v>
      </c>
      <c r="Z49">
        <f t="shared" si="8"/>
        <v>11</v>
      </c>
      <c r="AA49">
        <f t="shared" si="9"/>
        <v>106.07004023509569</v>
      </c>
      <c r="AB49">
        <f t="shared" si="10"/>
        <v>81.32559211001859</v>
      </c>
      <c r="AC49">
        <f t="shared" si="11"/>
        <v>24.744448125077099</v>
      </c>
      <c r="AD49">
        <f t="shared" si="12"/>
        <v>46.067539991827324</v>
      </c>
      <c r="AE49">
        <f t="shared" si="13"/>
        <v>-65.546271115263053</v>
      </c>
      <c r="AF49">
        <f t="shared" si="14"/>
        <v>115.03516736541725</v>
      </c>
      <c r="AH49">
        <f t="shared" si="17"/>
        <v>11</v>
      </c>
      <c r="AI49">
        <f t="shared" si="18"/>
        <v>88</v>
      </c>
      <c r="AJ49">
        <f t="shared" si="19"/>
        <v>117.67440788998141</v>
      </c>
    </row>
    <row r="50" spans="8:36" x14ac:dyDescent="0.25">
      <c r="H50">
        <f t="shared" si="15"/>
        <v>12</v>
      </c>
      <c r="I50">
        <f t="shared" si="5"/>
        <v>26.070040235095696</v>
      </c>
      <c r="J50">
        <f t="shared" si="16"/>
        <v>-35.831484665141673</v>
      </c>
      <c r="M50" t="s">
        <v>51</v>
      </c>
      <c r="N50" s="16">
        <f>AVERAGE(I40:I61)</f>
        <v>-6.7481415830861291</v>
      </c>
      <c r="P50">
        <f>P49+1</f>
        <v>1</v>
      </c>
      <c r="Q50">
        <v>0.59168550523262831</v>
      </c>
      <c r="Z50">
        <f t="shared" si="8"/>
        <v>12</v>
      </c>
      <c r="AA50">
        <f t="shared" si="9"/>
        <v>26.070040235095696</v>
      </c>
      <c r="AB50">
        <f t="shared" si="10"/>
        <v>-35.831484665141673</v>
      </c>
      <c r="AC50">
        <f t="shared" si="11"/>
        <v>61.901524900237369</v>
      </c>
      <c r="AD50">
        <f t="shared" si="12"/>
        <v>46.067539991827324</v>
      </c>
      <c r="AE50">
        <f t="shared" si="13"/>
        <v>-28.389194340102783</v>
      </c>
      <c r="AF50">
        <f t="shared" si="14"/>
        <v>152.19224414057751</v>
      </c>
      <c r="AH50">
        <f t="shared" si="17"/>
        <v>12</v>
      </c>
      <c r="AI50">
        <f t="shared" si="18"/>
        <v>199</v>
      </c>
      <c r="AJ50">
        <f t="shared" si="19"/>
        <v>265.83148466514166</v>
      </c>
    </row>
    <row r="51" spans="8:36" x14ac:dyDescent="0.25">
      <c r="H51">
        <f t="shared" si="15"/>
        <v>13</v>
      </c>
      <c r="I51">
        <f t="shared" si="5"/>
        <v>10.070040235095695</v>
      </c>
      <c r="J51">
        <f t="shared" si="16"/>
        <v>-3.207371622630089</v>
      </c>
      <c r="M51" t="s">
        <v>52</v>
      </c>
      <c r="N51" s="16">
        <f>_xlfn.STDEV.S(I40:I61)</f>
        <v>55.546322465073594</v>
      </c>
      <c r="P51">
        <f t="shared" ref="P51:P58" si="20">P50+1</f>
        <v>2</v>
      </c>
      <c r="Q51">
        <v>0.32956149118257122</v>
      </c>
      <c r="Z51">
        <f t="shared" si="8"/>
        <v>13</v>
      </c>
      <c r="AA51">
        <f t="shared" si="9"/>
        <v>10.070040235095695</v>
      </c>
      <c r="AB51">
        <f t="shared" si="10"/>
        <v>-3.207371622630089</v>
      </c>
      <c r="AC51">
        <f t="shared" si="11"/>
        <v>13.277411857725784</v>
      </c>
      <c r="AD51">
        <f t="shared" si="12"/>
        <v>46.067539991827324</v>
      </c>
      <c r="AE51">
        <f t="shared" si="13"/>
        <v>-77.013307382614371</v>
      </c>
      <c r="AF51">
        <f t="shared" si="14"/>
        <v>103.56813109806593</v>
      </c>
      <c r="AH51">
        <f t="shared" si="17"/>
        <v>13</v>
      </c>
      <c r="AI51">
        <f t="shared" si="18"/>
        <v>230</v>
      </c>
      <c r="AJ51">
        <f t="shared" si="19"/>
        <v>248.20737162263009</v>
      </c>
    </row>
    <row r="52" spans="8:36" x14ac:dyDescent="0.25">
      <c r="H52">
        <f t="shared" si="15"/>
        <v>14</v>
      </c>
      <c r="I52">
        <f t="shared" si="5"/>
        <v>-2.9299597649043054</v>
      </c>
      <c r="J52">
        <f t="shared" si="16"/>
        <v>-8.4275582681816239</v>
      </c>
      <c r="M52" t="s">
        <v>53</v>
      </c>
      <c r="N52" s="17">
        <f>COUNT(I40:I61)</f>
        <v>22</v>
      </c>
      <c r="P52">
        <f t="shared" si="20"/>
        <v>3</v>
      </c>
      <c r="Q52">
        <v>0.18356166495540285</v>
      </c>
      <c r="Z52">
        <f t="shared" si="8"/>
        <v>14</v>
      </c>
      <c r="AA52">
        <f t="shared" si="9"/>
        <v>-2.9299597649043054</v>
      </c>
      <c r="AB52">
        <f t="shared" si="10"/>
        <v>-8.4275582681816239</v>
      </c>
      <c r="AC52">
        <f t="shared" si="11"/>
        <v>5.4975985032773185</v>
      </c>
      <c r="AD52">
        <f t="shared" si="12"/>
        <v>46.067539991827324</v>
      </c>
      <c r="AE52">
        <f t="shared" si="13"/>
        <v>-84.793120737062836</v>
      </c>
      <c r="AF52">
        <f t="shared" si="14"/>
        <v>95.788317743617469</v>
      </c>
      <c r="AH52">
        <f t="shared" si="17"/>
        <v>14</v>
      </c>
      <c r="AI52">
        <f t="shared" si="18"/>
        <v>245</v>
      </c>
      <c r="AJ52">
        <f t="shared" si="19"/>
        <v>255.42755826818163</v>
      </c>
    </row>
    <row r="53" spans="8:36" x14ac:dyDescent="0.25">
      <c r="H53">
        <f t="shared" si="15"/>
        <v>15</v>
      </c>
      <c r="I53">
        <f t="shared" si="5"/>
        <v>-116.92995976490431</v>
      </c>
      <c r="J53">
        <f t="shared" si="16"/>
        <v>-115.0055899047224</v>
      </c>
      <c r="P53">
        <f t="shared" si="20"/>
        <v>4</v>
      </c>
      <c r="Q53">
        <v>0.10224157173306757</v>
      </c>
      <c r="Z53">
        <f t="shared" si="8"/>
        <v>15</v>
      </c>
      <c r="AA53">
        <f t="shared" si="9"/>
        <v>-116.92995976490431</v>
      </c>
      <c r="AB53">
        <f t="shared" si="10"/>
        <v>-115.0055899047224</v>
      </c>
      <c r="AC53">
        <f t="shared" si="11"/>
        <v>-1.9243698601819119</v>
      </c>
      <c r="AD53">
        <f t="shared" si="12"/>
        <v>46.067539991827324</v>
      </c>
      <c r="AE53">
        <f t="shared" si="13"/>
        <v>-92.215089100522064</v>
      </c>
      <c r="AF53">
        <f t="shared" si="14"/>
        <v>88.36634938015824</v>
      </c>
      <c r="AH53">
        <f t="shared" si="17"/>
        <v>15</v>
      </c>
      <c r="AI53">
        <f t="shared" si="18"/>
        <v>247</v>
      </c>
      <c r="AJ53">
        <f t="shared" si="19"/>
        <v>250.0055899047224</v>
      </c>
    </row>
    <row r="54" spans="8:36" x14ac:dyDescent="0.25">
      <c r="H54">
        <f t="shared" si="15"/>
        <v>16</v>
      </c>
      <c r="I54">
        <f t="shared" si="5"/>
        <v>-105.92995976490431</v>
      </c>
      <c r="J54">
        <f t="shared" si="16"/>
        <v>-36.810969042191331</v>
      </c>
      <c r="M54" t="s">
        <v>54</v>
      </c>
      <c r="N54" s="15">
        <f>-(N57-2*(N44+N45+2))/2</f>
        <v>-115.47903649798698</v>
      </c>
      <c r="P54">
        <f t="shared" si="20"/>
        <v>5</v>
      </c>
      <c r="Q54">
        <v>5.6947287948100098E-2</v>
      </c>
      <c r="Z54">
        <f t="shared" si="8"/>
        <v>16</v>
      </c>
      <c r="AA54">
        <f t="shared" si="9"/>
        <v>-105.92995976490431</v>
      </c>
      <c r="AB54">
        <f t="shared" si="10"/>
        <v>-36.810969042191331</v>
      </c>
      <c r="AC54">
        <f t="shared" si="11"/>
        <v>-69.118990722712979</v>
      </c>
      <c r="AD54">
        <f t="shared" si="12"/>
        <v>46.067539991827324</v>
      </c>
      <c r="AE54">
        <f t="shared" si="13"/>
        <v>-159.40970996305313</v>
      </c>
      <c r="AF54">
        <f t="shared" si="14"/>
        <v>21.171728517627173</v>
      </c>
      <c r="AH54">
        <f t="shared" si="17"/>
        <v>16</v>
      </c>
      <c r="AI54">
        <f t="shared" si="18"/>
        <v>135</v>
      </c>
      <c r="AJ54">
        <f t="shared" si="19"/>
        <v>70.810969042191331</v>
      </c>
    </row>
    <row r="55" spans="8:36" x14ac:dyDescent="0.25">
      <c r="H55">
        <f t="shared" si="15"/>
        <v>17</v>
      </c>
      <c r="I55">
        <f t="shared" si="5"/>
        <v>-5.9299597649043054</v>
      </c>
      <c r="J55">
        <f t="shared" si="16"/>
        <v>54.34897800287505</v>
      </c>
      <c r="M55" t="s">
        <v>55</v>
      </c>
      <c r="N55" s="16">
        <f>N52*LN(N42/N52)+2*(N44+N45+2)</f>
        <v>176.52477753496836</v>
      </c>
      <c r="P55">
        <f t="shared" si="20"/>
        <v>6</v>
      </c>
      <c r="Q55">
        <v>3.1718933401284545E-2</v>
      </c>
      <c r="Z55">
        <f t="shared" si="8"/>
        <v>17</v>
      </c>
      <c r="AA55">
        <f t="shared" si="9"/>
        <v>-5.9299597649043054</v>
      </c>
      <c r="AB55">
        <f t="shared" si="10"/>
        <v>54.34897800287505</v>
      </c>
      <c r="AC55">
        <f t="shared" si="11"/>
        <v>-60.278937767779354</v>
      </c>
      <c r="AD55">
        <f t="shared" si="12"/>
        <v>46.067539991827324</v>
      </c>
      <c r="AE55">
        <f t="shared" si="13"/>
        <v>-150.56965700811952</v>
      </c>
      <c r="AF55">
        <f t="shared" si="14"/>
        <v>30.011781472560799</v>
      </c>
      <c r="AH55">
        <f t="shared" si="17"/>
        <v>17</v>
      </c>
      <c r="AI55">
        <f t="shared" si="18"/>
        <v>34</v>
      </c>
      <c r="AJ55">
        <f t="shared" si="19"/>
        <v>-21.34897800287505</v>
      </c>
    </row>
    <row r="56" spans="8:36" x14ac:dyDescent="0.25">
      <c r="H56">
        <f t="shared" si="15"/>
        <v>18</v>
      </c>
      <c r="I56">
        <f t="shared" si="5"/>
        <v>-10.929959764904305</v>
      </c>
      <c r="J56">
        <f t="shared" si="16"/>
        <v>-9.5128412256306927</v>
      </c>
      <c r="M56" t="s">
        <v>56</v>
      </c>
      <c r="N56" s="16">
        <f>N52*LN(N42/N52)+LN(N52)*(N44+N45+2)</f>
        <v>180.88894734840164</v>
      </c>
      <c r="P56">
        <f t="shared" si="20"/>
        <v>7</v>
      </c>
      <c r="Q56">
        <v>1.7667052679173106E-2</v>
      </c>
      <c r="Z56">
        <f t="shared" si="8"/>
        <v>18</v>
      </c>
      <c r="AA56">
        <f t="shared" si="9"/>
        <v>-10.929959764904305</v>
      </c>
      <c r="AB56">
        <f t="shared" si="10"/>
        <v>-9.5128412256306927</v>
      </c>
      <c r="AC56">
        <f t="shared" si="11"/>
        <v>-1.4171185392736128</v>
      </c>
      <c r="AD56">
        <f t="shared" si="12"/>
        <v>46.067539991827324</v>
      </c>
      <c r="AE56">
        <f t="shared" si="13"/>
        <v>-91.707837779613769</v>
      </c>
      <c r="AF56">
        <f t="shared" si="14"/>
        <v>88.873600701066536</v>
      </c>
      <c r="AH56">
        <f t="shared" si="17"/>
        <v>18</v>
      </c>
      <c r="AI56">
        <f t="shared" si="18"/>
        <v>33</v>
      </c>
      <c r="AJ56">
        <f t="shared" si="19"/>
        <v>36.512841225630694</v>
      </c>
    </row>
    <row r="57" spans="8:36" x14ac:dyDescent="0.25">
      <c r="H57">
        <f t="shared" si="15"/>
        <v>19</v>
      </c>
      <c r="I57">
        <f t="shared" si="5"/>
        <v>-5.9299597649043054</v>
      </c>
      <c r="J57">
        <f t="shared" si="16"/>
        <v>0.4879679599818591</v>
      </c>
      <c r="M57" t="s">
        <v>57</v>
      </c>
      <c r="N57" s="16">
        <f>N52*(1+LN(2*PI()))+N55</f>
        <v>238.95807299597396</v>
      </c>
      <c r="P57">
        <f t="shared" si="20"/>
        <v>8</v>
      </c>
      <c r="Q57">
        <v>9.8403293206585987E-3</v>
      </c>
      <c r="Z57">
        <f t="shared" si="8"/>
        <v>19</v>
      </c>
      <c r="AA57">
        <f t="shared" si="9"/>
        <v>-5.9299597649043054</v>
      </c>
      <c r="AB57">
        <f t="shared" si="10"/>
        <v>0.4879679599818591</v>
      </c>
      <c r="AC57">
        <f t="shared" si="11"/>
        <v>-6.4179277248861641</v>
      </c>
      <c r="AD57">
        <f t="shared" si="12"/>
        <v>46.067539991827324</v>
      </c>
      <c r="AE57">
        <f t="shared" si="13"/>
        <v>-96.708646965226322</v>
      </c>
      <c r="AF57">
        <f t="shared" si="14"/>
        <v>83.872791515453983</v>
      </c>
      <c r="AH57">
        <f t="shared" si="17"/>
        <v>19</v>
      </c>
      <c r="AI57">
        <f t="shared" si="18"/>
        <v>27</v>
      </c>
      <c r="AJ57">
        <f t="shared" si="19"/>
        <v>25.512032040018141</v>
      </c>
    </row>
    <row r="58" spans="8:36" x14ac:dyDescent="0.25">
      <c r="H58">
        <f t="shared" si="15"/>
        <v>20</v>
      </c>
      <c r="I58">
        <f t="shared" si="5"/>
        <v>-2.9299597649043054</v>
      </c>
      <c r="J58">
        <f t="shared" si="16"/>
        <v>0.35602284470969842</v>
      </c>
      <c r="M58" t="s">
        <v>58</v>
      </c>
      <c r="N58" s="17">
        <f>N52*(1+LN(2*PI()))+N56</f>
        <v>243.32224280940724</v>
      </c>
      <c r="P58" s="11">
        <f t="shared" si="20"/>
        <v>9</v>
      </c>
      <c r="Q58" s="11">
        <v>5.4809414392681527E-3</v>
      </c>
      <c r="Z58">
        <f t="shared" si="8"/>
        <v>20</v>
      </c>
      <c r="AA58">
        <f t="shared" si="9"/>
        <v>-2.9299597649043054</v>
      </c>
      <c r="AB58">
        <f t="shared" si="10"/>
        <v>0.35602284470969842</v>
      </c>
      <c r="AC58">
        <f t="shared" si="11"/>
        <v>-3.2859826096140039</v>
      </c>
      <c r="AD58">
        <f t="shared" si="12"/>
        <v>46.067539991827324</v>
      </c>
      <c r="AE58">
        <f t="shared" si="13"/>
        <v>-93.576701849954162</v>
      </c>
      <c r="AF58">
        <f t="shared" si="14"/>
        <v>87.004736630726143</v>
      </c>
      <c r="AH58">
        <f t="shared" si="17"/>
        <v>20</v>
      </c>
      <c r="AI58">
        <f t="shared" si="18"/>
        <v>26</v>
      </c>
      <c r="AJ58">
        <f t="shared" si="19"/>
        <v>27.643977155290301</v>
      </c>
    </row>
    <row r="59" spans="8:36" x14ac:dyDescent="0.25">
      <c r="H59">
        <f t="shared" si="15"/>
        <v>21</v>
      </c>
      <c r="I59">
        <f t="shared" si="5"/>
        <v>6.0700402350956946</v>
      </c>
      <c r="J59">
        <f t="shared" si="16"/>
        <v>7.689638254984775</v>
      </c>
      <c r="Z59">
        <f t="shared" si="8"/>
        <v>21</v>
      </c>
      <c r="AA59">
        <f t="shared" si="9"/>
        <v>6.0700402350956946</v>
      </c>
      <c r="AB59">
        <f t="shared" si="10"/>
        <v>7.689638254984775</v>
      </c>
      <c r="AC59">
        <f t="shared" si="11"/>
        <v>-1.6195980198890805</v>
      </c>
      <c r="AD59">
        <f t="shared" si="12"/>
        <v>46.067539991827324</v>
      </c>
      <c r="AE59">
        <f t="shared" si="13"/>
        <v>-91.910317260229235</v>
      </c>
      <c r="AF59">
        <f t="shared" si="14"/>
        <v>88.67112122045107</v>
      </c>
      <c r="AH59">
        <f t="shared" si="17"/>
        <v>21</v>
      </c>
      <c r="AI59">
        <f t="shared" si="18"/>
        <v>28</v>
      </c>
      <c r="AJ59">
        <f t="shared" si="19"/>
        <v>31.310361745015221</v>
      </c>
    </row>
    <row r="60" spans="8:36" x14ac:dyDescent="0.25">
      <c r="H60">
        <f t="shared" si="15"/>
        <v>22</v>
      </c>
      <c r="I60">
        <f t="shared" si="5"/>
        <v>42.070040235095696</v>
      </c>
      <c r="J60">
        <f t="shared" si="16"/>
        <v>38.422288757768129</v>
      </c>
      <c r="Z60">
        <f t="shared" si="8"/>
        <v>22</v>
      </c>
      <c r="AA60">
        <f t="shared" si="9"/>
        <v>42.070040235095696</v>
      </c>
      <c r="AB60">
        <f t="shared" si="10"/>
        <v>38.422288757768129</v>
      </c>
      <c r="AC60">
        <f t="shared" si="11"/>
        <v>3.6477514773275672</v>
      </c>
      <c r="AD60">
        <f t="shared" si="12"/>
        <v>46.067539991827324</v>
      </c>
      <c r="AE60">
        <f t="shared" si="13"/>
        <v>-86.642967763012592</v>
      </c>
      <c r="AF60">
        <f t="shared" si="14"/>
        <v>93.938470717667713</v>
      </c>
      <c r="AH60">
        <f t="shared" si="17"/>
        <v>22</v>
      </c>
      <c r="AI60">
        <f t="shared" si="18"/>
        <v>39</v>
      </c>
      <c r="AJ60">
        <f t="shared" si="19"/>
        <v>47.577711242231871</v>
      </c>
    </row>
    <row r="61" spans="8:36" x14ac:dyDescent="0.25">
      <c r="H61" s="11">
        <f t="shared" si="15"/>
        <v>23</v>
      </c>
      <c r="I61" s="11">
        <f t="shared" si="5"/>
        <v>97.070040235095689</v>
      </c>
      <c r="J61" s="11">
        <f t="shared" si="16"/>
        <v>72.304376548223715</v>
      </c>
      <c r="Z61">
        <f t="shared" si="8"/>
        <v>23</v>
      </c>
      <c r="AA61">
        <f t="shared" si="9"/>
        <v>97.070040235095689</v>
      </c>
      <c r="AB61">
        <f t="shared" si="10"/>
        <v>72.304376548223715</v>
      </c>
      <c r="AC61">
        <f t="shared" si="11"/>
        <v>24.765663686871974</v>
      </c>
      <c r="AD61">
        <f t="shared" si="12"/>
        <v>46.067539991827324</v>
      </c>
      <c r="AE61">
        <f t="shared" si="13"/>
        <v>-65.525055553468178</v>
      </c>
      <c r="AF61">
        <f t="shared" si="14"/>
        <v>115.05638292721213</v>
      </c>
      <c r="AH61">
        <f t="shared" si="17"/>
        <v>23</v>
      </c>
      <c r="AI61">
        <f t="shared" si="18"/>
        <v>86</v>
      </c>
      <c r="AJ61">
        <f t="shared" si="19"/>
        <v>115.69562345177629</v>
      </c>
    </row>
    <row r="62" spans="8:36" x14ac:dyDescent="0.25">
      <c r="Z62">
        <f>Z61+1</f>
        <v>24</v>
      </c>
      <c r="AC62">
        <f>SUMPRODUCT(AA61,M$39)+SUMPRODUCT(AB61,N$39)</f>
        <v>56.575619217650917</v>
      </c>
      <c r="AD62">
        <f>N$49*SQRT(SUMSQ(Q$49:Q49))</f>
        <v>46.067539991827324</v>
      </c>
      <c r="AE62">
        <f>AC62-_xlfn.NORM.S.INV(1-AD$37/2)*AD62</f>
        <v>-33.715100022689235</v>
      </c>
      <c r="AF62">
        <f>AC62+_xlfn.NORM.S.INV(1-AD$37/2)*AD62</f>
        <v>146.86633845799108</v>
      </c>
      <c r="AH62" s="11">
        <f t="shared" si="17"/>
        <v>24</v>
      </c>
      <c r="AI62" s="11">
        <f t="shared" si="18"/>
        <v>188</v>
      </c>
      <c r="AJ62">
        <f t="shared" si="19"/>
        <v>249.50557898255522</v>
      </c>
    </row>
    <row r="63" spans="8:36" x14ac:dyDescent="0.25">
      <c r="Z63">
        <f t="shared" ref="Z63:Z71" si="21">Z62+1</f>
        <v>25</v>
      </c>
      <c r="AC63">
        <f>SUMPRODUCT(AC62,M39)</f>
        <v>31.511918526068683</v>
      </c>
      <c r="AD63">
        <f>N$49*SQRT(SUMSQ(Q$49:Q50))</f>
        <v>53.527463150846074</v>
      </c>
      <c r="AE63">
        <f t="shared" ref="AE63:AE71" si="22">AC63-_xlfn.NORM.S.INV(1-AD$37/2)*AD63</f>
        <v>-73.399981433384482</v>
      </c>
      <c r="AF63">
        <f t="shared" ref="AF63:AF71" si="23">AC63+_xlfn.NORM.S.INV(1-AD$37/2)*AD63</f>
        <v>136.42381848552185</v>
      </c>
      <c r="AH63">
        <f t="shared" si="17"/>
        <v>25</v>
      </c>
      <c r="AI63">
        <f>AC62+AI62+N$40</f>
        <v>249.50557898255522</v>
      </c>
    </row>
    <row r="64" spans="8:36" x14ac:dyDescent="0.25">
      <c r="Z64">
        <f t="shared" si="21"/>
        <v>26</v>
      </c>
      <c r="AC64">
        <f>SUMPRODUCT(AC63,M39)</f>
        <v>17.551747960078647</v>
      </c>
      <c r="AD64">
        <f>N$49*SQRT(SUMSQ(Q$49:Q51))</f>
        <v>55.638881030705484</v>
      </c>
      <c r="AE64">
        <f t="shared" si="22"/>
        <v>-91.498455000212886</v>
      </c>
      <c r="AF64">
        <f t="shared" si="23"/>
        <v>126.60195092037017</v>
      </c>
      <c r="AH64">
        <f t="shared" si="17"/>
        <v>26</v>
      </c>
      <c r="AI64">
        <f t="shared" ref="AI64:AI72" si="24">AC63+AI63+N$40</f>
        <v>285.94745727352824</v>
      </c>
    </row>
    <row r="65" spans="26:35" x14ac:dyDescent="0.25">
      <c r="Z65">
        <f t="shared" si="21"/>
        <v>27</v>
      </c>
      <c r="AC65">
        <f>SUMPRODUCT(AC64,M39)</f>
        <v>9.776106021576398</v>
      </c>
      <c r="AD65">
        <f>N$49*SQRT(SUMSQ(Q$49:Q52))</f>
        <v>56.277819623577898</v>
      </c>
      <c r="AE65">
        <f t="shared" si="22"/>
        <v>-100.52639356907775</v>
      </c>
      <c r="AF65">
        <f t="shared" si="23"/>
        <v>120.07860561223055</v>
      </c>
      <c r="AH65">
        <f t="shared" si="17"/>
        <v>27</v>
      </c>
      <c r="AI65">
        <f t="shared" si="24"/>
        <v>308.42916499851123</v>
      </c>
    </row>
    <row r="66" spans="26:35" x14ac:dyDescent="0.25">
      <c r="Z66">
        <f t="shared" si="21"/>
        <v>28</v>
      </c>
      <c r="AC66">
        <f>SUMPRODUCT(AC65,M39)</f>
        <v>5.4451698578671976</v>
      </c>
      <c r="AD66">
        <f>N$49*SQRT(SUMSQ(Q$49:Q53))</f>
        <v>56.474571696187262</v>
      </c>
      <c r="AE66">
        <f t="shared" si="22"/>
        <v>-105.24295670898492</v>
      </c>
      <c r="AF66">
        <f t="shared" si="23"/>
        <v>116.13329642471932</v>
      </c>
      <c r="AH66">
        <f t="shared" si="17"/>
        <v>28</v>
      </c>
      <c r="AI66">
        <f t="shared" si="24"/>
        <v>323.13523078499196</v>
      </c>
    </row>
    <row r="67" spans="26:35" x14ac:dyDescent="0.25">
      <c r="Z67">
        <f t="shared" si="21"/>
        <v>29</v>
      </c>
      <c r="AC67">
        <f>SUMPRODUCT(AC66,M39)</f>
        <v>3.0328921060784926</v>
      </c>
      <c r="AD67">
        <f>N$49*SQRT(SUMSQ(Q$49:Q54))</f>
        <v>56.535471948597795</v>
      </c>
      <c r="AE67">
        <f t="shared" si="22"/>
        <v>-107.77459676214767</v>
      </c>
      <c r="AF67">
        <f t="shared" si="23"/>
        <v>113.84038097430465</v>
      </c>
      <c r="AH67">
        <f t="shared" si="17"/>
        <v>29</v>
      </c>
      <c r="AI67">
        <f t="shared" si="24"/>
        <v>333.51036040776347</v>
      </c>
    </row>
    <row r="68" spans="26:35" x14ac:dyDescent="0.25">
      <c r="Z68">
        <f t="shared" si="21"/>
        <v>30</v>
      </c>
      <c r="AC68">
        <f>SUMPRODUCT(AC67,M39)</f>
        <v>1.6892833037748691</v>
      </c>
      <c r="AD68">
        <f>N$49*SQRT(SUMSQ(Q$49:Q55))</f>
        <v>56.554352021421579</v>
      </c>
      <c r="AE68">
        <f t="shared" si="22"/>
        <v>-109.15520982721141</v>
      </c>
      <c r="AF68">
        <f t="shared" si="23"/>
        <v>112.53377643476115</v>
      </c>
      <c r="AH68">
        <f t="shared" si="17"/>
        <v>30</v>
      </c>
      <c r="AI68">
        <f t="shared" si="24"/>
        <v>341.4732122787463</v>
      </c>
    </row>
    <row r="69" spans="26:35" x14ac:dyDescent="0.25">
      <c r="Z69">
        <f t="shared" si="21"/>
        <v>31</v>
      </c>
      <c r="AC69">
        <f>SUMPRODUCT(AC68,M39)</f>
        <v>0.94090985785258341</v>
      </c>
      <c r="AD69">
        <f>N$49*SQRT(SUMSQ(Q$49:Q56))</f>
        <v>56.560208003520799</v>
      </c>
      <c r="AE69">
        <f t="shared" si="22"/>
        <v>-109.91506078714227</v>
      </c>
      <c r="AF69">
        <f t="shared" si="23"/>
        <v>111.79688050284744</v>
      </c>
      <c r="AH69">
        <f t="shared" si="17"/>
        <v>31</v>
      </c>
      <c r="AI69">
        <f t="shared" si="24"/>
        <v>348.09245534742547</v>
      </c>
    </row>
    <row r="70" spans="26:35" x14ac:dyDescent="0.25">
      <c r="Z70">
        <f t="shared" si="21"/>
        <v>32</v>
      </c>
      <c r="AC70">
        <f>SUMPRODUCT(AC69,M39)</f>
        <v>0.52407512619455465</v>
      </c>
      <c r="AD70">
        <f>N$49*SQRT(SUMSQ(Q$49:Q57))</f>
        <v>56.562024612017169</v>
      </c>
      <c r="AE70">
        <f t="shared" si="22"/>
        <v>-110.33545600602719</v>
      </c>
      <c r="AF70">
        <f t="shared" si="23"/>
        <v>111.38360625841631</v>
      </c>
      <c r="AH70">
        <f t="shared" si="17"/>
        <v>32</v>
      </c>
      <c r="AI70">
        <f t="shared" si="24"/>
        <v>353.96332497018238</v>
      </c>
    </row>
    <row r="71" spans="26:35" x14ac:dyDescent="0.25">
      <c r="Z71" s="11">
        <f t="shared" si="21"/>
        <v>33</v>
      </c>
      <c r="AA71" s="11"/>
      <c r="AB71" s="11"/>
      <c r="AC71" s="11">
        <f>SUMPRODUCT(AC70,M39)</f>
        <v>0.29190334823643627</v>
      </c>
      <c r="AD71" s="11">
        <f>N$49*SQRT(SUMSQ(Q$49:Q58))</f>
        <v>56.562588176040848</v>
      </c>
      <c r="AE71" s="11">
        <f t="shared" si="22"/>
        <v>-110.56873234917471</v>
      </c>
      <c r="AF71" s="11">
        <f t="shared" si="23"/>
        <v>111.15253904564757</v>
      </c>
      <c r="AH71">
        <f t="shared" si="17"/>
        <v>33</v>
      </c>
      <c r="AI71">
        <f t="shared" si="24"/>
        <v>359.41735986128123</v>
      </c>
    </row>
    <row r="72" spans="26:35" x14ac:dyDescent="0.25">
      <c r="AH72" s="11">
        <f t="shared" si="17"/>
        <v>34</v>
      </c>
      <c r="AI72" s="11">
        <f t="shared" si="24"/>
        <v>364.63922297442195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42B5-F94B-420F-98BD-BB8F22DBA6CC}">
  <dimension ref="A1:M26"/>
  <sheetViews>
    <sheetView tabSelected="1" workbookViewId="0">
      <selection activeCell="J4" sqref="J4"/>
    </sheetView>
  </sheetViews>
  <sheetFormatPr defaultRowHeight="13.2" x14ac:dyDescent="0.25"/>
  <cols>
    <col min="1" max="1" width="12.33203125" bestFit="1" customWidth="1"/>
    <col min="4" max="4" width="12.77734375" bestFit="1" customWidth="1"/>
    <col min="5" max="5" width="14" bestFit="1" customWidth="1"/>
    <col min="6" max="6" width="12" bestFit="1" customWidth="1"/>
    <col min="7" max="7" width="14" bestFit="1" customWidth="1"/>
    <col min="8" max="8" width="16.21875" bestFit="1" customWidth="1"/>
  </cols>
  <sheetData>
    <row r="1" spans="1:13" x14ac:dyDescent="0.25">
      <c r="A1" s="20" t="s">
        <v>35</v>
      </c>
      <c r="B1" s="20"/>
    </row>
    <row r="3" spans="1:13" x14ac:dyDescent="0.25">
      <c r="A3" s="22" t="s">
        <v>36</v>
      </c>
      <c r="B3" s="22" t="s">
        <v>37</v>
      </c>
      <c r="C3" s="22" t="s">
        <v>38</v>
      </c>
      <c r="D3" s="23" t="s">
        <v>86</v>
      </c>
      <c r="F3" s="21" t="s">
        <v>81</v>
      </c>
      <c r="G3" s="21" t="s">
        <v>83</v>
      </c>
      <c r="H3" s="23" t="s">
        <v>84</v>
      </c>
      <c r="J3" s="4" t="s">
        <v>82</v>
      </c>
      <c r="K3" s="4" t="s">
        <v>79</v>
      </c>
      <c r="L3" s="4" t="s">
        <v>80</v>
      </c>
      <c r="M3" s="4" t="s">
        <v>85</v>
      </c>
    </row>
    <row r="4" spans="1:13" x14ac:dyDescent="0.25">
      <c r="A4" s="13">
        <v>1</v>
      </c>
      <c r="B4" s="13">
        <v>-20.929959764904304</v>
      </c>
      <c r="C4" s="13">
        <v>0</v>
      </c>
      <c r="D4">
        <v>244</v>
      </c>
      <c r="F4">
        <f>POWER(C4,2)</f>
        <v>0</v>
      </c>
      <c r="G4">
        <f>ABS(C4)</f>
        <v>0</v>
      </c>
      <c r="H4">
        <f>(G4/D4)*100</f>
        <v>0</v>
      </c>
      <c r="J4">
        <f>SUM(G4:G26)/COUNT(B4:B26)</f>
        <v>31.419277565547439</v>
      </c>
      <c r="K4">
        <f>SUM(F4:F26)/COUNT(B4:B26)</f>
        <v>2029.9478825986703</v>
      </c>
      <c r="L4">
        <f>SQRT(K4)</f>
        <v>45.054942931921133</v>
      </c>
      <c r="M4">
        <f>SUM(H4:H26)/COUNT(H4:H26)</f>
        <v>38.756125482774003</v>
      </c>
    </row>
    <row r="5" spans="1:13" x14ac:dyDescent="0.25">
      <c r="A5" s="13">
        <v>2</v>
      </c>
      <c r="B5" s="13">
        <v>-79.929959764904311</v>
      </c>
      <c r="C5" s="13">
        <v>-68.272231648341503</v>
      </c>
      <c r="D5">
        <v>228</v>
      </c>
      <c r="F5">
        <f t="shared" ref="F5:F26" si="0">POWER(C5,2)</f>
        <v>4661.0976142448035</v>
      </c>
      <c r="G5">
        <f t="shared" ref="G5:G26" si="1">ABS(C5)</f>
        <v>68.272231648341503</v>
      </c>
      <c r="H5">
        <f t="shared" ref="H5:H26" si="2">(G5/D5)*100</f>
        <v>29.94396124927259</v>
      </c>
    </row>
    <row r="6" spans="1:13" x14ac:dyDescent="0.25">
      <c r="A6" s="13">
        <v>3</v>
      </c>
      <c r="B6" s="13">
        <v>-17.929959764904304</v>
      </c>
      <c r="C6" s="13">
        <v>28.958940149269573</v>
      </c>
      <c r="D6">
        <v>153</v>
      </c>
      <c r="F6">
        <f t="shared" si="0"/>
        <v>838.62021456897719</v>
      </c>
      <c r="G6">
        <f t="shared" si="1"/>
        <v>28.958940149269573</v>
      </c>
      <c r="H6">
        <f t="shared" si="2"/>
        <v>18.927411862267697</v>
      </c>
    </row>
    <row r="7" spans="1:13" x14ac:dyDescent="0.25">
      <c r="A7" s="13">
        <v>4</v>
      </c>
      <c r="B7" s="13">
        <v>-89.929959764904311</v>
      </c>
      <c r="C7" s="13">
        <v>-80.948008936086765</v>
      </c>
      <c r="D7">
        <v>140</v>
      </c>
      <c r="F7">
        <f t="shared" si="0"/>
        <v>6552.5801507167826</v>
      </c>
      <c r="G7">
        <f t="shared" si="1"/>
        <v>80.948008936086765</v>
      </c>
      <c r="H7">
        <f t="shared" si="2"/>
        <v>57.820006382919118</v>
      </c>
    </row>
    <row r="8" spans="1:13" x14ac:dyDescent="0.25">
      <c r="A8" s="13">
        <v>5</v>
      </c>
      <c r="B8" s="13">
        <v>-25.929959764904304</v>
      </c>
      <c r="C8" s="13">
        <v>26.968639060805287</v>
      </c>
      <c r="D8">
        <v>55</v>
      </c>
      <c r="F8">
        <f t="shared" si="0"/>
        <v>727.30749279199267</v>
      </c>
      <c r="G8">
        <f t="shared" si="1"/>
        <v>26.968639060805287</v>
      </c>
      <c r="H8">
        <f t="shared" si="2"/>
        <v>49.033889201464156</v>
      </c>
    </row>
    <row r="9" spans="1:13" x14ac:dyDescent="0.25">
      <c r="A9" s="13">
        <v>6</v>
      </c>
      <c r="B9" s="13">
        <v>-8.9299597649043054</v>
      </c>
      <c r="C9" s="13">
        <v>4.5769511594095604</v>
      </c>
      <c r="D9">
        <v>34</v>
      </c>
      <c r="F9">
        <f t="shared" si="0"/>
        <v>20.948481915620519</v>
      </c>
      <c r="G9">
        <f t="shared" si="1"/>
        <v>4.5769511594095604</v>
      </c>
      <c r="H9">
        <f t="shared" si="2"/>
        <v>13.461621057086942</v>
      </c>
    </row>
    <row r="10" spans="1:13" x14ac:dyDescent="0.25">
      <c r="A10" s="13">
        <v>7</v>
      </c>
      <c r="B10" s="13">
        <v>-6.9299597649043054</v>
      </c>
      <c r="C10" s="13">
        <v>-2.1148934868544069</v>
      </c>
      <c r="D10">
        <v>30</v>
      </c>
      <c r="F10">
        <f t="shared" si="0"/>
        <v>4.472774460739191</v>
      </c>
      <c r="G10">
        <f t="shared" si="1"/>
        <v>2.1148934868544069</v>
      </c>
      <c r="H10">
        <f t="shared" si="2"/>
        <v>7.049644956181357</v>
      </c>
    </row>
    <row r="11" spans="1:13" x14ac:dyDescent="0.25">
      <c r="A11" s="13">
        <v>8</v>
      </c>
      <c r="B11" s="13">
        <v>-3.9299597649043054</v>
      </c>
      <c r="C11" s="13">
        <v>3.3242800064038486E-3</v>
      </c>
      <c r="D11">
        <v>28</v>
      </c>
      <c r="F11">
        <f t="shared" si="0"/>
        <v>1.1050837560976372E-5</v>
      </c>
      <c r="G11">
        <f t="shared" si="1"/>
        <v>3.3242800064038486E-3</v>
      </c>
      <c r="H11">
        <f t="shared" si="2"/>
        <v>1.1872428594299459E-2</v>
      </c>
    </row>
    <row r="12" spans="1:13" x14ac:dyDescent="0.25">
      <c r="A12" s="13">
        <v>9</v>
      </c>
      <c r="B12" s="13">
        <v>7.0700402350956946</v>
      </c>
      <c r="C12" s="13">
        <v>9.2588637581836064</v>
      </c>
      <c r="D12">
        <v>29</v>
      </c>
      <c r="F12">
        <f t="shared" si="0"/>
        <v>85.726558092605856</v>
      </c>
      <c r="G12">
        <f t="shared" si="1"/>
        <v>9.2588637581836064</v>
      </c>
      <c r="H12">
        <f t="shared" si="2"/>
        <v>31.927116407529677</v>
      </c>
    </row>
    <row r="13" spans="1:13" x14ac:dyDescent="0.25">
      <c r="A13" s="13">
        <v>10</v>
      </c>
      <c r="B13" s="13">
        <v>42.070040235095696</v>
      </c>
      <c r="C13" s="13">
        <v>37.810852321574444</v>
      </c>
      <c r="D13">
        <v>41</v>
      </c>
      <c r="F13">
        <f t="shared" si="0"/>
        <v>1429.6605532839114</v>
      </c>
      <c r="G13">
        <f t="shared" si="1"/>
        <v>37.810852321574444</v>
      </c>
      <c r="H13">
        <f t="shared" si="2"/>
        <v>92.22159102823035</v>
      </c>
    </row>
    <row r="14" spans="1:13" x14ac:dyDescent="0.25">
      <c r="A14" s="13">
        <v>11</v>
      </c>
      <c r="B14" s="13">
        <v>106.07004023509569</v>
      </c>
      <c r="C14" s="13">
        <v>81.32559211001859</v>
      </c>
      <c r="D14">
        <v>88</v>
      </c>
      <c r="F14">
        <f t="shared" si="0"/>
        <v>6613.8519320451178</v>
      </c>
      <c r="G14">
        <f t="shared" si="1"/>
        <v>81.32559211001859</v>
      </c>
      <c r="H14">
        <f t="shared" si="2"/>
        <v>92.41544557956658</v>
      </c>
    </row>
    <row r="15" spans="1:13" x14ac:dyDescent="0.25">
      <c r="A15" s="13">
        <v>12</v>
      </c>
      <c r="B15" s="13">
        <v>26.070040235095696</v>
      </c>
      <c r="C15" s="13">
        <v>-35.831484665141673</v>
      </c>
      <c r="D15">
        <v>199</v>
      </c>
      <c r="F15">
        <f t="shared" si="0"/>
        <v>1283.8952933082828</v>
      </c>
      <c r="G15">
        <f t="shared" si="1"/>
        <v>35.831484665141673</v>
      </c>
      <c r="H15">
        <f t="shared" si="2"/>
        <v>18.005771188513403</v>
      </c>
    </row>
    <row r="16" spans="1:13" x14ac:dyDescent="0.25">
      <c r="A16" s="13">
        <v>13</v>
      </c>
      <c r="B16" s="13">
        <v>10.070040235095695</v>
      </c>
      <c r="C16" s="13">
        <v>-3.207371622630089</v>
      </c>
      <c r="D16">
        <v>230</v>
      </c>
      <c r="F16">
        <f t="shared" si="0"/>
        <v>10.287232725652769</v>
      </c>
      <c r="G16">
        <f t="shared" si="1"/>
        <v>3.207371622630089</v>
      </c>
      <c r="H16">
        <f t="shared" si="2"/>
        <v>1.3945094011435171</v>
      </c>
    </row>
    <row r="17" spans="1:8" x14ac:dyDescent="0.25">
      <c r="A17" s="13">
        <v>14</v>
      </c>
      <c r="B17" s="13">
        <v>-2.9299597649043054</v>
      </c>
      <c r="C17" s="13">
        <v>-8.4275582681816239</v>
      </c>
      <c r="D17">
        <v>245</v>
      </c>
      <c r="F17">
        <f t="shared" si="0"/>
        <v>71.023738363596451</v>
      </c>
      <c r="G17">
        <f t="shared" si="1"/>
        <v>8.4275582681816239</v>
      </c>
      <c r="H17">
        <f t="shared" si="2"/>
        <v>3.4398197012986222</v>
      </c>
    </row>
    <row r="18" spans="1:8" x14ac:dyDescent="0.25">
      <c r="A18" s="13">
        <v>15</v>
      </c>
      <c r="B18" s="13">
        <v>-116.92995976490431</v>
      </c>
      <c r="C18" s="13">
        <v>-115.0055899047224</v>
      </c>
      <c r="D18">
        <v>247</v>
      </c>
      <c r="F18">
        <f t="shared" si="0"/>
        <v>13226.285709333186</v>
      </c>
      <c r="G18">
        <f t="shared" si="1"/>
        <v>115.0055899047224</v>
      </c>
      <c r="H18">
        <f t="shared" si="2"/>
        <v>46.56096757276211</v>
      </c>
    </row>
    <row r="19" spans="1:8" x14ac:dyDescent="0.25">
      <c r="A19" s="13">
        <v>16</v>
      </c>
      <c r="B19" s="13">
        <v>-105.92995976490431</v>
      </c>
      <c r="C19" s="13">
        <v>-36.810969042191331</v>
      </c>
      <c r="D19">
        <v>135</v>
      </c>
      <c r="F19">
        <f t="shared" si="0"/>
        <v>1355.0474418251686</v>
      </c>
      <c r="G19">
        <f t="shared" si="1"/>
        <v>36.810969042191331</v>
      </c>
      <c r="H19">
        <f t="shared" si="2"/>
        <v>27.267384475697281</v>
      </c>
    </row>
    <row r="20" spans="1:8" x14ac:dyDescent="0.25">
      <c r="A20" s="13">
        <v>17</v>
      </c>
      <c r="B20" s="13">
        <v>-5.9299597649043054</v>
      </c>
      <c r="C20" s="13">
        <v>54.34897800287505</v>
      </c>
      <c r="D20">
        <v>34</v>
      </c>
      <c r="F20">
        <f t="shared" si="0"/>
        <v>2953.8114099569962</v>
      </c>
      <c r="G20">
        <f t="shared" si="1"/>
        <v>54.34897800287505</v>
      </c>
      <c r="H20">
        <f t="shared" si="2"/>
        <v>159.84993530257367</v>
      </c>
    </row>
    <row r="21" spans="1:8" x14ac:dyDescent="0.25">
      <c r="A21" s="13">
        <v>18</v>
      </c>
      <c r="B21" s="13">
        <v>-10.929959764904305</v>
      </c>
      <c r="C21" s="13">
        <v>-9.5128412256306927</v>
      </c>
      <c r="D21">
        <v>33</v>
      </c>
      <c r="F21">
        <f t="shared" si="0"/>
        <v>90.494148184058858</v>
      </c>
      <c r="G21">
        <f t="shared" si="1"/>
        <v>9.5128412256306927</v>
      </c>
      <c r="H21">
        <f t="shared" si="2"/>
        <v>28.826791592820282</v>
      </c>
    </row>
    <row r="22" spans="1:8" x14ac:dyDescent="0.25">
      <c r="A22" s="13">
        <v>19</v>
      </c>
      <c r="B22" s="13">
        <v>-5.9299597649043054</v>
      </c>
      <c r="C22" s="13">
        <v>0.4879679599818591</v>
      </c>
      <c r="D22">
        <v>27</v>
      </c>
      <c r="F22">
        <f t="shared" si="0"/>
        <v>0.23811272996885724</v>
      </c>
      <c r="G22">
        <f t="shared" si="1"/>
        <v>0.4879679599818591</v>
      </c>
      <c r="H22">
        <f t="shared" si="2"/>
        <v>1.8072887406735523</v>
      </c>
    </row>
    <row r="23" spans="1:8" x14ac:dyDescent="0.25">
      <c r="A23" s="13">
        <v>20</v>
      </c>
      <c r="B23" s="13">
        <v>-2.9299597649043054</v>
      </c>
      <c r="C23" s="13">
        <v>0.35602284470969842</v>
      </c>
      <c r="D23">
        <v>26</v>
      </c>
      <c r="F23">
        <f t="shared" si="0"/>
        <v>0.12675226595518604</v>
      </c>
      <c r="G23">
        <f t="shared" si="1"/>
        <v>0.35602284470969842</v>
      </c>
      <c r="H23">
        <f t="shared" si="2"/>
        <v>1.3693186334988401</v>
      </c>
    </row>
    <row r="24" spans="1:8" x14ac:dyDescent="0.25">
      <c r="A24" s="13">
        <v>21</v>
      </c>
      <c r="B24" s="13">
        <v>6.0700402350956946</v>
      </c>
      <c r="C24" s="13">
        <v>7.689638254984775</v>
      </c>
      <c r="D24">
        <v>28</v>
      </c>
      <c r="F24">
        <f t="shared" si="0"/>
        <v>59.130536492525295</v>
      </c>
      <c r="G24">
        <f t="shared" si="1"/>
        <v>7.689638254984775</v>
      </c>
      <c r="H24">
        <f t="shared" si="2"/>
        <v>27.462993767802768</v>
      </c>
    </row>
    <row r="25" spans="1:8" x14ac:dyDescent="0.25">
      <c r="A25" s="13">
        <v>22</v>
      </c>
      <c r="B25" s="13">
        <v>42.070040235095696</v>
      </c>
      <c r="C25" s="13">
        <v>38.422288757768129</v>
      </c>
      <c r="D25">
        <v>39</v>
      </c>
      <c r="F25">
        <f t="shared" si="0"/>
        <v>1476.2722733853152</v>
      </c>
      <c r="G25">
        <f t="shared" si="1"/>
        <v>38.422288757768129</v>
      </c>
      <c r="H25">
        <f t="shared" si="2"/>
        <v>98.518689122482385</v>
      </c>
    </row>
    <row r="26" spans="1:8" x14ac:dyDescent="0.25">
      <c r="A26" s="13">
        <v>23</v>
      </c>
      <c r="B26" s="13">
        <v>97.070040235095689</v>
      </c>
      <c r="C26" s="13">
        <v>72.304376548223715</v>
      </c>
      <c r="D26">
        <v>86</v>
      </c>
      <c r="F26">
        <f t="shared" si="0"/>
        <v>5227.9228680273236</v>
      </c>
      <c r="G26">
        <f t="shared" si="1"/>
        <v>72.304376548223715</v>
      </c>
      <c r="H26">
        <f t="shared" si="2"/>
        <v>84.074856451422917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 and Electric</vt:lpstr>
      <vt:lpstr>Real Statistics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Thanh Linh</cp:lastModifiedBy>
  <dcterms:created xsi:type="dcterms:W3CDTF">2001-11-04T15:04:59Z</dcterms:created>
  <dcterms:modified xsi:type="dcterms:W3CDTF">2024-05-04T13:21:24Z</dcterms:modified>
</cp:coreProperties>
</file>